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5.xml" ContentType="application/vnd.openxmlformats-officedocument.drawing+xml"/>
  <Override PartName="/xl/charts/chart12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3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charts/chart14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5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6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9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20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21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22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23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24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25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lca27/Documents/MPS_project_AstraZeneca/MPS/Hydrocortisone modelling/"/>
    </mc:Choice>
  </mc:AlternateContent>
  <xr:revisionPtr revIDLastSave="0" documentId="13_ncr:1_{CD4FE93A-6911-A64E-B614-946227E16654}" xr6:coauthVersionLast="47" xr6:coauthVersionMax="47" xr10:uidLastSave="{00000000-0000-0000-0000-000000000000}"/>
  <bookViews>
    <workbookView xWindow="20180" yWindow="460" windowWidth="27640" windowHeight="16940" activeTab="6" xr2:uid="{88DB60C7-6678-7E46-8F1B-EAFF338B1427}"/>
  </bookViews>
  <sheets>
    <sheet name="Glucose" sheetId="1" r:id="rId1"/>
    <sheet name="Insulin_Plate 1" sheetId="2" r:id="rId2"/>
    <sheet name="Insulin_Plate 2" sheetId="3" r:id="rId3"/>
    <sheet name="Plate 1" sheetId="4" r:id="rId4"/>
    <sheet name="Plate 2" sheetId="5" r:id="rId5"/>
    <sheet name="Plate 3" sheetId="6" r:id="rId6"/>
    <sheet name="Summary_doseA_B" sheetId="7" r:id="rId7"/>
    <sheet name="Corrected data manuscript" sheetId="8" r:id="rId8"/>
    <sheet name="Exp 3.2 modelling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16" i="9" l="1"/>
  <c r="V16" i="9"/>
  <c r="W16" i="9" s="1"/>
  <c r="AB16" i="9" s="1"/>
  <c r="AH16" i="9"/>
  <c r="AU16" i="9"/>
  <c r="U17" i="9"/>
  <c r="V17" i="9"/>
  <c r="W17" i="9" s="1"/>
  <c r="AT17" i="9"/>
  <c r="AU17" i="9" s="1"/>
  <c r="U18" i="9"/>
  <c r="V18" i="9"/>
  <c r="W18" i="9" s="1"/>
  <c r="AB18" i="9" s="1"/>
  <c r="AT18" i="9"/>
  <c r="AU18" i="9" s="1"/>
  <c r="U19" i="9"/>
  <c r="V19" i="9"/>
  <c r="W19" i="9" s="1"/>
  <c r="AB19" i="9" s="1"/>
  <c r="AT19" i="9"/>
  <c r="AU19" i="9"/>
  <c r="U20" i="9"/>
  <c r="V20" i="9"/>
  <c r="W20" i="9" s="1"/>
  <c r="AH20" i="9"/>
  <c r="AU20" i="9"/>
  <c r="U21" i="9"/>
  <c r="V21" i="9"/>
  <c r="W21" i="9" s="1"/>
  <c r="AB21" i="9" s="1"/>
  <c r="AT21" i="9"/>
  <c r="AU21" i="9" s="1"/>
  <c r="U22" i="9"/>
  <c r="V22" i="9"/>
  <c r="W22" i="9" s="1"/>
  <c r="AT22" i="9"/>
  <c r="AU22" i="9" s="1"/>
  <c r="U23" i="9"/>
  <c r="V23" i="9"/>
  <c r="W23" i="9" s="1"/>
  <c r="AT23" i="9"/>
  <c r="AU23" i="9" s="1"/>
  <c r="U24" i="9"/>
  <c r="V24" i="9"/>
  <c r="W24" i="9" s="1"/>
  <c r="AB24" i="9" s="1"/>
  <c r="AT24" i="9"/>
  <c r="AU24" i="9"/>
  <c r="U25" i="9"/>
  <c r="V25" i="9"/>
  <c r="W25" i="9" s="1"/>
  <c r="AB25" i="9" s="1"/>
  <c r="AH25" i="9"/>
  <c r="AT25" i="9"/>
  <c r="AU25" i="9" s="1"/>
  <c r="U26" i="9"/>
  <c r="V26" i="9"/>
  <c r="W26" i="9" s="1"/>
  <c r="AT26" i="9"/>
  <c r="AU26" i="9" s="1"/>
  <c r="U27" i="9"/>
  <c r="V27" i="9"/>
  <c r="W27" i="9" s="1"/>
  <c r="AB27" i="9" s="1"/>
  <c r="AT27" i="9"/>
  <c r="AU27" i="9"/>
  <c r="U28" i="9"/>
  <c r="V28" i="9"/>
  <c r="W28" i="9" s="1"/>
  <c r="AB28" i="9" s="1"/>
  <c r="AT28" i="9"/>
  <c r="AU28" i="9" s="1"/>
  <c r="U29" i="9"/>
  <c r="V29" i="9"/>
  <c r="W29" i="9" s="1"/>
  <c r="AH29" i="9"/>
  <c r="AT29" i="9"/>
  <c r="AU29" i="9" s="1"/>
  <c r="U30" i="9"/>
  <c r="V30" i="9"/>
  <c r="W30" i="9" s="1"/>
  <c r="AB30" i="9" s="1"/>
  <c r="AT30" i="9"/>
  <c r="AU30" i="9"/>
  <c r="U31" i="9"/>
  <c r="V31" i="9"/>
  <c r="W31" i="9"/>
  <c r="AB31" i="9" s="1"/>
  <c r="AT31" i="9"/>
  <c r="AU31" i="9" s="1"/>
  <c r="U32" i="9"/>
  <c r="V32" i="9"/>
  <c r="W32" i="9" s="1"/>
  <c r="AB32" i="9" s="1"/>
  <c r="AT32" i="9"/>
  <c r="AU32" i="9" s="1"/>
  <c r="U33" i="9"/>
  <c r="AC35" i="9" s="1"/>
  <c r="V33" i="9"/>
  <c r="W33" i="9"/>
  <c r="AB33" i="9" s="1"/>
  <c r="AT33" i="9"/>
  <c r="AU33" i="9" s="1"/>
  <c r="U34" i="9"/>
  <c r="V34" i="9"/>
  <c r="W34" i="9" s="1"/>
  <c r="AB34" i="9" s="1"/>
  <c r="AM34" i="9"/>
  <c r="U35" i="9"/>
  <c r="V35" i="9"/>
  <c r="W35" i="9" s="1"/>
  <c r="AB35" i="9" s="1"/>
  <c r="U36" i="9"/>
  <c r="V36" i="9"/>
  <c r="W36" i="9"/>
  <c r="AB36" i="9" s="1"/>
  <c r="U37" i="9"/>
  <c r="V37" i="9"/>
  <c r="W37" i="9" s="1"/>
  <c r="AB37" i="9" s="1"/>
  <c r="U38" i="9"/>
  <c r="V38" i="9"/>
  <c r="W38" i="9" s="1"/>
  <c r="AB38" i="9" s="1"/>
  <c r="U39" i="9"/>
  <c r="V39" i="9"/>
  <c r="W39" i="9" s="1"/>
  <c r="AB39" i="9" s="1"/>
  <c r="AS39" i="9"/>
  <c r="AU39" i="9"/>
  <c r="U40" i="9"/>
  <c r="V40" i="9"/>
  <c r="W40" i="9"/>
  <c r="AB40" i="9" s="1"/>
  <c r="AS40" i="9"/>
  <c r="AT40" i="9"/>
  <c r="AU40" i="9" s="1"/>
  <c r="U41" i="9"/>
  <c r="V41" i="9"/>
  <c r="W41" i="9" s="1"/>
  <c r="AB41" i="9" s="1"/>
  <c r="AS41" i="9"/>
  <c r="AT41" i="9"/>
  <c r="AU41" i="9" s="1"/>
  <c r="U42" i="9"/>
  <c r="V42" i="9"/>
  <c r="W42" i="9"/>
  <c r="AB42" i="9" s="1"/>
  <c r="AS42" i="9"/>
  <c r="AU42" i="9"/>
  <c r="U43" i="9"/>
  <c r="V43" i="9"/>
  <c r="W43" i="9" s="1"/>
  <c r="AB43" i="9" s="1"/>
  <c r="AS43" i="9"/>
  <c r="U44" i="9"/>
  <c r="V44" i="9"/>
  <c r="W44" i="9" s="1"/>
  <c r="AS44" i="9"/>
  <c r="AU44" i="9"/>
  <c r="U45" i="9"/>
  <c r="V45" i="9"/>
  <c r="W45" i="9"/>
  <c r="AB45" i="9" s="1"/>
  <c r="AS45" i="9"/>
  <c r="AU45" i="9"/>
  <c r="U46" i="9"/>
  <c r="V46" i="9"/>
  <c r="W46" i="9"/>
  <c r="AB46" i="9" s="1"/>
  <c r="AS46" i="9"/>
  <c r="AU46" i="9"/>
  <c r="U47" i="9"/>
  <c r="V47" i="9"/>
  <c r="W47" i="9"/>
  <c r="AB47" i="9" s="1"/>
  <c r="AS47" i="9"/>
  <c r="AU47" i="9"/>
  <c r="U48" i="9"/>
  <c r="V48" i="9"/>
  <c r="W48" i="9" s="1"/>
  <c r="AS48" i="9"/>
  <c r="AU48" i="9"/>
  <c r="U49" i="9"/>
  <c r="V49" i="9"/>
  <c r="W49" i="9"/>
  <c r="AB49" i="9" s="1"/>
  <c r="AS49" i="9"/>
  <c r="AT49" i="9"/>
  <c r="AU49" i="9" s="1"/>
  <c r="U50" i="9"/>
  <c r="V50" i="9"/>
  <c r="W50" i="9" s="1"/>
  <c r="AB50" i="9" s="1"/>
  <c r="AS50" i="9"/>
  <c r="AU50" i="9"/>
  <c r="U51" i="9"/>
  <c r="V51" i="9"/>
  <c r="W51" i="9" s="1"/>
  <c r="AB51" i="9" s="1"/>
  <c r="AS51" i="9"/>
  <c r="AT51" i="9"/>
  <c r="AU51" i="9" s="1"/>
  <c r="U52" i="9"/>
  <c r="V52" i="9"/>
  <c r="W52" i="9" s="1"/>
  <c r="AB52" i="9" s="1"/>
  <c r="AS52" i="9"/>
  <c r="AU52" i="9"/>
  <c r="U53" i="9"/>
  <c r="AB53" i="9" s="1"/>
  <c r="V53" i="9"/>
  <c r="W53" i="9" s="1"/>
  <c r="AS53" i="9"/>
  <c r="AT53" i="9"/>
  <c r="AU53" i="9" s="1"/>
  <c r="U54" i="9"/>
  <c r="AB54" i="9" s="1"/>
  <c r="V54" i="9"/>
  <c r="W54" i="9" s="1"/>
  <c r="AS54" i="9"/>
  <c r="AT54" i="9"/>
  <c r="AU54" i="9" s="1"/>
  <c r="U55" i="9"/>
  <c r="V55" i="9"/>
  <c r="W55" i="9" s="1"/>
  <c r="AB55" i="9"/>
  <c r="AS55" i="9"/>
  <c r="AT55" i="9"/>
  <c r="AU55" i="9" s="1"/>
  <c r="U56" i="9"/>
  <c r="AB56" i="9" s="1"/>
  <c r="V56" i="9"/>
  <c r="W56" i="9" s="1"/>
  <c r="AS56" i="9"/>
  <c r="AT56" i="9"/>
  <c r="AU56" i="9" s="1"/>
  <c r="U64" i="9"/>
  <c r="V64" i="9"/>
  <c r="W64" i="9" s="1"/>
  <c r="U65" i="9"/>
  <c r="V65" i="9"/>
  <c r="W65" i="9"/>
  <c r="AB65" i="9" s="1"/>
  <c r="U66" i="9"/>
  <c r="V66" i="9"/>
  <c r="W66" i="9"/>
  <c r="U67" i="9"/>
  <c r="V67" i="9"/>
  <c r="W67" i="9" s="1"/>
  <c r="AB67" i="9" s="1"/>
  <c r="U68" i="9"/>
  <c r="V68" i="9"/>
  <c r="W68" i="9"/>
  <c r="AB68" i="9" s="1"/>
  <c r="U69" i="9"/>
  <c r="V69" i="9"/>
  <c r="W69" i="9" s="1"/>
  <c r="U70" i="9"/>
  <c r="V70" i="9"/>
  <c r="W70" i="9" s="1"/>
  <c r="U71" i="9"/>
  <c r="V71" i="9"/>
  <c r="W71" i="9" s="1"/>
  <c r="U72" i="9"/>
  <c r="V72" i="9"/>
  <c r="W72" i="9" s="1"/>
  <c r="U73" i="9"/>
  <c r="V73" i="9"/>
  <c r="W73" i="9" s="1"/>
  <c r="U74" i="9"/>
  <c r="V74" i="9"/>
  <c r="W74" i="9" s="1"/>
  <c r="AB74" i="9" s="1"/>
  <c r="U75" i="9"/>
  <c r="V75" i="9"/>
  <c r="W75" i="9"/>
  <c r="U76" i="9"/>
  <c r="V76" i="9"/>
  <c r="W76" i="9" s="1"/>
  <c r="AB76" i="9" s="1"/>
  <c r="U77" i="9"/>
  <c r="V77" i="9"/>
  <c r="W77" i="9" s="1"/>
  <c r="U78" i="9"/>
  <c r="V78" i="9"/>
  <c r="W78" i="9" s="1"/>
  <c r="AB78" i="9" s="1"/>
  <c r="U79" i="9"/>
  <c r="V79" i="9"/>
  <c r="W79" i="9" s="1"/>
  <c r="U80" i="9"/>
  <c r="V80" i="9"/>
  <c r="W80" i="9"/>
  <c r="AB80" i="9" s="1"/>
  <c r="U81" i="9"/>
  <c r="V81" i="9"/>
  <c r="W81" i="9" s="1"/>
  <c r="AB81" i="9" s="1"/>
  <c r="U82" i="9"/>
  <c r="V82" i="9"/>
  <c r="W82" i="9" s="1"/>
  <c r="U83" i="9"/>
  <c r="V83" i="9"/>
  <c r="W83" i="9" s="1"/>
  <c r="AB83" i="9" s="1"/>
  <c r="U84" i="9"/>
  <c r="V84" i="9"/>
  <c r="W84" i="9" s="1"/>
  <c r="U85" i="9"/>
  <c r="V85" i="9"/>
  <c r="W85" i="9" s="1"/>
  <c r="U86" i="9"/>
  <c r="AC88" i="9" s="1"/>
  <c r="V86" i="9"/>
  <c r="W86" i="9"/>
  <c r="AB86" i="9" s="1"/>
  <c r="U87" i="9"/>
  <c r="V87" i="9"/>
  <c r="W87" i="9" s="1"/>
  <c r="AB87" i="9" s="1"/>
  <c r="U88" i="9"/>
  <c r="V88" i="9"/>
  <c r="W88" i="9"/>
  <c r="U89" i="9"/>
  <c r="V89" i="9"/>
  <c r="W89" i="9"/>
  <c r="AB89" i="9" s="1"/>
  <c r="U90" i="9"/>
  <c r="V90" i="9"/>
  <c r="W90" i="9" s="1"/>
  <c r="AB90" i="9" s="1"/>
  <c r="U91" i="9"/>
  <c r="V91" i="9"/>
  <c r="W91" i="9"/>
  <c r="AB91" i="9" s="1"/>
  <c r="U92" i="9"/>
  <c r="V92" i="9"/>
  <c r="W92" i="9" s="1"/>
  <c r="U93" i="9"/>
  <c r="V93" i="9"/>
  <c r="W93" i="9" s="1"/>
  <c r="AB93" i="9" s="1"/>
  <c r="U94" i="9"/>
  <c r="V94" i="9"/>
  <c r="W94" i="9"/>
  <c r="AB94" i="9"/>
  <c r="U95" i="9"/>
  <c r="AC99" i="9" s="1"/>
  <c r="V95" i="9"/>
  <c r="W95" i="9" s="1"/>
  <c r="U96" i="9"/>
  <c r="V96" i="9"/>
  <c r="W96" i="9" s="1"/>
  <c r="U97" i="9"/>
  <c r="V97" i="9"/>
  <c r="W97" i="9"/>
  <c r="AB97" i="9"/>
  <c r="AC97" i="9"/>
  <c r="U98" i="9"/>
  <c r="V98" i="9"/>
  <c r="W98" i="9"/>
  <c r="AB98" i="9" s="1"/>
  <c r="U99" i="9"/>
  <c r="V99" i="9"/>
  <c r="W99" i="9"/>
  <c r="AB99" i="9" s="1"/>
  <c r="U100" i="9"/>
  <c r="V100" i="9"/>
  <c r="W100" i="9" s="1"/>
  <c r="U101" i="9"/>
  <c r="V101" i="9"/>
  <c r="W101" i="9" s="1"/>
  <c r="AB101" i="9" s="1"/>
  <c r="U102" i="9"/>
  <c r="V102" i="9"/>
  <c r="W102" i="9"/>
  <c r="AB102" i="9" s="1"/>
  <c r="U103" i="9"/>
  <c r="V103" i="9"/>
  <c r="W103" i="9" s="1"/>
  <c r="AB103" i="9" s="1"/>
  <c r="U104" i="9"/>
  <c r="V104" i="9"/>
  <c r="W104" i="9" s="1"/>
  <c r="AB104" i="9" s="1"/>
  <c r="U105" i="9"/>
  <c r="V105" i="9"/>
  <c r="W105" i="9" s="1"/>
  <c r="U106" i="9"/>
  <c r="V106" i="9"/>
  <c r="W106" i="9" s="1"/>
  <c r="AB106" i="9" s="1"/>
  <c r="U107" i="9"/>
  <c r="V107" i="9"/>
  <c r="W107" i="9"/>
  <c r="U108" i="9"/>
  <c r="V108" i="9"/>
  <c r="W108" i="9"/>
  <c r="AB108" i="9"/>
  <c r="U109" i="9"/>
  <c r="V109" i="9"/>
  <c r="W109" i="9"/>
  <c r="AB109" i="9" s="1"/>
  <c r="AB22" i="9" l="1"/>
  <c r="AC22" i="9"/>
  <c r="AB71" i="9"/>
  <c r="AC71" i="9"/>
  <c r="AB66" i="9"/>
  <c r="AB79" i="9"/>
  <c r="AB26" i="9"/>
  <c r="AC86" i="9"/>
  <c r="AC89" i="9"/>
  <c r="AB82" i="9"/>
  <c r="AB73" i="9"/>
  <c r="AB48" i="9"/>
  <c r="AB29" i="9"/>
  <c r="AT34" i="9"/>
  <c r="AC68" i="9"/>
  <c r="AB64" i="9"/>
  <c r="AB17" i="9"/>
  <c r="AB92" i="9"/>
  <c r="AB85" i="9"/>
  <c r="AC33" i="9"/>
  <c r="AB107" i="9"/>
  <c r="AB110" i="9" s="1"/>
  <c r="AB88" i="9"/>
  <c r="AB75" i="9"/>
  <c r="AC45" i="9"/>
  <c r="AB96" i="9"/>
  <c r="AB84" i="9"/>
  <c r="AB95" i="9"/>
  <c r="AC95" i="9"/>
  <c r="AB44" i="9"/>
  <c r="AC44" i="9"/>
  <c r="AB69" i="9"/>
  <c r="AC69" i="9"/>
  <c r="AB70" i="9"/>
  <c r="AC70" i="9"/>
  <c r="AB23" i="9"/>
  <c r="AC23" i="9"/>
  <c r="AC20" i="9"/>
  <c r="AB20" i="9"/>
  <c r="AC87" i="9"/>
  <c r="AC46" i="9"/>
  <c r="AC36" i="9"/>
  <c r="AC34" i="9"/>
  <c r="AC21" i="9"/>
  <c r="AC42" i="9"/>
  <c r="AC96" i="9"/>
  <c r="AC43" i="9"/>
  <c r="AC98" i="9"/>
  <c r="F125" i="8"/>
  <c r="F124" i="8"/>
  <c r="F123" i="8"/>
  <c r="F122" i="8"/>
  <c r="H122" i="8" s="1"/>
  <c r="F121" i="8"/>
  <c r="F120" i="8"/>
  <c r="F119" i="8"/>
  <c r="R79" i="8" s="1"/>
  <c r="F118" i="8"/>
  <c r="F117" i="8"/>
  <c r="F116" i="8"/>
  <c r="F115" i="8"/>
  <c r="G114" i="8" s="1"/>
  <c r="H114" i="8"/>
  <c r="F114" i="8"/>
  <c r="F113" i="8"/>
  <c r="F112" i="8"/>
  <c r="H110" i="8" s="1"/>
  <c r="F111" i="8"/>
  <c r="F110" i="8"/>
  <c r="F109" i="8"/>
  <c r="F108" i="8"/>
  <c r="F107" i="8"/>
  <c r="G106" i="8" s="1"/>
  <c r="H106" i="8"/>
  <c r="F106" i="8"/>
  <c r="F105" i="8"/>
  <c r="F104" i="8"/>
  <c r="F103" i="8"/>
  <c r="R75" i="8" s="1"/>
  <c r="F102" i="8"/>
  <c r="F101" i="8"/>
  <c r="F100" i="8"/>
  <c r="F99" i="8"/>
  <c r="G98" i="8" s="1"/>
  <c r="H98" i="8"/>
  <c r="F98" i="8"/>
  <c r="F97" i="8"/>
  <c r="F96" i="8"/>
  <c r="F95" i="8"/>
  <c r="R73" i="8" s="1"/>
  <c r="F94" i="8"/>
  <c r="F93" i="8"/>
  <c r="F92" i="8"/>
  <c r="F91" i="8"/>
  <c r="G90" i="8" s="1"/>
  <c r="H90" i="8"/>
  <c r="F90" i="8"/>
  <c r="F89" i="8"/>
  <c r="F88" i="8"/>
  <c r="F87" i="8"/>
  <c r="H86" i="8" s="1"/>
  <c r="F86" i="8"/>
  <c r="F85" i="8"/>
  <c r="F84" i="8"/>
  <c r="F83" i="8"/>
  <c r="G82" i="8" s="1"/>
  <c r="H82" i="8"/>
  <c r="F82" i="8"/>
  <c r="X81" i="8"/>
  <c r="F81" i="8"/>
  <c r="T80" i="8"/>
  <c r="W80" i="8" s="1"/>
  <c r="S80" i="8"/>
  <c r="R80" i="8"/>
  <c r="F80" i="8"/>
  <c r="S79" i="8"/>
  <c r="T79" i="8" s="1"/>
  <c r="W79" i="8" s="1"/>
  <c r="F79" i="8"/>
  <c r="G79" i="8" s="1"/>
  <c r="F78" i="8"/>
  <c r="S77" i="8"/>
  <c r="T77" i="8" s="1"/>
  <c r="F77" i="8"/>
  <c r="F76" i="8"/>
  <c r="R68" i="8" s="1"/>
  <c r="S75" i="8"/>
  <c r="T75" i="8" s="1"/>
  <c r="W75" i="8" s="1"/>
  <c r="F75" i="8"/>
  <c r="S67" i="8" s="1"/>
  <c r="T67" i="8" s="1"/>
  <c r="S74" i="8"/>
  <c r="T74" i="8" s="1"/>
  <c r="F74" i="8"/>
  <c r="F73" i="8"/>
  <c r="F72" i="8"/>
  <c r="S71" i="8"/>
  <c r="T71" i="8" s="1"/>
  <c r="F71" i="8"/>
  <c r="R70" i="8"/>
  <c r="F70" i="8"/>
  <c r="G69" i="8" s="1"/>
  <c r="F69" i="8"/>
  <c r="S68" i="8"/>
  <c r="T68" i="8" s="1"/>
  <c r="F68" i="8"/>
  <c r="F67" i="8"/>
  <c r="F66" i="8"/>
  <c r="R65" i="8"/>
  <c r="F65" i="8"/>
  <c r="M16" i="8"/>
  <c r="I23" i="7"/>
  <c r="H23" i="7"/>
  <c r="F23" i="7"/>
  <c r="I22" i="7"/>
  <c r="H22" i="7"/>
  <c r="F22" i="7"/>
  <c r="I21" i="7"/>
  <c r="H21" i="7"/>
  <c r="F21" i="7"/>
  <c r="I20" i="7"/>
  <c r="H20" i="7"/>
  <c r="F20" i="7"/>
  <c r="I19" i="7"/>
  <c r="F19" i="7"/>
  <c r="I18" i="7"/>
  <c r="F18" i="7"/>
  <c r="I17" i="7"/>
  <c r="H17" i="7"/>
  <c r="F17" i="7"/>
  <c r="I16" i="7"/>
  <c r="H16" i="7"/>
  <c r="F16" i="7"/>
  <c r="I15" i="7"/>
  <c r="H15" i="7"/>
  <c r="F15" i="7"/>
  <c r="I14" i="7"/>
  <c r="H14" i="7"/>
  <c r="F14" i="7"/>
  <c r="I13" i="7"/>
  <c r="F13" i="7"/>
  <c r="I12" i="7"/>
  <c r="H12" i="7"/>
  <c r="F12" i="7"/>
  <c r="I11" i="7"/>
  <c r="H11" i="7"/>
  <c r="F11" i="7"/>
  <c r="I10" i="7"/>
  <c r="F10" i="7"/>
  <c r="I9" i="7"/>
  <c r="H9" i="7"/>
  <c r="F9" i="7"/>
  <c r="I8" i="7"/>
  <c r="F8" i="7"/>
  <c r="I7" i="7"/>
  <c r="H7" i="7"/>
  <c r="F7" i="7"/>
  <c r="I6" i="7"/>
  <c r="H6" i="7"/>
  <c r="H26" i="7" s="1"/>
  <c r="F6" i="7"/>
  <c r="I5" i="7"/>
  <c r="F5" i="7"/>
  <c r="I4" i="7"/>
  <c r="H4" i="7"/>
  <c r="F4" i="7"/>
  <c r="H111" i="6"/>
  <c r="H110" i="6"/>
  <c r="H109" i="6"/>
  <c r="H108" i="6"/>
  <c r="H107" i="6"/>
  <c r="H106" i="6"/>
  <c r="H105" i="6"/>
  <c r="H104" i="6"/>
  <c r="H103" i="6"/>
  <c r="H102" i="6"/>
  <c r="H101" i="6"/>
  <c r="H100" i="6"/>
  <c r="H99" i="6"/>
  <c r="H98" i="6"/>
  <c r="H97" i="6"/>
  <c r="H96" i="6"/>
  <c r="H95" i="6"/>
  <c r="H94" i="6"/>
  <c r="H93" i="6"/>
  <c r="H92" i="6"/>
  <c r="H91" i="6"/>
  <c r="H90" i="6"/>
  <c r="H89" i="6"/>
  <c r="H88" i="6"/>
  <c r="H87" i="6"/>
  <c r="H86" i="6"/>
  <c r="H85" i="6"/>
  <c r="H84" i="6"/>
  <c r="H83" i="6"/>
  <c r="H82" i="6"/>
  <c r="H81" i="6"/>
  <c r="O80" i="6"/>
  <c r="U80" i="6" s="1"/>
  <c r="N80" i="6"/>
  <c r="T80" i="6" s="1"/>
  <c r="M80" i="6"/>
  <c r="S80" i="6" s="1"/>
  <c r="H80" i="6"/>
  <c r="O79" i="6"/>
  <c r="U79" i="6" s="1"/>
  <c r="N79" i="6"/>
  <c r="T79" i="6" s="1"/>
  <c r="M79" i="6"/>
  <c r="S79" i="6" s="1"/>
  <c r="H79" i="6"/>
  <c r="O78" i="6"/>
  <c r="U78" i="6" s="1"/>
  <c r="N78" i="6"/>
  <c r="T78" i="6" s="1"/>
  <c r="M78" i="6"/>
  <c r="S78" i="6" s="1"/>
  <c r="H78" i="6"/>
  <c r="O77" i="6"/>
  <c r="U77" i="6" s="1"/>
  <c r="N77" i="6"/>
  <c r="T77" i="6" s="1"/>
  <c r="M77" i="6"/>
  <c r="S77" i="6" s="1"/>
  <c r="X77" i="6" s="1"/>
  <c r="H77" i="6"/>
  <c r="S76" i="6"/>
  <c r="O76" i="6"/>
  <c r="U76" i="6" s="1"/>
  <c r="N76" i="6"/>
  <c r="T76" i="6" s="1"/>
  <c r="M76" i="6"/>
  <c r="H76" i="6"/>
  <c r="V75" i="6"/>
  <c r="P75" i="6"/>
  <c r="O75" i="6"/>
  <c r="U75" i="6" s="1"/>
  <c r="N75" i="6"/>
  <c r="T75" i="6" s="1"/>
  <c r="M75" i="6"/>
  <c r="S75" i="6" s="1"/>
  <c r="H75" i="6"/>
  <c r="S74" i="6"/>
  <c r="O74" i="6"/>
  <c r="U74" i="6" s="1"/>
  <c r="N74" i="6"/>
  <c r="T74" i="6" s="1"/>
  <c r="M74" i="6"/>
  <c r="H74" i="6"/>
  <c r="H73" i="6"/>
  <c r="H72" i="6"/>
  <c r="O71" i="6"/>
  <c r="U71" i="6" s="1"/>
  <c r="N71" i="6"/>
  <c r="T71" i="6" s="1"/>
  <c r="M71" i="6"/>
  <c r="S71" i="6" s="1"/>
  <c r="H71" i="6"/>
  <c r="S70" i="6"/>
  <c r="O70" i="6"/>
  <c r="U70" i="6" s="1"/>
  <c r="N70" i="6"/>
  <c r="T70" i="6" s="1"/>
  <c r="M70" i="6"/>
  <c r="H70" i="6"/>
  <c r="O69" i="6"/>
  <c r="U69" i="6" s="1"/>
  <c r="N69" i="6"/>
  <c r="T69" i="6" s="1"/>
  <c r="M69" i="6"/>
  <c r="S69" i="6" s="1"/>
  <c r="H69" i="6"/>
  <c r="O68" i="6"/>
  <c r="U68" i="6" s="1"/>
  <c r="N68" i="6"/>
  <c r="T68" i="6" s="1"/>
  <c r="M68" i="6"/>
  <c r="S68" i="6" s="1"/>
  <c r="H68" i="6"/>
  <c r="O67" i="6"/>
  <c r="U67" i="6" s="1"/>
  <c r="N67" i="6"/>
  <c r="T67" i="6" s="1"/>
  <c r="M67" i="6"/>
  <c r="S67" i="6" s="1"/>
  <c r="H67" i="6"/>
  <c r="U66" i="6"/>
  <c r="P66" i="6"/>
  <c r="V66" i="6" s="1"/>
  <c r="O66" i="6"/>
  <c r="N66" i="6"/>
  <c r="T66" i="6" s="1"/>
  <c r="M66" i="6"/>
  <c r="S66" i="6" s="1"/>
  <c r="H66" i="6"/>
  <c r="S65" i="6"/>
  <c r="O65" i="6"/>
  <c r="U65" i="6" s="1"/>
  <c r="N65" i="6"/>
  <c r="T65" i="6" s="1"/>
  <c r="M65" i="6"/>
  <c r="H138" i="5"/>
  <c r="H137" i="5"/>
  <c r="H136" i="5"/>
  <c r="H135" i="5"/>
  <c r="H134" i="5"/>
  <c r="H133" i="5"/>
  <c r="H132" i="5"/>
  <c r="H131" i="5"/>
  <c r="H130" i="5"/>
  <c r="H129" i="5"/>
  <c r="H128" i="5"/>
  <c r="H127" i="5"/>
  <c r="H126" i="5"/>
  <c r="H125" i="5"/>
  <c r="H124" i="5"/>
  <c r="H123" i="5"/>
  <c r="H122" i="5"/>
  <c r="H121" i="5"/>
  <c r="H120" i="5"/>
  <c r="H119" i="5"/>
  <c r="H118" i="5"/>
  <c r="H117" i="5"/>
  <c r="H116" i="5"/>
  <c r="H115" i="5"/>
  <c r="H114" i="5"/>
  <c r="H113" i="5"/>
  <c r="H112" i="5"/>
  <c r="H111" i="5"/>
  <c r="H110" i="5"/>
  <c r="H109" i="5"/>
  <c r="H108" i="5"/>
  <c r="H107" i="5"/>
  <c r="H106" i="5"/>
  <c r="H105" i="5"/>
  <c r="H104" i="5"/>
  <c r="H103" i="5"/>
  <c r="H102" i="5"/>
  <c r="H101" i="5"/>
  <c r="H100" i="5"/>
  <c r="H99" i="5"/>
  <c r="H98" i="5"/>
  <c r="H97" i="5"/>
  <c r="H96" i="5"/>
  <c r="H95" i="5"/>
  <c r="H94" i="5"/>
  <c r="H93" i="5"/>
  <c r="H92" i="5"/>
  <c r="H91" i="5"/>
  <c r="H90" i="5"/>
  <c r="H89" i="5"/>
  <c r="T88" i="5"/>
  <c r="S88" i="5"/>
  <c r="R88" i="5"/>
  <c r="H88" i="5"/>
  <c r="T87" i="5"/>
  <c r="S87" i="5"/>
  <c r="R87" i="5"/>
  <c r="W87" i="5" s="1"/>
  <c r="H87" i="5"/>
  <c r="T86" i="5"/>
  <c r="S86" i="5"/>
  <c r="R86" i="5"/>
  <c r="H86" i="5"/>
  <c r="V85" i="5"/>
  <c r="T85" i="5"/>
  <c r="S85" i="5"/>
  <c r="R85" i="5"/>
  <c r="W85" i="5" s="1"/>
  <c r="H85" i="5"/>
  <c r="T84" i="5"/>
  <c r="S84" i="5"/>
  <c r="R84" i="5"/>
  <c r="W84" i="5" s="1"/>
  <c r="H84" i="5"/>
  <c r="U83" i="5"/>
  <c r="T83" i="5"/>
  <c r="V83" i="5" s="1"/>
  <c r="S83" i="5"/>
  <c r="R83" i="5"/>
  <c r="W83" i="5" s="1"/>
  <c r="H83" i="5"/>
  <c r="T82" i="5"/>
  <c r="S82" i="5"/>
  <c r="W82" i="5" s="1"/>
  <c r="R82" i="5"/>
  <c r="H82" i="5"/>
  <c r="H81" i="5"/>
  <c r="T80" i="5"/>
  <c r="S80" i="5"/>
  <c r="R80" i="5"/>
  <c r="H80" i="5"/>
  <c r="T79" i="5"/>
  <c r="S79" i="5"/>
  <c r="R79" i="5"/>
  <c r="W79" i="5" s="1"/>
  <c r="H79" i="5"/>
  <c r="T78" i="5"/>
  <c r="S78" i="5"/>
  <c r="R78" i="5"/>
  <c r="H78" i="5"/>
  <c r="T77" i="5"/>
  <c r="S77" i="5"/>
  <c r="V77" i="5" s="1"/>
  <c r="R77" i="5"/>
  <c r="H77" i="5"/>
  <c r="T76" i="5"/>
  <c r="S76" i="5"/>
  <c r="R76" i="5"/>
  <c r="W76" i="5" s="1"/>
  <c r="H76" i="5"/>
  <c r="U75" i="5"/>
  <c r="T75" i="5"/>
  <c r="S75" i="5"/>
  <c r="R75" i="5"/>
  <c r="W75" i="5" s="1"/>
  <c r="H75" i="5"/>
  <c r="T74" i="5"/>
  <c r="S74" i="5"/>
  <c r="R74" i="5"/>
  <c r="H74" i="5"/>
  <c r="H73" i="5"/>
  <c r="T72" i="5"/>
  <c r="S72" i="5"/>
  <c r="R72" i="5"/>
  <c r="H72" i="5"/>
  <c r="T71" i="5"/>
  <c r="S71" i="5"/>
  <c r="V71" i="5" s="1"/>
  <c r="R71" i="5"/>
  <c r="W71" i="5" s="1"/>
  <c r="H71" i="5"/>
  <c r="T70" i="5"/>
  <c r="S70" i="5"/>
  <c r="R70" i="5"/>
  <c r="H70" i="5"/>
  <c r="W69" i="5"/>
  <c r="T69" i="5"/>
  <c r="S69" i="5"/>
  <c r="R69" i="5"/>
  <c r="V69" i="5" s="1"/>
  <c r="H69" i="5"/>
  <c r="T68" i="5"/>
  <c r="S68" i="5"/>
  <c r="W68" i="5" s="1"/>
  <c r="R68" i="5"/>
  <c r="H68" i="5"/>
  <c r="U67" i="5"/>
  <c r="T67" i="5"/>
  <c r="S67" i="5"/>
  <c r="R67" i="5"/>
  <c r="H67" i="5"/>
  <c r="T66" i="5"/>
  <c r="S66" i="5"/>
  <c r="R66" i="5"/>
  <c r="F128" i="4"/>
  <c r="F127" i="4"/>
  <c r="F126" i="4"/>
  <c r="F125" i="4"/>
  <c r="H125" i="4" s="1"/>
  <c r="F124" i="4"/>
  <c r="F123" i="4"/>
  <c r="F122" i="4"/>
  <c r="F121" i="4"/>
  <c r="F120" i="4"/>
  <c r="F119" i="4"/>
  <c r="F118" i="4"/>
  <c r="F117" i="4"/>
  <c r="F116" i="4"/>
  <c r="F115" i="4"/>
  <c r="F114" i="4"/>
  <c r="H113" i="4"/>
  <c r="F113" i="4"/>
  <c r="F112" i="4"/>
  <c r="F111" i="4"/>
  <c r="F110" i="4"/>
  <c r="F109" i="4"/>
  <c r="F108" i="4"/>
  <c r="F107" i="4"/>
  <c r="H105" i="4" s="1"/>
  <c r="F106" i="4"/>
  <c r="F105" i="4"/>
  <c r="F104" i="4"/>
  <c r="F103" i="4"/>
  <c r="F102" i="4"/>
  <c r="F101" i="4"/>
  <c r="H101" i="4" s="1"/>
  <c r="F100" i="4"/>
  <c r="F99" i="4"/>
  <c r="F98" i="4"/>
  <c r="F97" i="4"/>
  <c r="G97" i="4" s="1"/>
  <c r="F96" i="4"/>
  <c r="F95" i="4"/>
  <c r="F94" i="4"/>
  <c r="F93" i="4"/>
  <c r="H93" i="4" s="1"/>
  <c r="F92" i="4"/>
  <c r="F91" i="4"/>
  <c r="F90" i="4"/>
  <c r="F89" i="4"/>
  <c r="F88" i="4"/>
  <c r="F87" i="4"/>
  <c r="F86" i="4"/>
  <c r="F85" i="4"/>
  <c r="F84" i="4"/>
  <c r="F83" i="4"/>
  <c r="F82" i="4"/>
  <c r="H81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H69" i="4" s="1"/>
  <c r="F68" i="4"/>
  <c r="F67" i="4"/>
  <c r="F66" i="4"/>
  <c r="F65" i="4"/>
  <c r="G65" i="4" s="1"/>
  <c r="M16" i="4"/>
  <c r="G121" i="3"/>
  <c r="J121" i="3" s="1"/>
  <c r="G120" i="3"/>
  <c r="J120" i="3" s="1"/>
  <c r="G119" i="3"/>
  <c r="J119" i="3" s="1"/>
  <c r="G118" i="3"/>
  <c r="J117" i="3"/>
  <c r="G117" i="3"/>
  <c r="G116" i="3"/>
  <c r="J116" i="3" s="1"/>
  <c r="G115" i="3"/>
  <c r="J115" i="3" s="1"/>
  <c r="G114" i="3"/>
  <c r="G113" i="3"/>
  <c r="J113" i="3" s="1"/>
  <c r="G112" i="3"/>
  <c r="J112" i="3" s="1"/>
  <c r="J111" i="3"/>
  <c r="G111" i="3"/>
  <c r="G110" i="3"/>
  <c r="I110" i="3" s="1"/>
  <c r="G109" i="3"/>
  <c r="J109" i="3" s="1"/>
  <c r="G108" i="3"/>
  <c r="J108" i="3" s="1"/>
  <c r="G107" i="3"/>
  <c r="J107" i="3" s="1"/>
  <c r="G106" i="3"/>
  <c r="J105" i="3"/>
  <c r="G105" i="3"/>
  <c r="G104" i="3"/>
  <c r="J104" i="3" s="1"/>
  <c r="G103" i="3"/>
  <c r="J103" i="3" s="1"/>
  <c r="G102" i="3"/>
  <c r="G101" i="3"/>
  <c r="J101" i="3" s="1"/>
  <c r="G100" i="3"/>
  <c r="J100" i="3" s="1"/>
  <c r="J99" i="3"/>
  <c r="G99" i="3"/>
  <c r="G98" i="3"/>
  <c r="I98" i="3" s="1"/>
  <c r="G97" i="3"/>
  <c r="J97" i="3" s="1"/>
  <c r="G96" i="3"/>
  <c r="J96" i="3" s="1"/>
  <c r="G95" i="3"/>
  <c r="J95" i="3" s="1"/>
  <c r="G94" i="3"/>
  <c r="J93" i="3"/>
  <c r="G93" i="3"/>
  <c r="G92" i="3"/>
  <c r="J92" i="3" s="1"/>
  <c r="G91" i="3"/>
  <c r="J91" i="3" s="1"/>
  <c r="G90" i="3"/>
  <c r="G89" i="3"/>
  <c r="J89" i="3" s="1"/>
  <c r="G88" i="3"/>
  <c r="J88" i="3" s="1"/>
  <c r="J87" i="3"/>
  <c r="G87" i="3"/>
  <c r="G86" i="3"/>
  <c r="I86" i="3" s="1"/>
  <c r="G85" i="3"/>
  <c r="J85" i="3" s="1"/>
  <c r="G84" i="3"/>
  <c r="J84" i="3" s="1"/>
  <c r="G83" i="3"/>
  <c r="J83" i="3" s="1"/>
  <c r="G82" i="3"/>
  <c r="J81" i="3"/>
  <c r="G81" i="3"/>
  <c r="G80" i="3"/>
  <c r="J80" i="3" s="1"/>
  <c r="G79" i="3"/>
  <c r="J79" i="3" s="1"/>
  <c r="G78" i="3"/>
  <c r="G77" i="3"/>
  <c r="J77" i="3" s="1"/>
  <c r="G76" i="3"/>
  <c r="J76" i="3" s="1"/>
  <c r="J75" i="3"/>
  <c r="G75" i="3"/>
  <c r="G74" i="3"/>
  <c r="R66" i="3" s="1"/>
  <c r="S66" i="3" s="1"/>
  <c r="G73" i="3"/>
  <c r="J73" i="3" s="1"/>
  <c r="V72" i="3"/>
  <c r="G72" i="3"/>
  <c r="J72" i="3" s="1"/>
  <c r="G71" i="3"/>
  <c r="J71" i="3" s="1"/>
  <c r="G70" i="3"/>
  <c r="G69" i="3"/>
  <c r="J69" i="3" s="1"/>
  <c r="V68" i="3"/>
  <c r="J68" i="3"/>
  <c r="G68" i="3"/>
  <c r="G67" i="3"/>
  <c r="J67" i="3" s="1"/>
  <c r="G66" i="3"/>
  <c r="H66" i="3" s="1"/>
  <c r="G65" i="3"/>
  <c r="J65" i="3" s="1"/>
  <c r="J64" i="3"/>
  <c r="G64" i="3"/>
  <c r="G63" i="3"/>
  <c r="J63" i="3" s="1"/>
  <c r="G62" i="3"/>
  <c r="J62" i="3" s="1"/>
  <c r="R61" i="3"/>
  <c r="S61" i="3" s="1"/>
  <c r="G61" i="3"/>
  <c r="J61" i="3" s="1"/>
  <c r="V60" i="3"/>
  <c r="G60" i="3"/>
  <c r="J60" i="3" s="1"/>
  <c r="G59" i="3"/>
  <c r="J59" i="3" s="1"/>
  <c r="I58" i="3"/>
  <c r="G58" i="3"/>
  <c r="J58" i="3" s="1"/>
  <c r="G123" i="2"/>
  <c r="G122" i="2"/>
  <c r="J122" i="2" s="1"/>
  <c r="G121" i="2"/>
  <c r="J121" i="2" s="1"/>
  <c r="G120" i="2"/>
  <c r="J120" i="2" s="1"/>
  <c r="G119" i="2"/>
  <c r="G118" i="2"/>
  <c r="J118" i="2" s="1"/>
  <c r="G117" i="2"/>
  <c r="J117" i="2" s="1"/>
  <c r="G116" i="2"/>
  <c r="J116" i="2" s="1"/>
  <c r="G115" i="2"/>
  <c r="I112" i="2" s="1"/>
  <c r="G114" i="2"/>
  <c r="J114" i="2" s="1"/>
  <c r="J113" i="2"/>
  <c r="G113" i="2"/>
  <c r="G112" i="2"/>
  <c r="J112" i="2" s="1"/>
  <c r="G111" i="2"/>
  <c r="G110" i="2"/>
  <c r="J110" i="2" s="1"/>
  <c r="J109" i="2"/>
  <c r="G109" i="2"/>
  <c r="G108" i="2"/>
  <c r="J108" i="2" s="1"/>
  <c r="G107" i="2"/>
  <c r="I104" i="2" s="1"/>
  <c r="G106" i="2"/>
  <c r="J106" i="2" s="1"/>
  <c r="J105" i="2"/>
  <c r="G105" i="2"/>
  <c r="R73" i="2" s="1"/>
  <c r="S73" i="2" s="1"/>
  <c r="G104" i="2"/>
  <c r="J104" i="2" s="1"/>
  <c r="G103" i="2"/>
  <c r="G102" i="2"/>
  <c r="J102" i="2" s="1"/>
  <c r="G101" i="2"/>
  <c r="J101" i="2" s="1"/>
  <c r="G100" i="2"/>
  <c r="J100" i="2" s="1"/>
  <c r="G99" i="2"/>
  <c r="G98" i="2"/>
  <c r="J98" i="2" s="1"/>
  <c r="J97" i="2"/>
  <c r="G97" i="2"/>
  <c r="G96" i="2"/>
  <c r="R71" i="2" s="1"/>
  <c r="S71" i="2" s="1"/>
  <c r="G95" i="2"/>
  <c r="I92" i="2" s="1"/>
  <c r="G94" i="2"/>
  <c r="J94" i="2" s="1"/>
  <c r="J93" i="2"/>
  <c r="G93" i="2"/>
  <c r="G92" i="2"/>
  <c r="J92" i="2" s="1"/>
  <c r="G91" i="2"/>
  <c r="I88" i="2" s="1"/>
  <c r="G90" i="2"/>
  <c r="J90" i="2" s="1"/>
  <c r="J89" i="2"/>
  <c r="G89" i="2"/>
  <c r="G88" i="2"/>
  <c r="G87" i="2"/>
  <c r="G86" i="2"/>
  <c r="J86" i="2" s="1"/>
  <c r="J85" i="2"/>
  <c r="G85" i="2"/>
  <c r="G84" i="2"/>
  <c r="J84" i="2" s="1"/>
  <c r="G83" i="2"/>
  <c r="G82" i="2"/>
  <c r="J82" i="2" s="1"/>
  <c r="J81" i="2"/>
  <c r="G81" i="2"/>
  <c r="G80" i="2"/>
  <c r="G79" i="2"/>
  <c r="J79" i="2" s="1"/>
  <c r="G78" i="2"/>
  <c r="J78" i="2" s="1"/>
  <c r="G77" i="2"/>
  <c r="Q76" i="2"/>
  <c r="J76" i="2"/>
  <c r="G76" i="2"/>
  <c r="Q66" i="2" s="1"/>
  <c r="G75" i="2"/>
  <c r="J75" i="2" s="1"/>
  <c r="G74" i="2"/>
  <c r="J74" i="2" s="1"/>
  <c r="G73" i="2"/>
  <c r="G72" i="2"/>
  <c r="R65" i="2" s="1"/>
  <c r="S65" i="2" s="1"/>
  <c r="J71" i="2"/>
  <c r="G71" i="2"/>
  <c r="G70" i="2"/>
  <c r="J70" i="2" s="1"/>
  <c r="J69" i="2"/>
  <c r="G69" i="2"/>
  <c r="J68" i="2"/>
  <c r="L68" i="2" s="1"/>
  <c r="I68" i="2"/>
  <c r="G68" i="2"/>
  <c r="G67" i="2"/>
  <c r="J67" i="2" s="1"/>
  <c r="G66" i="2"/>
  <c r="J66" i="2" s="1"/>
  <c r="G65" i="2"/>
  <c r="J65" i="2" s="1"/>
  <c r="S64" i="2"/>
  <c r="V64" i="2" s="1"/>
  <c r="G64" i="2"/>
  <c r="J64" i="2" s="1"/>
  <c r="S63" i="2"/>
  <c r="V63" i="2" s="1"/>
  <c r="G63" i="2"/>
  <c r="J63" i="2" s="1"/>
  <c r="S62" i="2"/>
  <c r="V62" i="2" s="1"/>
  <c r="G62" i="2"/>
  <c r="J62" i="2" s="1"/>
  <c r="G61" i="2"/>
  <c r="J61" i="2" s="1"/>
  <c r="G60" i="2"/>
  <c r="J60" i="2" s="1"/>
  <c r="L16" i="2"/>
  <c r="K16" i="2"/>
  <c r="L15" i="2"/>
  <c r="K15" i="2"/>
  <c r="L14" i="2"/>
  <c r="K14" i="2"/>
  <c r="L13" i="2"/>
  <c r="K13" i="2"/>
  <c r="L12" i="2"/>
  <c r="K12" i="2"/>
  <c r="L11" i="2"/>
  <c r="K11" i="2"/>
  <c r="L10" i="2"/>
  <c r="K10" i="2"/>
  <c r="L9" i="2"/>
  <c r="K9" i="2"/>
  <c r="B9" i="2"/>
  <c r="F125" i="1"/>
  <c r="F124" i="1"/>
  <c r="F123" i="1"/>
  <c r="F122" i="1"/>
  <c r="F121" i="1"/>
  <c r="F120" i="1"/>
  <c r="F119" i="1"/>
  <c r="F118" i="1"/>
  <c r="F117" i="1"/>
  <c r="F116" i="1"/>
  <c r="F115" i="1"/>
  <c r="F114" i="1"/>
  <c r="S78" i="1" s="1"/>
  <c r="T78" i="1" s="1"/>
  <c r="F113" i="1"/>
  <c r="F112" i="1"/>
  <c r="F111" i="1"/>
  <c r="F110" i="1"/>
  <c r="S77" i="1" s="1"/>
  <c r="T77" i="1" s="1"/>
  <c r="F109" i="1"/>
  <c r="F108" i="1"/>
  <c r="F107" i="1"/>
  <c r="F106" i="1"/>
  <c r="F105" i="1"/>
  <c r="F104" i="1"/>
  <c r="F103" i="1"/>
  <c r="F102" i="1"/>
  <c r="S75" i="1" s="1"/>
  <c r="T75" i="1" s="1"/>
  <c r="F101" i="1"/>
  <c r="F100" i="1"/>
  <c r="F99" i="1"/>
  <c r="H98" i="1" s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X81" i="1"/>
  <c r="F81" i="1"/>
  <c r="S80" i="1"/>
  <c r="T80" i="1" s="1"/>
  <c r="F80" i="1"/>
  <c r="F79" i="1"/>
  <c r="H79" i="1" s="1"/>
  <c r="F78" i="1"/>
  <c r="F77" i="1"/>
  <c r="H76" i="1"/>
  <c r="F76" i="1"/>
  <c r="S68" i="1" s="1"/>
  <c r="T68" i="1" s="1"/>
  <c r="F75" i="1"/>
  <c r="F74" i="1"/>
  <c r="S73" i="1"/>
  <c r="T73" i="1" s="1"/>
  <c r="F73" i="1"/>
  <c r="S67" i="1" s="1"/>
  <c r="T67" i="1" s="1"/>
  <c r="F72" i="1"/>
  <c r="F71" i="1"/>
  <c r="F70" i="1"/>
  <c r="F69" i="1"/>
  <c r="F68" i="1"/>
  <c r="F67" i="1"/>
  <c r="F66" i="1"/>
  <c r="F65" i="1"/>
  <c r="H65" i="1" s="1"/>
  <c r="M16" i="1"/>
  <c r="W70" i="6" l="1"/>
  <c r="X70" i="6"/>
  <c r="I80" i="2"/>
  <c r="H62" i="3"/>
  <c r="J66" i="3"/>
  <c r="L66" i="3" s="1"/>
  <c r="I78" i="3"/>
  <c r="I90" i="3"/>
  <c r="I102" i="3"/>
  <c r="I114" i="3"/>
  <c r="W74" i="8"/>
  <c r="H122" i="1"/>
  <c r="R67" i="1"/>
  <c r="R69" i="1"/>
  <c r="Q71" i="3"/>
  <c r="R71" i="1"/>
  <c r="H106" i="1"/>
  <c r="S79" i="1"/>
  <c r="T79" i="1" s="1"/>
  <c r="W79" i="1" s="1"/>
  <c r="G86" i="1"/>
  <c r="G118" i="1"/>
  <c r="S71" i="1"/>
  <c r="T71" i="1" s="1"/>
  <c r="W71" i="1" s="1"/>
  <c r="R72" i="2"/>
  <c r="S72" i="2" s="1"/>
  <c r="R75" i="2"/>
  <c r="S75" i="2" s="1"/>
  <c r="I62" i="3"/>
  <c r="J78" i="3"/>
  <c r="L78" i="3" s="1"/>
  <c r="J90" i="3"/>
  <c r="L90" i="3" s="1"/>
  <c r="J102" i="3"/>
  <c r="L102" i="3" s="1"/>
  <c r="J114" i="3"/>
  <c r="L114" i="3" s="1"/>
  <c r="W70" i="5"/>
  <c r="W65" i="6"/>
  <c r="H68" i="2"/>
  <c r="H76" i="2"/>
  <c r="I120" i="2"/>
  <c r="Q62" i="3"/>
  <c r="R67" i="3"/>
  <c r="S67" i="3" s="1"/>
  <c r="G73" i="4"/>
  <c r="G105" i="4"/>
  <c r="X65" i="6"/>
  <c r="W77" i="6"/>
  <c r="S70" i="8"/>
  <c r="T70" i="8" s="1"/>
  <c r="W70" i="8" s="1"/>
  <c r="H79" i="8"/>
  <c r="R62" i="3"/>
  <c r="S62" i="3" s="1"/>
  <c r="V62" i="3" s="1"/>
  <c r="Q73" i="3"/>
  <c r="H73" i="4"/>
  <c r="W74" i="5"/>
  <c r="V87" i="5"/>
  <c r="H85" i="4"/>
  <c r="H117" i="4"/>
  <c r="W77" i="5"/>
  <c r="V79" i="5"/>
  <c r="H76" i="8"/>
  <c r="R71" i="8"/>
  <c r="S73" i="8"/>
  <c r="T73" i="8" s="1"/>
  <c r="W73" i="8" s="1"/>
  <c r="I76" i="2"/>
  <c r="I84" i="2"/>
  <c r="J74" i="3"/>
  <c r="L74" i="3" s="1"/>
  <c r="J86" i="3"/>
  <c r="L86" i="3" s="1"/>
  <c r="J98" i="3"/>
  <c r="L98" i="3" s="1"/>
  <c r="J110" i="3"/>
  <c r="L110" i="3" s="1"/>
  <c r="H27" i="7"/>
  <c r="R76" i="8"/>
  <c r="G86" i="8"/>
  <c r="G94" i="8"/>
  <c r="G102" i="8"/>
  <c r="G110" i="8"/>
  <c r="K68" i="2"/>
  <c r="R69" i="2"/>
  <c r="S69" i="2" s="1"/>
  <c r="H65" i="4"/>
  <c r="H97" i="4"/>
  <c r="W80" i="5"/>
  <c r="W88" i="5"/>
  <c r="R66" i="8"/>
  <c r="S76" i="8"/>
  <c r="T76" i="8" s="1"/>
  <c r="W76" i="8" s="1"/>
  <c r="H94" i="8"/>
  <c r="H102" i="8"/>
  <c r="R69" i="3"/>
  <c r="S69" i="3" s="1"/>
  <c r="V69" i="3" s="1"/>
  <c r="H77" i="4"/>
  <c r="H109" i="4"/>
  <c r="W66" i="5"/>
  <c r="W68" i="8"/>
  <c r="R72" i="8"/>
  <c r="G76" i="8"/>
  <c r="R77" i="8"/>
  <c r="S69" i="1"/>
  <c r="T69" i="1" s="1"/>
  <c r="W69" i="1" s="1"/>
  <c r="G65" i="1"/>
  <c r="H64" i="2"/>
  <c r="R67" i="2"/>
  <c r="S67" i="2" s="1"/>
  <c r="I96" i="2"/>
  <c r="R65" i="3"/>
  <c r="S65" i="3" s="1"/>
  <c r="V65" i="3" s="1"/>
  <c r="I82" i="3"/>
  <c r="I94" i="3"/>
  <c r="I106" i="3"/>
  <c r="I118" i="3"/>
  <c r="G89" i="4"/>
  <c r="G121" i="4"/>
  <c r="W86" i="5"/>
  <c r="S72" i="8"/>
  <c r="T72" i="8" s="1"/>
  <c r="G110" i="1"/>
  <c r="W67" i="1"/>
  <c r="H90" i="1"/>
  <c r="G102" i="1"/>
  <c r="R80" i="1"/>
  <c r="W80" i="1" s="1"/>
  <c r="H82" i="1"/>
  <c r="R73" i="1"/>
  <c r="W73" i="1" s="1"/>
  <c r="H114" i="1"/>
  <c r="H69" i="1"/>
  <c r="G76" i="1"/>
  <c r="G94" i="1"/>
  <c r="R78" i="1"/>
  <c r="W78" i="1" s="1"/>
  <c r="I116" i="2"/>
  <c r="J82" i="3"/>
  <c r="L82" i="3" s="1"/>
  <c r="J94" i="3"/>
  <c r="L94" i="3" s="1"/>
  <c r="J106" i="3"/>
  <c r="L106" i="3" s="1"/>
  <c r="J118" i="3"/>
  <c r="L118" i="3" s="1"/>
  <c r="H89" i="4"/>
  <c r="H121" i="4"/>
  <c r="W67" i="5"/>
  <c r="W78" i="5"/>
  <c r="X74" i="6"/>
  <c r="R69" i="8"/>
  <c r="R67" i="8"/>
  <c r="W67" i="8" s="1"/>
  <c r="S69" i="8"/>
  <c r="T69" i="8" s="1"/>
  <c r="W69" i="8" s="1"/>
  <c r="R78" i="8"/>
  <c r="I72" i="2"/>
  <c r="R74" i="2"/>
  <c r="S74" i="2" s="1"/>
  <c r="V74" i="2" s="1"/>
  <c r="R77" i="2"/>
  <c r="S77" i="2" s="1"/>
  <c r="G81" i="4"/>
  <c r="G113" i="4"/>
  <c r="W72" i="5"/>
  <c r="V82" i="5"/>
  <c r="S65" i="8"/>
  <c r="T65" i="8" s="1"/>
  <c r="W65" i="8" s="1"/>
  <c r="R74" i="8"/>
  <c r="S78" i="8"/>
  <c r="T78" i="8" s="1"/>
  <c r="W71" i="6"/>
  <c r="X71" i="6"/>
  <c r="X75" i="6"/>
  <c r="W75" i="6"/>
  <c r="W67" i="6"/>
  <c r="X67" i="6"/>
  <c r="L58" i="3"/>
  <c r="K58" i="3"/>
  <c r="X66" i="6"/>
  <c r="W66" i="6"/>
  <c r="W71" i="8"/>
  <c r="V75" i="2"/>
  <c r="L116" i="2"/>
  <c r="K116" i="2"/>
  <c r="X80" i="6"/>
  <c r="W77" i="8"/>
  <c r="L60" i="2"/>
  <c r="K60" i="2"/>
  <c r="X78" i="6"/>
  <c r="W78" i="6"/>
  <c r="K64" i="2"/>
  <c r="L64" i="2"/>
  <c r="W74" i="6"/>
  <c r="X76" i="6"/>
  <c r="K84" i="2"/>
  <c r="X68" i="6"/>
  <c r="W68" i="6"/>
  <c r="K62" i="3"/>
  <c r="L62" i="3"/>
  <c r="X69" i="6"/>
  <c r="W69" i="6"/>
  <c r="X79" i="6"/>
  <c r="W79" i="6"/>
  <c r="R66" i="2"/>
  <c r="S66" i="2" s="1"/>
  <c r="V66" i="2" s="1"/>
  <c r="J73" i="2"/>
  <c r="R76" i="2"/>
  <c r="S76" i="2" s="1"/>
  <c r="V76" i="2" s="1"/>
  <c r="J83" i="2"/>
  <c r="J87" i="2"/>
  <c r="L84" i="2" s="1"/>
  <c r="J91" i="2"/>
  <c r="J95" i="2"/>
  <c r="L92" i="2" s="1"/>
  <c r="J99" i="2"/>
  <c r="J103" i="2"/>
  <c r="L100" i="2" s="1"/>
  <c r="J107" i="2"/>
  <c r="L104" i="2" s="1"/>
  <c r="J111" i="2"/>
  <c r="L108" i="2" s="1"/>
  <c r="J115" i="2"/>
  <c r="L112" i="2" s="1"/>
  <c r="J119" i="2"/>
  <c r="J123" i="2"/>
  <c r="L120" i="2" s="1"/>
  <c r="Q64" i="3"/>
  <c r="I66" i="3"/>
  <c r="H70" i="3"/>
  <c r="R71" i="3"/>
  <c r="S71" i="3" s="1"/>
  <c r="V71" i="3" s="1"/>
  <c r="Q75" i="3"/>
  <c r="K78" i="3"/>
  <c r="K82" i="3"/>
  <c r="K86" i="3"/>
  <c r="K90" i="3"/>
  <c r="K114" i="3"/>
  <c r="V66" i="5"/>
  <c r="H69" i="8"/>
  <c r="H102" i="1"/>
  <c r="S74" i="1"/>
  <c r="T74" i="1" s="1"/>
  <c r="Q73" i="2"/>
  <c r="V73" i="2" s="1"/>
  <c r="Q75" i="2"/>
  <c r="R64" i="3"/>
  <c r="S64" i="3" s="1"/>
  <c r="I70" i="3"/>
  <c r="H74" i="3"/>
  <c r="R75" i="3"/>
  <c r="S75" i="3" s="1"/>
  <c r="V68" i="5"/>
  <c r="V70" i="5"/>
  <c r="V72" i="5"/>
  <c r="G65" i="8"/>
  <c r="G118" i="8"/>
  <c r="H86" i="1"/>
  <c r="H110" i="1"/>
  <c r="R65" i="1"/>
  <c r="S65" i="1"/>
  <c r="T65" i="1" s="1"/>
  <c r="H72" i="2"/>
  <c r="H80" i="2"/>
  <c r="H84" i="2"/>
  <c r="H88" i="2"/>
  <c r="H92" i="2"/>
  <c r="H96" i="2"/>
  <c r="H100" i="2"/>
  <c r="H104" i="2"/>
  <c r="H108" i="2"/>
  <c r="H112" i="2"/>
  <c r="H116" i="2"/>
  <c r="H120" i="2"/>
  <c r="H58" i="3"/>
  <c r="Q61" i="3"/>
  <c r="V61" i="3" s="1"/>
  <c r="J70" i="3"/>
  <c r="I74" i="3"/>
  <c r="H65" i="8"/>
  <c r="H118" i="8"/>
  <c r="R76" i="1"/>
  <c r="Q68" i="2"/>
  <c r="Q70" i="2"/>
  <c r="I100" i="2"/>
  <c r="I108" i="2"/>
  <c r="V75" i="5"/>
  <c r="R74" i="1"/>
  <c r="H94" i="1"/>
  <c r="H118" i="1"/>
  <c r="S76" i="1"/>
  <c r="T76" i="1" s="1"/>
  <c r="R72" i="1"/>
  <c r="S72" i="1"/>
  <c r="T72" i="1" s="1"/>
  <c r="W72" i="1" s="1"/>
  <c r="G79" i="1"/>
  <c r="R68" i="1"/>
  <c r="W68" i="1" s="1"/>
  <c r="R70" i="1"/>
  <c r="H60" i="2"/>
  <c r="R68" i="2"/>
  <c r="S68" i="2" s="1"/>
  <c r="R70" i="2"/>
  <c r="S70" i="2" s="1"/>
  <c r="J72" i="2"/>
  <c r="J77" i="2"/>
  <c r="L76" i="2" s="1"/>
  <c r="J80" i="2"/>
  <c r="J88" i="2"/>
  <c r="J96" i="2"/>
  <c r="Q66" i="3"/>
  <c r="V66" i="3" s="1"/>
  <c r="K74" i="3"/>
  <c r="G69" i="4"/>
  <c r="G77" i="4"/>
  <c r="G85" i="4"/>
  <c r="G93" i="4"/>
  <c r="G101" i="4"/>
  <c r="G109" i="4"/>
  <c r="G117" i="4"/>
  <c r="G125" i="4"/>
  <c r="S70" i="1"/>
  <c r="T70" i="1" s="1"/>
  <c r="R75" i="1"/>
  <c r="W75" i="1" s="1"/>
  <c r="R77" i="1"/>
  <c r="W77" i="1" s="1"/>
  <c r="R79" i="1"/>
  <c r="G82" i="1"/>
  <c r="G90" i="1"/>
  <c r="G98" i="1"/>
  <c r="G106" i="1"/>
  <c r="G114" i="1"/>
  <c r="G122" i="1"/>
  <c r="I60" i="2"/>
  <c r="Q65" i="2"/>
  <c r="V65" i="2" s="1"/>
  <c r="Q67" i="2"/>
  <c r="V67" i="2" s="1"/>
  <c r="Q77" i="2"/>
  <c r="Q70" i="3"/>
  <c r="V84" i="5"/>
  <c r="V86" i="5"/>
  <c r="V88" i="5"/>
  <c r="R66" i="1"/>
  <c r="Q63" i="3"/>
  <c r="Q65" i="3"/>
  <c r="R70" i="3"/>
  <c r="S70" i="3" s="1"/>
  <c r="Q74" i="3"/>
  <c r="W76" i="6"/>
  <c r="W80" i="6"/>
  <c r="S66" i="1"/>
  <c r="T66" i="1" s="1"/>
  <c r="Q72" i="2"/>
  <c r="V72" i="2" s="1"/>
  <c r="Q74" i="2"/>
  <c r="R63" i="3"/>
  <c r="S63" i="3" s="1"/>
  <c r="Q69" i="3"/>
  <c r="R74" i="3"/>
  <c r="S74" i="3" s="1"/>
  <c r="V67" i="5"/>
  <c r="G122" i="8"/>
  <c r="V74" i="5"/>
  <c r="G69" i="1"/>
  <c r="I64" i="2"/>
  <c r="Q69" i="2"/>
  <c r="Q71" i="2"/>
  <c r="V71" i="2" s="1"/>
  <c r="K76" i="2"/>
  <c r="R73" i="3"/>
  <c r="S73" i="3" s="1"/>
  <c r="V73" i="3" s="1"/>
  <c r="H78" i="3"/>
  <c r="H82" i="3"/>
  <c r="H86" i="3"/>
  <c r="H90" i="3"/>
  <c r="H94" i="3"/>
  <c r="H98" i="3"/>
  <c r="H102" i="3"/>
  <c r="H106" i="3"/>
  <c r="H110" i="3"/>
  <c r="H114" i="3"/>
  <c r="H118" i="3"/>
  <c r="V76" i="5"/>
  <c r="V78" i="5"/>
  <c r="V80" i="5"/>
  <c r="S66" i="8"/>
  <c r="T66" i="8" s="1"/>
  <c r="W66" i="8" s="1"/>
  <c r="Q67" i="3"/>
  <c r="V67" i="3" s="1"/>
  <c r="K104" i="2" l="1"/>
  <c r="W66" i="1"/>
  <c r="K66" i="3"/>
  <c r="K100" i="2"/>
  <c r="K118" i="3"/>
  <c r="V69" i="2"/>
  <c r="W76" i="1"/>
  <c r="K106" i="3"/>
  <c r="W72" i="8"/>
  <c r="K102" i="3"/>
  <c r="V77" i="2"/>
  <c r="W70" i="1"/>
  <c r="K110" i="3"/>
  <c r="W78" i="8"/>
  <c r="V70" i="2"/>
  <c r="W65" i="1"/>
  <c r="K98" i="3"/>
  <c r="V68" i="2"/>
  <c r="K94" i="3"/>
  <c r="L70" i="3"/>
  <c r="K70" i="3"/>
  <c r="V64" i="3"/>
  <c r="V74" i="3"/>
  <c r="V75" i="3"/>
  <c r="K120" i="2"/>
  <c r="W74" i="1"/>
  <c r="K108" i="2"/>
  <c r="L80" i="2"/>
  <c r="K80" i="2"/>
  <c r="V70" i="3"/>
  <c r="V63" i="3"/>
  <c r="K112" i="2"/>
  <c r="L96" i="2"/>
  <c r="K96" i="2"/>
  <c r="L88" i="2"/>
  <c r="K88" i="2"/>
  <c r="K92" i="2"/>
  <c r="L72" i="2"/>
  <c r="K72" i="2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8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  <bk>
      <extLst>
        <ext uri="{3e2802c4-a4d2-4d8b-9148-e3be6c30e623}">
          <xlrd:rvb i="5"/>
        </ext>
      </extLst>
    </bk>
    <bk>
      <extLst>
        <ext uri="{3e2802c4-a4d2-4d8b-9148-e3be6c30e623}">
          <xlrd:rvb i="6"/>
        </ext>
      </extLst>
    </bk>
    <bk>
      <extLst>
        <ext uri="{3e2802c4-a4d2-4d8b-9148-e3be6c30e623}">
          <xlrd:rvb i="7"/>
        </ext>
      </extLst>
    </bk>
  </futureMetadata>
  <valueMetadata count="8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</valueMetadata>
</metadata>
</file>

<file path=xl/sharedStrings.xml><?xml version="1.0" encoding="utf-8"?>
<sst xmlns="http://schemas.openxmlformats.org/spreadsheetml/2006/main" count="3395" uniqueCount="794">
  <si>
    <t xml:space="preserve">##BLOCKS= 9          </t>
  </si>
  <si>
    <t>Note:</t>
  </si>
  <si>
    <t>Basic Endpoint Protocol</t>
  </si>
  <si>
    <t>Use this protocol for endpoint assays that have unknowns that will have concentrations interpolated from a standard curve.  Modify the instrument setup for the wavelength(s) of interest for your assay.  You may also modify the template to include additional standards, unknowns, and controls.</t>
  </si>
  <si>
    <t>~End</t>
  </si>
  <si>
    <t>Plate:</t>
  </si>
  <si>
    <t>Plate#1</t>
  </si>
  <si>
    <t>0.3</t>
  </si>
  <si>
    <t>PlateFormat</t>
  </si>
  <si>
    <t>Endpoint</t>
  </si>
  <si>
    <t>Absorbance</t>
  </si>
  <si>
    <t>Raw</t>
  </si>
  <si>
    <t>None</t>
  </si>
  <si>
    <t>24.90</t>
  </si>
  <si>
    <t>0.8003</t>
  </si>
  <si>
    <t>0.4233</t>
  </si>
  <si>
    <t>0.3412</t>
  </si>
  <si>
    <t>0.2956</t>
  </si>
  <si>
    <t>0.1855</t>
  </si>
  <si>
    <t>0.3765</t>
  </si>
  <si>
    <t>0.3454</t>
  </si>
  <si>
    <t>0.3289</t>
  </si>
  <si>
    <t>0.2827</t>
  </si>
  <si>
    <t>0.0008</t>
  </si>
  <si>
    <t>0.0006</t>
  </si>
  <si>
    <t>0.8121</t>
  </si>
  <si>
    <t>0.5913</t>
  </si>
  <si>
    <t>0.433</t>
  </si>
  <si>
    <t>0.3329</t>
  </si>
  <si>
    <t>0.2452</t>
  </si>
  <si>
    <t>0.1608</t>
  </si>
  <si>
    <t>0.3875</t>
  </si>
  <si>
    <t>0.3572</t>
  </si>
  <si>
    <t>0.3354</t>
  </si>
  <si>
    <t>0.2791</t>
  </si>
  <si>
    <t>0.0005</t>
  </si>
  <si>
    <t>0.6316</t>
  </si>
  <si>
    <t>0.3639</t>
  </si>
  <si>
    <t>0.2246</t>
  </si>
  <si>
    <t>0.3538</t>
  </si>
  <si>
    <t>0.2299</t>
  </si>
  <si>
    <t>0.1461</t>
  </si>
  <si>
    <t>0.3966</t>
  </si>
  <si>
    <t>0.3881</t>
  </si>
  <si>
    <t>0.3359</t>
  </si>
  <si>
    <t>0.2806</t>
  </si>
  <si>
    <t>0.0007</t>
  </si>
  <si>
    <t>0.0013</t>
  </si>
  <si>
    <t>0.4384</t>
  </si>
  <si>
    <t>0.2957</t>
  </si>
  <si>
    <t>0.1619</t>
  </si>
  <si>
    <t>0.3419</t>
  </si>
  <si>
    <t>0.2753</t>
  </si>
  <si>
    <t>0.143</t>
  </si>
  <si>
    <t>0.3928</t>
  </si>
  <si>
    <t>0.372</t>
  </si>
  <si>
    <t>0.3411</t>
  </si>
  <si>
    <t>0.2626</t>
  </si>
  <si>
    <t>0.0003</t>
  </si>
  <si>
    <t>0.0018</t>
  </si>
  <si>
    <t>0.3293</t>
  </si>
  <si>
    <t>0.1973</t>
  </si>
  <si>
    <t>0.7036</t>
  </si>
  <si>
    <t>0.6827</t>
  </si>
  <si>
    <t>0.5532</t>
  </si>
  <si>
    <t>0.4304</t>
  </si>
  <si>
    <t>0.9483</t>
  </si>
  <si>
    <t>0.7054</t>
  </si>
  <si>
    <t>0.6582</t>
  </si>
  <si>
    <t>0.6073</t>
  </si>
  <si>
    <t>0.0004</t>
  </si>
  <si>
    <t>0.2189</t>
  </si>
  <si>
    <t>0.1577</t>
  </si>
  <si>
    <t>0.7302</t>
  </si>
  <si>
    <t>0.6596</t>
  </si>
  <si>
    <t>0.5319</t>
  </si>
  <si>
    <t>0.4072</t>
  </si>
  <si>
    <t>0.7313</t>
  </si>
  <si>
    <t>0.7064</t>
  </si>
  <si>
    <t>0.6887</t>
  </si>
  <si>
    <t>0.6512</t>
  </si>
  <si>
    <t>0.0014</t>
  </si>
  <si>
    <t>0.1662</t>
  </si>
  <si>
    <t>0.1095</t>
  </si>
  <si>
    <t>0.6497</t>
  </si>
  <si>
    <t>0.6627</t>
  </si>
  <si>
    <t>0.623</t>
  </si>
  <si>
    <t>0.5284</t>
  </si>
  <si>
    <t>0.7446</t>
  </si>
  <si>
    <t>0.6912</t>
  </si>
  <si>
    <t>0.6618</t>
  </si>
  <si>
    <t>0.6286</t>
  </si>
  <si>
    <t>0.0057</t>
  </si>
  <si>
    <t>0.1092</t>
  </si>
  <si>
    <t>0.0024</t>
  </si>
  <si>
    <t>0.7145</t>
  </si>
  <si>
    <t>0.5392</t>
  </si>
  <si>
    <t>0.5456</t>
  </si>
  <si>
    <t>0.4646</t>
  </si>
  <si>
    <t>0.7623</t>
  </si>
  <si>
    <t>0.7169</t>
  </si>
  <si>
    <t>0.6825</t>
  </si>
  <si>
    <t>0.6387</t>
  </si>
  <si>
    <t>Group:</t>
  </si>
  <si>
    <t>Santadrd2</t>
  </si>
  <si>
    <t xml:space="preserve"> </t>
  </si>
  <si>
    <t>Group#2</t>
  </si>
  <si>
    <t>Group#1</t>
  </si>
  <si>
    <t>Standards</t>
  </si>
  <si>
    <t>St01</t>
  </si>
  <si>
    <t>2.000</t>
  </si>
  <si>
    <t>1.984</t>
  </si>
  <si>
    <t>A1</t>
  </si>
  <si>
    <t>0.800</t>
  </si>
  <si>
    <t>0.806</t>
  </si>
  <si>
    <t>0.008</t>
  </si>
  <si>
    <t>1.0</t>
  </si>
  <si>
    <t>2.013</t>
  </si>
  <si>
    <t>A12</t>
  </si>
  <si>
    <t>0.812</t>
  </si>
  <si>
    <t>St02</t>
  </si>
  <si>
    <t>1.500</t>
  </si>
  <si>
    <t>1.459</t>
  </si>
  <si>
    <t>B1</t>
  </si>
  <si>
    <t>0.591</t>
  </si>
  <si>
    <t>0.611</t>
  </si>
  <si>
    <t>0.028</t>
  </si>
  <si>
    <t>4.7</t>
  </si>
  <si>
    <t>1.560</t>
  </si>
  <si>
    <t>B12</t>
  </si>
  <si>
    <t>0.632</t>
  </si>
  <si>
    <t>St03</t>
  </si>
  <si>
    <t>1.000</t>
  </si>
  <si>
    <t>0.888</t>
  </si>
  <si>
    <t>C1</t>
  </si>
  <si>
    <t>0.364</t>
  </si>
  <si>
    <t>0.401</t>
  </si>
  <si>
    <t>0.053</t>
  </si>
  <si>
    <t>13.1</t>
  </si>
  <si>
    <t>1.075</t>
  </si>
  <si>
    <t>C12</t>
  </si>
  <si>
    <t>0.438</t>
  </si>
  <si>
    <t>St04</t>
  </si>
  <si>
    <t>0.750</t>
  </si>
  <si>
    <t>0.717</t>
  </si>
  <si>
    <t>D1</t>
  </si>
  <si>
    <t>0.296</t>
  </si>
  <si>
    <t>0.313</t>
  </si>
  <si>
    <t>0.024</t>
  </si>
  <si>
    <t>7.6</t>
  </si>
  <si>
    <t>0.801</t>
  </si>
  <si>
    <t>D12</t>
  </si>
  <si>
    <t>0.329</t>
  </si>
  <si>
    <t>St05</t>
  </si>
  <si>
    <t>0.500</t>
  </si>
  <si>
    <t>0.470</t>
  </si>
  <si>
    <t>E1</t>
  </si>
  <si>
    <t>0.197</t>
  </si>
  <si>
    <t>0.208</t>
  </si>
  <si>
    <t>0.015</t>
  </si>
  <si>
    <t>7.3</t>
  </si>
  <si>
    <t>0.524</t>
  </si>
  <si>
    <t>E12</t>
  </si>
  <si>
    <t>0.219</t>
  </si>
  <si>
    <t>St06</t>
  </si>
  <si>
    <t>0.375</t>
  </si>
  <si>
    <t>0.370</t>
  </si>
  <si>
    <t>F1</t>
  </si>
  <si>
    <t>0.158</t>
  </si>
  <si>
    <t>0.162</t>
  </si>
  <si>
    <t>0.006</t>
  </si>
  <si>
    <t>3.7</t>
  </si>
  <si>
    <t>0.392</t>
  </si>
  <si>
    <t>F12</t>
  </si>
  <si>
    <t>0.166</t>
  </si>
  <si>
    <t>St07</t>
  </si>
  <si>
    <t>0.250</t>
  </si>
  <si>
    <t>0.249</t>
  </si>
  <si>
    <t>G1</t>
  </si>
  <si>
    <t>0.110</t>
  </si>
  <si>
    <t>0.109</t>
  </si>
  <si>
    <t>0.000</t>
  </si>
  <si>
    <t>0.2</t>
  </si>
  <si>
    <t>0.248</t>
  </si>
  <si>
    <t>G12</t>
  </si>
  <si>
    <t>Unknowns</t>
  </si>
  <si>
    <t>Glucose</t>
  </si>
  <si>
    <t>Correct below 5%</t>
  </si>
  <si>
    <t>day</t>
  </si>
  <si>
    <t>time</t>
  </si>
  <si>
    <t>mean</t>
  </si>
  <si>
    <t>SD</t>
  </si>
  <si>
    <t>SEM</t>
  </si>
  <si>
    <t>Co-Culture Medium</t>
  </si>
  <si>
    <t>SEM/mean(%)</t>
  </si>
  <si>
    <t>SEM (corrected)</t>
  </si>
  <si>
    <t>Abs</t>
  </si>
  <si>
    <t>g/L</t>
  </si>
  <si>
    <t>mM</t>
  </si>
  <si>
    <t>Average</t>
  </si>
  <si>
    <t>Un01</t>
  </si>
  <si>
    <t>A2</t>
  </si>
  <si>
    <t>0.423</t>
  </si>
  <si>
    <t>Normoglycemic (5.5 mM), 50 µM Hydrocortisone</t>
  </si>
  <si>
    <t>GTT d1</t>
  </si>
  <si>
    <t>B2</t>
  </si>
  <si>
    <t>0h</t>
  </si>
  <si>
    <t>C2</t>
  </si>
  <si>
    <t>0.225</t>
  </si>
  <si>
    <t>Excluded, sample volume less than 5µl</t>
  </si>
  <si>
    <t>NG</t>
  </si>
  <si>
    <t>D2</t>
  </si>
  <si>
    <t>Un03</t>
  </si>
  <si>
    <t>A3</t>
  </si>
  <si>
    <t>0.341</t>
  </si>
  <si>
    <t>Normoglycemic (11 mM), 50 µM Hydrocortisone</t>
  </si>
  <si>
    <t>8h</t>
  </si>
  <si>
    <t>B3</t>
  </si>
  <si>
    <t>0.333</t>
  </si>
  <si>
    <t>C3</t>
  </si>
  <si>
    <t>0.354</t>
  </si>
  <si>
    <t>D3</t>
  </si>
  <si>
    <t>0.342</t>
  </si>
  <si>
    <t>24h</t>
  </si>
  <si>
    <t>B4</t>
  </si>
  <si>
    <t>0.245</t>
  </si>
  <si>
    <t>Hyperglycemic (11 mM), 50 µM Hydrocortisone</t>
  </si>
  <si>
    <t>C4</t>
  </si>
  <si>
    <t>0.230</t>
  </si>
  <si>
    <t>D4</t>
  </si>
  <si>
    <t>0.275</t>
  </si>
  <si>
    <t>Un05</t>
  </si>
  <si>
    <t>A5</t>
  </si>
  <si>
    <t>0.186</t>
  </si>
  <si>
    <t>C5</t>
  </si>
  <si>
    <t>0.146</t>
  </si>
  <si>
    <t>D5</t>
  </si>
  <si>
    <t>Un06</t>
  </si>
  <si>
    <t>A6</t>
  </si>
  <si>
    <t>0.377</t>
  </si>
  <si>
    <t>GTT d7</t>
  </si>
  <si>
    <t>B6</t>
  </si>
  <si>
    <t>0.388</t>
  </si>
  <si>
    <t>D6</t>
  </si>
  <si>
    <t>0.393</t>
  </si>
  <si>
    <t>Un07</t>
  </si>
  <si>
    <t>A7</t>
  </si>
  <si>
    <t>0.345</t>
  </si>
  <si>
    <t>B7</t>
  </si>
  <si>
    <t>0.357</t>
  </si>
  <si>
    <t>C7</t>
  </si>
  <si>
    <t>These values were left with the original SEM in the end, otherwise one might have misleading results (no IR)</t>
  </si>
  <si>
    <t>D7</t>
  </si>
  <si>
    <t>Un08</t>
  </si>
  <si>
    <t>A8</t>
  </si>
  <si>
    <t>Consider doing the same with normoglycemia</t>
  </si>
  <si>
    <t>B8</t>
  </si>
  <si>
    <t>0.335</t>
  </si>
  <si>
    <t>C8</t>
  </si>
  <si>
    <t>0.336</t>
  </si>
  <si>
    <t>D8</t>
  </si>
  <si>
    <t>Un09</t>
  </si>
  <si>
    <t>A9</t>
  </si>
  <si>
    <t>0.283</t>
  </si>
  <si>
    <t>48h</t>
  </si>
  <si>
    <t>B9</t>
  </si>
  <si>
    <t>0.279</t>
  </si>
  <si>
    <t>C9</t>
  </si>
  <si>
    <t>0.281</t>
  </si>
  <si>
    <t>D9</t>
  </si>
  <si>
    <t>0.263</t>
  </si>
  <si>
    <t>Un10</t>
  </si>
  <si>
    <t>E2</t>
  </si>
  <si>
    <t>0.704</t>
  </si>
  <si>
    <t>F2</t>
  </si>
  <si>
    <t>0.730</t>
  </si>
  <si>
    <t>G2</t>
  </si>
  <si>
    <t>0.650</t>
  </si>
  <si>
    <t>HG</t>
  </si>
  <si>
    <t>H2</t>
  </si>
  <si>
    <t>0.715</t>
  </si>
  <si>
    <t>Un11</t>
  </si>
  <si>
    <t>E3</t>
  </si>
  <si>
    <t>0.683</t>
  </si>
  <si>
    <t>F3</t>
  </si>
  <si>
    <t>0.660</t>
  </si>
  <si>
    <t>G3</t>
  </si>
  <si>
    <t>0.663</t>
  </si>
  <si>
    <t>H3</t>
  </si>
  <si>
    <t>0.539</t>
  </si>
  <si>
    <t>Un12</t>
  </si>
  <si>
    <t>E4</t>
  </si>
  <si>
    <t>0.553</t>
  </si>
  <si>
    <t>F4</t>
  </si>
  <si>
    <t>0.532</t>
  </si>
  <si>
    <t>G4</t>
  </si>
  <si>
    <t>H4</t>
  </si>
  <si>
    <t>0.546</t>
  </si>
  <si>
    <t>Un13</t>
  </si>
  <si>
    <t>E5</t>
  </si>
  <si>
    <t>0.430</t>
  </si>
  <si>
    <t>F5</t>
  </si>
  <si>
    <t>0.407</t>
  </si>
  <si>
    <t>G5</t>
  </si>
  <si>
    <t>0.528</t>
  </si>
  <si>
    <t>H5</t>
  </si>
  <si>
    <t>0.465</t>
  </si>
  <si>
    <t>Un14</t>
  </si>
  <si>
    <t>E6</t>
  </si>
  <si>
    <t>0.948</t>
  </si>
  <si>
    <t>R</t>
  </si>
  <si>
    <t>F6</t>
  </si>
  <si>
    <t>0.731</t>
  </si>
  <si>
    <t>G6</t>
  </si>
  <si>
    <t>0.745</t>
  </si>
  <si>
    <t>H6</t>
  </si>
  <si>
    <t>0.762</t>
  </si>
  <si>
    <t>Un15</t>
  </si>
  <si>
    <t>E7</t>
  </si>
  <si>
    <t>0.705</t>
  </si>
  <si>
    <t>F7</t>
  </si>
  <si>
    <t>0.706</t>
  </si>
  <si>
    <t>G7</t>
  </si>
  <si>
    <t>0.691</t>
  </si>
  <si>
    <t>H7</t>
  </si>
  <si>
    <t>Un16</t>
  </si>
  <si>
    <t>E8</t>
  </si>
  <si>
    <t>0.658</t>
  </si>
  <si>
    <t>F8</t>
  </si>
  <si>
    <t>0.689</t>
  </si>
  <si>
    <t>G8</t>
  </si>
  <si>
    <t>0.662</t>
  </si>
  <si>
    <t>H8</t>
  </si>
  <si>
    <t>Un17</t>
  </si>
  <si>
    <t>E9</t>
  </si>
  <si>
    <t>0.607</t>
  </si>
  <si>
    <t>F9</t>
  </si>
  <si>
    <t>0.651</t>
  </si>
  <si>
    <t>G9</t>
  </si>
  <si>
    <t>0.629</t>
  </si>
  <si>
    <t>H9</t>
  </si>
  <si>
    <t>0.639</t>
  </si>
  <si>
    <t>1.17</t>
  </si>
  <si>
    <t>Control</t>
  </si>
  <si>
    <t>Original Filename: 20200227_Glucose_Chip14_plate1.pda   Date Last Saved: 2020-02-27</t>
  </si>
  <si>
    <t>Copyright © 2004 Molecular Devices. All rights reserved.</t>
  </si>
  <si>
    <t xml:space="preserve">##BLOCKS= 8          </t>
  </si>
  <si>
    <t>0.4738</t>
  </si>
  <si>
    <t>0.1254</t>
  </si>
  <si>
    <t>0.089</t>
  </si>
  <si>
    <t>0.0693</t>
  </si>
  <si>
    <t>0.2164</t>
  </si>
  <si>
    <t>0.0512</t>
  </si>
  <si>
    <t>0.051</t>
  </si>
  <si>
    <t>0.0351</t>
  </si>
  <si>
    <t>0.0032</t>
  </si>
  <si>
    <t>0.0408</t>
  </si>
  <si>
    <t>0.8896</t>
  </si>
  <si>
    <t>0.3016</t>
  </si>
  <si>
    <t>0.2948</t>
  </si>
  <si>
    <t>0.2275</t>
  </si>
  <si>
    <t>0.2416</t>
  </si>
  <si>
    <t>0.1114</t>
  </si>
  <si>
    <t>0.0987</t>
  </si>
  <si>
    <t>0.3562</t>
  </si>
  <si>
    <t>0.0491</t>
  </si>
  <si>
    <t>0.0411</t>
  </si>
  <si>
    <t>0.9205</t>
  </si>
  <si>
    <t>0.6066</t>
  </si>
  <si>
    <t>0.3547</t>
  </si>
  <si>
    <t>0.2346</t>
  </si>
  <si>
    <t>0.0124</t>
  </si>
  <si>
    <t>0.016</t>
  </si>
  <si>
    <t>0.0219</t>
  </si>
  <si>
    <t>0.0104</t>
  </si>
  <si>
    <t>0.0356</t>
  </si>
  <si>
    <t>0.1432</t>
  </si>
  <si>
    <t>0.1906</t>
  </si>
  <si>
    <t>0.1834</t>
  </si>
  <si>
    <t>0.1746</t>
  </si>
  <si>
    <t>0.1397</t>
  </si>
  <si>
    <t>0.0168</t>
  </si>
  <si>
    <t>0.0226</t>
  </si>
  <si>
    <t>0.0286</t>
  </si>
  <si>
    <t>0.0409</t>
  </si>
  <si>
    <t>0.1441</t>
  </si>
  <si>
    <t>0.4492</t>
  </si>
  <si>
    <t>1.4149</t>
  </si>
  <si>
    <t>0.4838</t>
  </si>
  <si>
    <t>0.9814</t>
  </si>
  <si>
    <t>0.8581</t>
  </si>
  <si>
    <t>0.2595</t>
  </si>
  <si>
    <t>0.0475</t>
  </si>
  <si>
    <t>0.0653</t>
  </si>
  <si>
    <t>0.0759</t>
  </si>
  <si>
    <t>0.4282</t>
  </si>
  <si>
    <t>1.4336</t>
  </si>
  <si>
    <t>2.9208</t>
  </si>
  <si>
    <t>0.6846</t>
  </si>
  <si>
    <t>1.0538</t>
  </si>
  <si>
    <t>0.9377</t>
  </si>
  <si>
    <t>0.1017</t>
  </si>
  <si>
    <t>0.0514</t>
  </si>
  <si>
    <t>0.0861</t>
  </si>
  <si>
    <t>0.0894</t>
  </si>
  <si>
    <t>1.4173</t>
  </si>
  <si>
    <t>2.526</t>
  </si>
  <si>
    <t>1.1495</t>
  </si>
  <si>
    <t>0.5375</t>
  </si>
  <si>
    <t>1.2535</t>
  </si>
  <si>
    <t>1.5089</t>
  </si>
  <si>
    <t>0.0768</t>
  </si>
  <si>
    <t>0.0506</t>
  </si>
  <si>
    <t>0.072</t>
  </si>
  <si>
    <t>0.0741</t>
  </si>
  <si>
    <t>2.5535</t>
  </si>
  <si>
    <t>2.4953</t>
  </si>
  <si>
    <t>0.8357</t>
  </si>
  <si>
    <t>0.5336</t>
  </si>
  <si>
    <t>0.9389</t>
  </si>
  <si>
    <t>0.9387</t>
  </si>
  <si>
    <t>0.0583</t>
  </si>
  <si>
    <t>0.0361</t>
  </si>
  <si>
    <t>0.073</t>
  </si>
  <si>
    <t>0.068</t>
  </si>
  <si>
    <t>2.4703</t>
  </si>
  <si>
    <t>3.300</t>
  </si>
  <si>
    <t>3.236</t>
  </si>
  <si>
    <t>0.041</t>
  </si>
  <si>
    <t>0.042</t>
  </si>
  <si>
    <t>13.4</t>
  </si>
  <si>
    <t>3.861</t>
  </si>
  <si>
    <t>0.049</t>
  </si>
  <si>
    <t>3.259</t>
  </si>
  <si>
    <t>2.844</t>
  </si>
  <si>
    <t>0.036</t>
  </si>
  <si>
    <t>11.000</t>
  </si>
  <si>
    <t>10.966</t>
  </si>
  <si>
    <t>0.144</t>
  </si>
  <si>
    <t>0.001</t>
  </si>
  <si>
    <t>0.4</t>
  </si>
  <si>
    <t>11.034</t>
  </si>
  <si>
    <t>33.600</t>
  </si>
  <si>
    <t>34.410</t>
  </si>
  <si>
    <t>0.449</t>
  </si>
  <si>
    <t>0.439</t>
  </si>
  <si>
    <t>3.4</t>
  </si>
  <si>
    <t>32.790</t>
  </si>
  <si>
    <t>0.428</t>
  </si>
  <si>
    <t>113.000</t>
  </si>
  <si>
    <t>113.707</t>
  </si>
  <si>
    <t>1.434</t>
  </si>
  <si>
    <t>1.425</t>
  </si>
  <si>
    <t>0.012</t>
  </si>
  <si>
    <t>0.8</t>
  </si>
  <si>
    <t>112.294</t>
  </si>
  <si>
    <t>1.417</t>
  </si>
  <si>
    <t>217.000</t>
  </si>
  <si>
    <t>218.488</t>
  </si>
  <si>
    <t>2.511</t>
  </si>
  <si>
    <t>1.4</t>
  </si>
  <si>
    <t>221.268</t>
  </si>
  <si>
    <t>2.554</t>
  </si>
  <si>
    <t>215.385</t>
  </si>
  <si>
    <t>H1</t>
  </si>
  <si>
    <t>2.495</t>
  </si>
  <si>
    <t>212.859</t>
  </si>
  <si>
    <t>H12</t>
  </si>
  <si>
    <t>2.470</t>
  </si>
  <si>
    <t>Min</t>
  </si>
  <si>
    <t>Max</t>
  </si>
  <si>
    <t>Unk_Dilution</t>
  </si>
  <si>
    <t>mU/L</t>
  </si>
  <si>
    <t>Dilution factor</t>
  </si>
  <si>
    <t>Av mU/L</t>
  </si>
  <si>
    <t>nM</t>
  </si>
  <si>
    <t>Av nM</t>
  </si>
  <si>
    <t>0.474</t>
  </si>
  <si>
    <t>36.310</t>
  </si>
  <si>
    <t>0.890</t>
  </si>
  <si>
    <t>68.793</t>
  </si>
  <si>
    <t>0.921</t>
  </si>
  <si>
    <t>71.251</t>
  </si>
  <si>
    <t>0.191</t>
  </si>
  <si>
    <t>14.564</t>
  </si>
  <si>
    <t>0.125</t>
  </si>
  <si>
    <t>9.619</t>
  </si>
  <si>
    <t>0.302</t>
  </si>
  <si>
    <t>23.047</t>
  </si>
  <si>
    <t>46.595</t>
  </si>
  <si>
    <t>0.183</t>
  </si>
  <si>
    <t>14.017</t>
  </si>
  <si>
    <t>Un04</t>
  </si>
  <si>
    <t>A4</t>
  </si>
  <si>
    <t>6.870</t>
  </si>
  <si>
    <t>0.295</t>
  </si>
  <si>
    <t>22.525</t>
  </si>
  <si>
    <t>0.355</t>
  </si>
  <si>
    <t>27.126</t>
  </si>
  <si>
    <t>0.175</t>
  </si>
  <si>
    <t>13.348</t>
  </si>
  <si>
    <t>0.069</t>
  </si>
  <si>
    <t>5.384</t>
  </si>
  <si>
    <t>B5</t>
  </si>
  <si>
    <t>0.228</t>
  </si>
  <si>
    <t>17.376</t>
  </si>
  <si>
    <t>0.235</t>
  </si>
  <si>
    <t>17.918</t>
  </si>
  <si>
    <t>0.140</t>
  </si>
  <si>
    <t>10.701</t>
  </si>
  <si>
    <t>0.216</t>
  </si>
  <si>
    <t>16.529</t>
  </si>
  <si>
    <t>0.242</t>
  </si>
  <si>
    <t>18.453</t>
  </si>
  <si>
    <t>C6</t>
  </si>
  <si>
    <t>1.095</t>
  </si>
  <si>
    <t>0.017</t>
  </si>
  <si>
    <t>1.427</t>
  </si>
  <si>
    <t>4.020</t>
  </si>
  <si>
    <t>0.111</t>
  </si>
  <si>
    <t>8.561</t>
  </si>
  <si>
    <t>1.367</t>
  </si>
  <si>
    <t>0.023</t>
  </si>
  <si>
    <t>1.864</t>
  </si>
  <si>
    <t>4.005</t>
  </si>
  <si>
    <t>0.099</t>
  </si>
  <si>
    <t>7.602</t>
  </si>
  <si>
    <t>0.022</t>
  </si>
  <si>
    <t>1.811</t>
  </si>
  <si>
    <t>0.029</t>
  </si>
  <si>
    <t>2.316</t>
  </si>
  <si>
    <t>0.035</t>
  </si>
  <si>
    <t>2.806</t>
  </si>
  <si>
    <t>0.356</t>
  </si>
  <si>
    <t>27.242</t>
  </si>
  <si>
    <t>Excluded, must be a pipetting error</t>
  </si>
  <si>
    <t>0.010</t>
  </si>
  <si>
    <t>0.945</t>
  </si>
  <si>
    <t>3.243</t>
  </si>
  <si>
    <t>1.415</t>
  </si>
  <si>
    <t>112.087</t>
  </si>
  <si>
    <t>2.921</t>
  </si>
  <si>
    <t>258.041</t>
  </si>
  <si>
    <t>1.150</t>
  </si>
  <si>
    <t>89.755</t>
  </si>
  <si>
    <t>0.836</t>
  </si>
  <si>
    <t>64.525</t>
  </si>
  <si>
    <t>0.484</t>
  </si>
  <si>
    <t>37.083</t>
  </si>
  <si>
    <t>0.685</t>
  </si>
  <si>
    <t>52.667</t>
  </si>
  <si>
    <t>0.538</t>
  </si>
  <si>
    <t>41.236</t>
  </si>
  <si>
    <t>0.534</t>
  </si>
  <si>
    <t>40.934</t>
  </si>
  <si>
    <t>0.981</t>
  </si>
  <si>
    <t>76.118</t>
  </si>
  <si>
    <t>1.054</t>
  </si>
  <si>
    <t>81.953</t>
  </si>
  <si>
    <t>1.254</t>
  </si>
  <si>
    <t>98.371</t>
  </si>
  <si>
    <t>0.939</t>
  </si>
  <si>
    <t>72.718</t>
  </si>
  <si>
    <t>0.858</t>
  </si>
  <si>
    <t>66.296</t>
  </si>
  <si>
    <t>0.938</t>
  </si>
  <si>
    <t>72.622</t>
  </si>
  <si>
    <t>1.509</t>
  </si>
  <si>
    <t>120.306</t>
  </si>
  <si>
    <t>72.702</t>
  </si>
  <si>
    <t>0.260</t>
  </si>
  <si>
    <t>19.821</t>
  </si>
  <si>
    <t>0.102</t>
  </si>
  <si>
    <t>7.828</t>
  </si>
  <si>
    <t>0.077</t>
  </si>
  <si>
    <t>5.950</t>
  </si>
  <si>
    <t>0.058</t>
  </si>
  <si>
    <t>4.555</t>
  </si>
  <si>
    <t>0.048</t>
  </si>
  <si>
    <t>3.741</t>
  </si>
  <si>
    <t>4.035</t>
  </si>
  <si>
    <t>3.975</t>
  </si>
  <si>
    <t>2.882</t>
  </si>
  <si>
    <t>0.065</t>
  </si>
  <si>
    <t>5.083</t>
  </si>
  <si>
    <t>0.086</t>
  </si>
  <si>
    <t>6.651</t>
  </si>
  <si>
    <t>5.588</t>
  </si>
  <si>
    <t>5.663</t>
  </si>
  <si>
    <t>0.076</t>
  </si>
  <si>
    <t>5.882</t>
  </si>
  <si>
    <t>6.900</t>
  </si>
  <si>
    <t>0.074</t>
  </si>
  <si>
    <t>5.746</t>
  </si>
  <si>
    <t>5.286</t>
  </si>
  <si>
    <t>14.35</t>
  </si>
  <si>
    <t>Original Filename: 20200227_InsulinChip14_plate1.pda   Date Last Saved: 2020-02-27</t>
  </si>
  <si>
    <t>Insulin</t>
  </si>
  <si>
    <t>Un02</t>
  </si>
  <si>
    <t>d5 48h</t>
  </si>
  <si>
    <t>??  Seems too high values for NG to be true. Consider excluding.</t>
  </si>
  <si>
    <t xml:space="preserve">?? </t>
  </si>
  <si>
    <t>d7 48h</t>
  </si>
  <si>
    <t>Original Filename: 20200227_InsulinChip14_plate2.pda   Date Last Saved: 2020-02-27</t>
  </si>
  <si>
    <t>Plate 1</t>
  </si>
  <si>
    <t>2020 Feb 27</t>
  </si>
  <si>
    <t>All samples undiluted</t>
  </si>
  <si>
    <t>A</t>
  </si>
  <si>
    <t>36A:1</t>
  </si>
  <si>
    <t>B</t>
  </si>
  <si>
    <t>36A:2</t>
  </si>
  <si>
    <t>C</t>
  </si>
  <si>
    <t>36B:1</t>
  </si>
  <si>
    <t>D</t>
  </si>
  <si>
    <t>36B:2</t>
  </si>
  <si>
    <t>E</t>
  </si>
  <si>
    <t>37D:1</t>
  </si>
  <si>
    <t>F</t>
  </si>
  <si>
    <t>37D:2</t>
  </si>
  <si>
    <t>G</t>
  </si>
  <si>
    <t>32A:1</t>
  </si>
  <si>
    <t>H</t>
  </si>
  <si>
    <t>32A:2</t>
  </si>
  <si>
    <t>32:A2</t>
  </si>
  <si>
    <t>GTT d1 0h</t>
  </si>
  <si>
    <t>GTT d1 8h</t>
  </si>
  <si>
    <t>GTT d1 24h</t>
  </si>
  <si>
    <t>GTT d1 48h</t>
  </si>
  <si>
    <t>GTT d7 0h</t>
  </si>
  <si>
    <t>GTT d7 8h</t>
  </si>
  <si>
    <t>GTT d7 24h</t>
  </si>
  <si>
    <t>GTT d7 48h</t>
  </si>
  <si>
    <t>0.161</t>
  </si>
  <si>
    <t>0.397</t>
  </si>
  <si>
    <t>a</t>
  </si>
  <si>
    <t>Plate 2</t>
  </si>
  <si>
    <t>2020 March 17</t>
  </si>
  <si>
    <t>Chip, circuit</t>
  </si>
  <si>
    <t>Purpose</t>
  </si>
  <si>
    <t>5.5 mM GTT</t>
  </si>
  <si>
    <t>37A:1</t>
  </si>
  <si>
    <t>5.5 mM no GTT, EdU</t>
  </si>
  <si>
    <t>37A:2</t>
  </si>
  <si>
    <t>37B:1</t>
  </si>
  <si>
    <t>32B:1</t>
  </si>
  <si>
    <t>37B:2</t>
  </si>
  <si>
    <t>32B:2</t>
  </si>
  <si>
    <t>36C:1</t>
  </si>
  <si>
    <t>37C:1</t>
  </si>
  <si>
    <t>32C:1</t>
  </si>
  <si>
    <t>36C:2</t>
  </si>
  <si>
    <t>5.5 mM Insulin dose A, GTT</t>
  </si>
  <si>
    <t>37C:2</t>
  </si>
  <si>
    <t>32C:2</t>
  </si>
  <si>
    <t>36D:1</t>
  </si>
  <si>
    <t>Gluc std</t>
  </si>
  <si>
    <t>NG media</t>
  </si>
  <si>
    <t>HG media</t>
  </si>
  <si>
    <t>36D:2</t>
  </si>
  <si>
    <t>5.5 mM Insulin dose B, GTT</t>
  </si>
  <si>
    <t>GTT d13 0h</t>
  </si>
  <si>
    <t>GTT d13 6h</t>
  </si>
  <si>
    <t>GTT d13 24h</t>
  </si>
  <si>
    <t>s</t>
  </si>
  <si>
    <t>Chip</t>
  </si>
  <si>
    <t>Group</t>
  </si>
  <si>
    <t>Timepoint</t>
  </si>
  <si>
    <t>5.5 mM no GTT</t>
  </si>
  <si>
    <t>11 mM Insulin dose A, GTT</t>
  </si>
  <si>
    <t>5.5 mM Dose A</t>
  </si>
  <si>
    <t>11 mM, EdU</t>
  </si>
  <si>
    <t>5.5 mM Dose B</t>
  </si>
  <si>
    <t>11 mM</t>
  </si>
  <si>
    <t>11 mM Dose A</t>
  </si>
  <si>
    <t>11 mM Dose B</t>
  </si>
  <si>
    <t>11 mM Insulin dose B, GTT</t>
  </si>
  <si>
    <t>6h</t>
  </si>
  <si>
    <t>A10</t>
  </si>
  <si>
    <t>B10</t>
  </si>
  <si>
    <t>C10</t>
  </si>
  <si>
    <t>D10</t>
  </si>
  <si>
    <t>E10</t>
  </si>
  <si>
    <t>F10</t>
  </si>
  <si>
    <t>G10</t>
  </si>
  <si>
    <t>H10</t>
  </si>
  <si>
    <t>Original Filename: 20200317_Glucose_Chip14_plate4.pda   Date Last Saved: 2020-03-17</t>
  </si>
  <si>
    <t>Plate 3</t>
  </si>
  <si>
    <t>2020 March 15</t>
  </si>
  <si>
    <t>GTT d13 48h</t>
  </si>
  <si>
    <t>GTT d13 72h</t>
  </si>
  <si>
    <t>Av</t>
  </si>
  <si>
    <t>Well</t>
  </si>
  <si>
    <t xml:space="preserve">Probably misstake in glucose assay </t>
  </si>
  <si>
    <t>as the value is higher than at 24h and</t>
  </si>
  <si>
    <t>at 72h the value is similar to other replicates.</t>
  </si>
  <si>
    <t>Consider removing this replicate at 48h.</t>
  </si>
  <si>
    <t>(B.C: This replicate has been removed from the analysis)</t>
  </si>
  <si>
    <t>72h</t>
  </si>
  <si>
    <t>Original Filename: 20200317_Glucose_Chip14_plate5.pda   Date Last Saved: 2020-03-17</t>
  </si>
  <si>
    <t>GTT d13</t>
  </si>
  <si>
    <t>Insulin dose</t>
  </si>
  <si>
    <t>Time (h)</t>
  </si>
  <si>
    <t>Time absolute (h)</t>
  </si>
  <si>
    <t>Dose A</t>
  </si>
  <si>
    <t>Normoglycemia (5.5 mM)</t>
  </si>
  <si>
    <t>Hyperglycemia (11 mM)</t>
  </si>
  <si>
    <t>Comparison Dose A, B</t>
  </si>
  <si>
    <t>max</t>
  </si>
  <si>
    <t>Dose B</t>
  </si>
  <si>
    <t>Graphs with corrected SEM</t>
  </si>
  <si>
    <t>Correction: For values with SEM&lt;5%, SEM was set to</t>
  </si>
  <si>
    <t xml:space="preserve"> the highest SEM (%) accross all data points for the </t>
  </si>
  <si>
    <t>specific GTT</t>
  </si>
  <si>
    <t>0.5346=9.26685%*mean(5.7695)</t>
  </si>
  <si>
    <t>Liver</t>
  </si>
  <si>
    <t>Islet</t>
  </si>
  <si>
    <t>Co-Culture</t>
  </si>
  <si>
    <t>Normoglycemic (5.5 mM), 0.01 µM Hydrocortisone</t>
  </si>
  <si>
    <t>Hyperglycemic (11 mM), 0.01 µM Hydrocortisone</t>
  </si>
  <si>
    <t>Compartment</t>
  </si>
  <si>
    <t>Day</t>
  </si>
  <si>
    <t>Hydrocortisone [µM]</t>
  </si>
  <si>
    <t>Culture</t>
  </si>
  <si>
    <t>Replicate</t>
  </si>
  <si>
    <t>Co-Culture Medium*</t>
  </si>
  <si>
    <t>measured in samples taken with medium exchanges on day 1 (24 hours after complete medium exchange) and day 3-15 (48-hours after complete medium exchange)</t>
  </si>
  <si>
    <t>Albumin secretion (µg):</t>
  </si>
  <si>
    <t>Glucose over culture time (mU/L):</t>
  </si>
  <si>
    <t>&lt;DL</t>
  </si>
  <si>
    <t>16.8 mM</t>
  </si>
  <si>
    <t>2.8 mM</t>
  </si>
  <si>
    <t>Normoglycemic (5.5 mM)
50 µM Hydrocortisone</t>
  </si>
  <si>
    <t>Co-Culture, dynamic</t>
  </si>
  <si>
    <t>no</t>
  </si>
  <si>
    <t>Normoglycemic (5.5 mM)
0.01 µM Hydrocortisone</t>
  </si>
  <si>
    <t>yes</t>
  </si>
  <si>
    <t>Hyperglycemic (11 mM)
50 µM Hydrocortisone</t>
  </si>
  <si>
    <t>Hyperglycemic (11 mM)
0.01 µM Hydrocortisone</t>
  </si>
  <si>
    <t>Static</t>
  </si>
  <si>
    <t>InSphero Islet Maintenance Medium</t>
  </si>
  <si>
    <t>Glucose stimulation</t>
  </si>
  <si>
    <t>GTT</t>
  </si>
  <si>
    <t>measured for single islets cultured in static culture in the suppliers 96-well culture plate or for single islets removed from the chip compartment and transfered to the suppliers 96-well culture plate</t>
  </si>
  <si>
    <t>Glucose-stimulated insulin secretion [mU/ml]:</t>
  </si>
  <si>
    <t>Low HC</t>
  </si>
  <si>
    <t>High HC</t>
  </si>
  <si>
    <t>&lt;DL = below detection limit</t>
  </si>
  <si>
    <t>Calibration</t>
  </si>
  <si>
    <t>50 µM  (high)</t>
  </si>
  <si>
    <t>Normoglycemic (5.5 mM)</t>
  </si>
  <si>
    <t>0.01 µM  (low)</t>
  </si>
  <si>
    <t>Hyperglycemic (11 mM)</t>
  </si>
  <si>
    <t xml:space="preserve">Hydrocortisone </t>
  </si>
  <si>
    <t>Sampling time [h]</t>
  </si>
  <si>
    <t>SEM/mean (%)</t>
  </si>
  <si>
    <t>Insulin (mU/L):</t>
  </si>
  <si>
    <t>Considers offset</t>
  </si>
  <si>
    <t>Not treating the insulin offset as outlier
 (possibly due to high insulin values during the pre-culture)</t>
  </si>
  <si>
    <t>This value is corrected with the maximal SEM accross 
all data points (%), excluding the value at t=0 and 
adding the offset value at t=0. Considers offset</t>
  </si>
  <si>
    <t>SEM_corr/mean(%)</t>
  </si>
  <si>
    <t>We allow the average SEM as the offset for glucose in the optimization</t>
  </si>
  <si>
    <t>Outlier</t>
  </si>
  <si>
    <t>Offset with media exchange</t>
  </si>
  <si>
    <t>SE</t>
  </si>
  <si>
    <t>Correction: The error is the sum of "unavoidable"
 (offset at t=0) + "percentage" 
(the error from the specific time point). 
The error from the specific point is not corrected even if it's less than 5%.</t>
  </si>
  <si>
    <t>Glucose (mM):</t>
  </si>
  <si>
    <t xml:space="preserve">Williams E basal Medium, 10 % FCS, 5 µg/ml insulin, 2 mM glutamine, 5 µg/ml Gentamycin Sulfate, 0,25 µg/ml Amphotericin B
</t>
  </si>
  <si>
    <t>*Co-Culture Medium:</t>
  </si>
  <si>
    <t>7.2</t>
  </si>
  <si>
    <t>0.274 ± 0.110 fmol/(min*IEQ)</t>
  </si>
  <si>
    <t>0.038 ± 0.009 fmol/(min*IEQ)</t>
  </si>
  <si>
    <t>3.73 ± 0.42 pmol ATP/IEQ</t>
  </si>
  <si>
    <t>1.99 ± 0.188</t>
  </si>
  <si>
    <t>5.4 %</t>
  </si>
  <si>
    <r>
      <t xml:space="preserve">154 </t>
    </r>
    <r>
      <rPr>
        <sz val="11"/>
        <color theme="1"/>
        <rFont val="Calibri"/>
        <family val="2"/>
      </rPr>
      <t>± 8.3 µm</t>
    </r>
  </si>
  <si>
    <t>5.5 %</t>
  </si>
  <si>
    <t>22.17</t>
  </si>
  <si>
    <t>male</t>
  </si>
  <si>
    <t>SI</t>
  </si>
  <si>
    <t>GSIS 16.8 mM</t>
  </si>
  <si>
    <t>GSIS 2.8 mM</t>
  </si>
  <si>
    <t>ATP content</t>
  </si>
  <si>
    <t>Average IEQ</t>
  </si>
  <si>
    <t>CV % diameter</t>
  </si>
  <si>
    <t>Diameter</t>
  </si>
  <si>
    <t>HbAc1</t>
  </si>
  <si>
    <t>BMI</t>
  </si>
  <si>
    <t>Age</t>
  </si>
  <si>
    <t>Sex</t>
  </si>
  <si>
    <t>Islet Donor Characteristics</t>
  </si>
  <si>
    <t>PFP</t>
  </si>
  <si>
    <t>Stellate Cell Lot:</t>
  </si>
  <si>
    <t>HPR116NS080003</t>
  </si>
  <si>
    <t>HepaRG batch: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</si>
</sst>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sz val="11"/>
      <color theme="5"/>
      <name val="Calibri"/>
      <family val="2"/>
      <scheme val="minor"/>
    </font>
    <font>
      <b/>
      <sz val="11"/>
      <color theme="5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7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7"/>
      <name val="Calibri"/>
      <family val="2"/>
      <scheme val="minor"/>
    </font>
    <font>
      <b/>
      <sz val="11"/>
      <color theme="1"/>
      <name val="Calibri (Body)_x0000_"/>
    </font>
    <font>
      <b/>
      <sz val="11"/>
      <color rgb="FF000000"/>
      <name val="Calibri (Body)_x0000_"/>
    </font>
    <font>
      <sz val="11"/>
      <color rgb="FF000000"/>
      <name val="Calibri"/>
      <family val="2"/>
    </font>
    <font>
      <sz val="11"/>
      <color rgb="FFC00000"/>
      <name val="Calibri"/>
      <family val="2"/>
    </font>
    <font>
      <b/>
      <sz val="11"/>
      <color rgb="FFC00000"/>
      <name val="Calibri (Body)_x0000_"/>
    </font>
    <font>
      <sz val="11"/>
      <color theme="1"/>
      <name val="Calibri"/>
      <family val="2"/>
    </font>
    <font>
      <b/>
      <sz val="11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b/>
      <sz val="12"/>
      <color theme="1"/>
      <name val="Calibri (Body)"/>
    </font>
    <font>
      <sz val="11"/>
      <color rgb="FFFF0000"/>
      <name val="Calibri (Body)"/>
    </font>
    <font>
      <sz val="11"/>
      <color theme="1"/>
      <name val="Calibri (Body)"/>
    </font>
    <font>
      <sz val="12"/>
      <color rgb="FF35454D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 tint="-0.249977111117893"/>
        <bgColor theme="4" tint="-0.249977111117893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F8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39997558519241921"/>
      </patternFill>
    </fill>
    <fill>
      <patternFill patternType="solid">
        <fgColor theme="4" tint="0.39997558519241921"/>
        <bgColor theme="4" tint="0.39997558519241921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A3A0"/>
        <bgColor indexed="64"/>
      </patternFill>
    </fill>
  </fills>
  <borders count="10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theme="4" tint="0.79998168889431442"/>
      </bottom>
      <diagonal/>
    </border>
    <border>
      <left/>
      <right style="thin">
        <color indexed="64"/>
      </right>
      <top/>
      <bottom style="thin">
        <color theme="4" tint="0.79998168889431442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theme="4" tint="0.79998168889431442"/>
      </top>
      <bottom/>
      <diagonal/>
    </border>
    <border>
      <left/>
      <right style="thin">
        <color indexed="64"/>
      </right>
      <top style="thin">
        <color theme="4" tint="0.79998168889431442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theme="4" tint="0.79998168889431442"/>
      </bottom>
      <diagonal/>
    </border>
    <border>
      <left/>
      <right/>
      <top style="thin">
        <color theme="4" tint="0.79998168889431442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theme="4"/>
      </bottom>
      <diagonal/>
    </border>
    <border>
      <left/>
      <right/>
      <top style="thin">
        <color theme="4"/>
      </top>
      <bottom/>
      <diagonal/>
    </border>
    <border>
      <left/>
      <right/>
      <top style="thin">
        <color theme="4" tint="-0.249977111117893"/>
      </top>
      <bottom style="thin">
        <color theme="4" tint="0.59999389629810485"/>
      </bottom>
      <diagonal/>
    </border>
    <border>
      <left/>
      <right/>
      <top style="thin">
        <color theme="4" tint="-0.249977111117893"/>
      </top>
      <bottom style="thin">
        <color theme="4" tint="0.79998168889431442"/>
      </bottom>
      <diagonal/>
    </border>
    <border>
      <left/>
      <right/>
      <top/>
      <bottom style="thin">
        <color theme="4" tint="-0.249977111117893"/>
      </bottom>
      <diagonal/>
    </border>
    <border>
      <left/>
      <right/>
      <top style="thin">
        <color theme="4" tint="0.79998168889431442"/>
      </top>
      <bottom style="thin">
        <color theme="4" tint="0.79998168889431442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theme="4" tint="0.79998168889431442"/>
      </top>
      <bottom style="thin">
        <color theme="4"/>
      </bottom>
      <diagonal/>
    </border>
    <border>
      <left/>
      <right/>
      <top style="thin">
        <color theme="4" tint="0.39997558519241921"/>
      </top>
      <bottom style="thin">
        <color theme="4" tint="0.79998168889431442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theme="4" tint="0.79998168889431442"/>
      </top>
      <bottom style="thin">
        <color theme="4" tint="0.39997558519241921"/>
      </bottom>
      <diagonal/>
    </border>
    <border>
      <left/>
      <right style="thin">
        <color indexed="64"/>
      </right>
      <top style="thin">
        <color theme="4" tint="-0.249977111117893"/>
      </top>
      <bottom style="thin">
        <color theme="4" tint="0.79998168889431442"/>
      </bottom>
      <diagonal/>
    </border>
    <border>
      <left style="thin">
        <color indexed="64"/>
      </left>
      <right/>
      <top style="thin">
        <color theme="4" tint="-0.249977111117893"/>
      </top>
      <bottom style="thin">
        <color theme="4" tint="0.79998168889431442"/>
      </bottom>
      <diagonal/>
    </border>
    <border>
      <left/>
      <right style="thin">
        <color indexed="64"/>
      </right>
      <top style="thin">
        <color indexed="64"/>
      </top>
      <bottom style="thin">
        <color theme="4" tint="-0.249977111117893"/>
      </bottom>
      <diagonal/>
    </border>
    <border>
      <left style="thin">
        <color indexed="64"/>
      </left>
      <right/>
      <top style="thin">
        <color indexed="64"/>
      </top>
      <bottom style="thin">
        <color theme="4" tint="-0.249977111117893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theme="4" tint="0.79998168889431442"/>
      </top>
      <bottom style="thin">
        <color indexed="64"/>
      </bottom>
      <diagonal/>
    </border>
    <border>
      <left/>
      <right/>
      <top style="thin">
        <color theme="4" tint="0.79998168889431442"/>
      </top>
      <bottom style="thin">
        <color indexed="64"/>
      </bottom>
      <diagonal/>
    </border>
    <border>
      <left style="thin">
        <color indexed="64"/>
      </left>
      <right/>
      <top style="thin">
        <color theme="4" tint="0.7999816888943144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4" tint="0.79998168889431442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theme="4" tint="0.79998168889431442"/>
      </top>
      <bottom style="thin">
        <color theme="4" tint="0.79998168889431442"/>
      </bottom>
      <diagonal/>
    </border>
    <border>
      <left style="thin">
        <color indexed="64"/>
      </left>
      <right/>
      <top style="thin">
        <color theme="4" tint="0.79998168889431442"/>
      </top>
      <bottom style="thin">
        <color theme="4" tint="0.79998168889431442"/>
      </bottom>
      <diagonal/>
    </border>
    <border>
      <left style="thin">
        <color indexed="64"/>
      </left>
      <right style="thin">
        <color indexed="64"/>
      </right>
      <top style="thin">
        <color theme="4" tint="0.79998168889431442"/>
      </top>
      <bottom style="thin">
        <color theme="4" tint="0.79998168889431442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theme="4" tint="0.79998168889431442"/>
      </bottom>
      <diagonal/>
    </border>
    <border>
      <left/>
      <right/>
      <top style="thin">
        <color indexed="64"/>
      </top>
      <bottom style="thin">
        <color theme="4" tint="0.79998168889431442"/>
      </bottom>
      <diagonal/>
    </border>
    <border>
      <left style="thin">
        <color indexed="64"/>
      </left>
      <right/>
      <top style="thin">
        <color indexed="64"/>
      </top>
      <bottom style="thin">
        <color theme="4" tint="0.7999816888943144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 tint="0.79998168889431442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theme="4" tint="-0.249977111117893"/>
      </top>
      <bottom/>
      <diagonal/>
    </border>
    <border>
      <left style="thin">
        <color indexed="64"/>
      </left>
      <right/>
      <top style="thin">
        <color theme="4" tint="-0.249977111117893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theme="4" tint="-0.249977111117893"/>
      </top>
      <bottom/>
      <diagonal/>
    </border>
    <border>
      <left/>
      <right/>
      <top style="thin">
        <color indexed="64"/>
      </top>
      <bottom style="thin">
        <color theme="4" tint="-0.249977111117893"/>
      </bottom>
      <diagonal/>
    </border>
  </borders>
  <cellStyleXfs count="1">
    <xf numFmtId="0" fontId="0" fillId="0" borderId="0"/>
  </cellStyleXfs>
  <cellXfs count="458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8" xfId="0" applyFont="1" applyBorder="1"/>
    <xf numFmtId="0" fontId="0" fillId="0" borderId="9" xfId="0" applyBorder="1"/>
    <xf numFmtId="0" fontId="0" fillId="0" borderId="10" xfId="0" applyBorder="1"/>
    <xf numFmtId="0" fontId="0" fillId="0" borderId="2" xfId="0" applyBorder="1" applyAlignment="1">
      <alignment horizontal="right"/>
    </xf>
    <xf numFmtId="0" fontId="0" fillId="0" borderId="2" xfId="0" applyBorder="1"/>
    <xf numFmtId="0" fontId="0" fillId="0" borderId="4" xfId="0" applyBorder="1"/>
    <xf numFmtId="0" fontId="0" fillId="0" borderId="3" xfId="0" applyBorder="1"/>
    <xf numFmtId="0" fontId="0" fillId="4" borderId="4" xfId="0" applyFill="1" applyBorder="1"/>
    <xf numFmtId="0" fontId="0" fillId="4" borderId="11" xfId="0" applyFill="1" applyBorder="1"/>
    <xf numFmtId="0" fontId="0" fillId="4" borderId="0" xfId="0" applyFill="1"/>
    <xf numFmtId="0" fontId="5" fillId="0" borderId="12" xfId="0" applyFont="1" applyBorder="1"/>
    <xf numFmtId="0" fontId="0" fillId="0" borderId="13" xfId="0" applyBorder="1"/>
    <xf numFmtId="0" fontId="0" fillId="0" borderId="14" xfId="0" applyBorder="1" applyAlignment="1">
      <alignment horizontal="right"/>
    </xf>
    <xf numFmtId="164" fontId="0" fillId="0" borderId="14" xfId="0" applyNumberFormat="1" applyBorder="1"/>
    <xf numFmtId="0" fontId="0" fillId="0" borderId="11" xfId="0" applyBorder="1"/>
    <xf numFmtId="0" fontId="0" fillId="0" borderId="15" xfId="0" applyBorder="1"/>
    <xf numFmtId="0" fontId="5" fillId="0" borderId="16" xfId="0" applyFont="1" applyBorder="1"/>
    <xf numFmtId="0" fontId="2" fillId="0" borderId="17" xfId="0" applyFont="1" applyBorder="1"/>
    <xf numFmtId="0" fontId="0" fillId="0" borderId="17" xfId="0" applyBorder="1"/>
    <xf numFmtId="0" fontId="0" fillId="0" borderId="18" xfId="0" applyBorder="1"/>
    <xf numFmtId="0" fontId="0" fillId="0" borderId="5" xfId="0" applyBorder="1" applyAlignment="1">
      <alignment horizontal="right"/>
    </xf>
    <xf numFmtId="164" fontId="0" fillId="0" borderId="5" xfId="0" applyNumberFormat="1" applyBorder="1"/>
    <xf numFmtId="0" fontId="0" fillId="0" borderId="7" xfId="0" applyBorder="1"/>
    <xf numFmtId="0" fontId="4" fillId="0" borderId="21" xfId="0" applyFont="1" applyBorder="1"/>
    <xf numFmtId="0" fontId="0" fillId="0" borderId="22" xfId="0" applyBorder="1"/>
    <xf numFmtId="0" fontId="0" fillId="0" borderId="23" xfId="0" applyBorder="1"/>
    <xf numFmtId="164" fontId="0" fillId="0" borderId="2" xfId="0" applyNumberFormat="1" applyBorder="1"/>
    <xf numFmtId="164" fontId="0" fillId="0" borderId="4" xfId="0" applyNumberFormat="1" applyBorder="1"/>
    <xf numFmtId="164" fontId="0" fillId="0" borderId="11" xfId="0" applyNumberFormat="1" applyBorder="1"/>
    <xf numFmtId="0" fontId="4" fillId="0" borderId="16" xfId="0" applyFont="1" applyBorder="1"/>
    <xf numFmtId="164" fontId="0" fillId="0" borderId="7" xfId="0" applyNumberFormat="1" applyBorder="1"/>
    <xf numFmtId="0" fontId="0" fillId="7" borderId="11" xfId="0" applyFill="1" applyBorder="1"/>
    <xf numFmtId="0" fontId="4" fillId="0" borderId="26" xfId="0" applyFont="1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0" fillId="0" borderId="5" xfId="0" applyBorder="1"/>
    <xf numFmtId="0" fontId="0" fillId="7" borderId="7" xfId="0" applyFill="1" applyBorder="1"/>
    <xf numFmtId="0" fontId="0" fillId="7" borderId="0" xfId="0" applyFill="1"/>
    <xf numFmtId="0" fontId="6" fillId="0" borderId="0" xfId="0" applyFont="1"/>
    <xf numFmtId="0" fontId="7" fillId="0" borderId="8" xfId="0" applyFont="1" applyBorder="1"/>
    <xf numFmtId="0" fontId="8" fillId="0" borderId="12" xfId="0" applyFont="1" applyBorder="1"/>
    <xf numFmtId="0" fontId="8" fillId="0" borderId="16" xfId="0" applyFont="1" applyBorder="1"/>
    <xf numFmtId="0" fontId="7" fillId="0" borderId="21" xfId="0" applyFont="1" applyBorder="1"/>
    <xf numFmtId="0" fontId="7" fillId="0" borderId="16" xfId="0" applyFont="1" applyBorder="1"/>
    <xf numFmtId="0" fontId="7" fillId="0" borderId="12" xfId="0" applyFont="1" applyBorder="1"/>
    <xf numFmtId="0" fontId="7" fillId="0" borderId="26" xfId="0" applyFont="1" applyBorder="1"/>
    <xf numFmtId="0" fontId="0" fillId="0" borderId="8" xfId="0" applyBorder="1"/>
    <xf numFmtId="0" fontId="9" fillId="0" borderId="4" xfId="0" applyFont="1" applyBorder="1"/>
    <xf numFmtId="0" fontId="0" fillId="0" borderId="26" xfId="0" applyBorder="1"/>
    <xf numFmtId="0" fontId="0" fillId="0" borderId="21" xfId="0" applyBorder="1"/>
    <xf numFmtId="0" fontId="0" fillId="0" borderId="16" xfId="0" applyBorder="1"/>
    <xf numFmtId="0" fontId="5" fillId="0" borderId="14" xfId="0" applyFont="1" applyBorder="1"/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9" borderId="4" xfId="0" applyFill="1" applyBorder="1" applyAlignment="1">
      <alignment horizontal="center" vertical="center"/>
    </xf>
    <xf numFmtId="0" fontId="0" fillId="10" borderId="4" xfId="0" applyFill="1" applyBorder="1" applyAlignment="1">
      <alignment horizontal="center" vertical="center"/>
    </xf>
    <xf numFmtId="0" fontId="0" fillId="11" borderId="4" xfId="0" applyFill="1" applyBorder="1" applyAlignment="1">
      <alignment horizontal="center" vertical="center"/>
    </xf>
    <xf numFmtId="0" fontId="0" fillId="12" borderId="4" xfId="0" applyFill="1" applyBorder="1" applyAlignment="1">
      <alignment horizontal="center" vertical="center"/>
    </xf>
    <xf numFmtId="0" fontId="0" fillId="13" borderId="4" xfId="0" applyFill="1" applyBorder="1" applyAlignment="1">
      <alignment horizontal="center" vertical="center"/>
    </xf>
    <xf numFmtId="0" fontId="0" fillId="14" borderId="4" xfId="0" applyFill="1" applyBorder="1" applyAlignment="1">
      <alignment horizontal="center" vertical="center"/>
    </xf>
    <xf numFmtId="0" fontId="0" fillId="15" borderId="4" xfId="0" applyFill="1" applyBorder="1" applyAlignment="1">
      <alignment horizontal="center" vertical="center"/>
    </xf>
    <xf numFmtId="0" fontId="1" fillId="0" borderId="31" xfId="0" applyFont="1" applyBorder="1" applyAlignment="1">
      <alignment horizontal="center"/>
    </xf>
    <xf numFmtId="0" fontId="1" fillId="0" borderId="32" xfId="0" applyFont="1" applyBorder="1" applyAlignment="1">
      <alignment horizontal="center"/>
    </xf>
    <xf numFmtId="0" fontId="1" fillId="0" borderId="33" xfId="0" applyFont="1" applyBorder="1" applyAlignment="1">
      <alignment horizontal="center"/>
    </xf>
    <xf numFmtId="0" fontId="4" fillId="0" borderId="2" xfId="0" applyFont="1" applyBorder="1"/>
    <xf numFmtId="0" fontId="5" fillId="0" borderId="5" xfId="0" applyFont="1" applyBorder="1"/>
    <xf numFmtId="0" fontId="0" fillId="0" borderId="6" xfId="0" applyBorder="1"/>
    <xf numFmtId="0" fontId="4" fillId="0" borderId="5" xfId="0" applyFont="1" applyBorder="1"/>
    <xf numFmtId="0" fontId="7" fillId="0" borderId="2" xfId="0" applyFont="1" applyBorder="1"/>
    <xf numFmtId="0" fontId="8" fillId="0" borderId="14" xfId="0" applyFont="1" applyBorder="1"/>
    <xf numFmtId="0" fontId="8" fillId="0" borderId="5" xfId="0" applyFont="1" applyBorder="1"/>
    <xf numFmtId="0" fontId="7" fillId="0" borderId="5" xfId="0" applyFont="1" applyBorder="1"/>
    <xf numFmtId="0" fontId="7" fillId="0" borderId="0" xfId="0" applyFont="1"/>
    <xf numFmtId="0" fontId="8" fillId="0" borderId="0" xfId="0" applyFont="1"/>
    <xf numFmtId="0" fontId="10" fillId="0" borderId="0" xfId="0" applyFont="1"/>
    <xf numFmtId="0" fontId="11" fillId="0" borderId="0" xfId="0" applyFont="1"/>
    <xf numFmtId="0" fontId="12" fillId="9" borderId="4" xfId="0" applyFont="1" applyFill="1" applyBorder="1" applyAlignment="1">
      <alignment horizontal="left" vertical="top"/>
    </xf>
    <xf numFmtId="0" fontId="13" fillId="0" borderId="34" xfId="0" applyFont="1" applyBorder="1" applyAlignment="1">
      <alignment vertical="top"/>
    </xf>
    <xf numFmtId="0" fontId="13" fillId="16" borderId="34" xfId="0" applyFont="1" applyFill="1" applyBorder="1" applyAlignment="1">
      <alignment vertical="top"/>
    </xf>
    <xf numFmtId="0" fontId="6" fillId="8" borderId="1" xfId="0" applyFont="1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vertical="top"/>
    </xf>
    <xf numFmtId="0" fontId="13" fillId="19" borderId="1" xfId="0" applyFont="1" applyFill="1" applyBorder="1" applyAlignment="1">
      <alignment vertical="top"/>
    </xf>
    <xf numFmtId="0" fontId="13" fillId="9" borderId="1" xfId="0" applyFont="1" applyFill="1" applyBorder="1" applyAlignment="1">
      <alignment vertical="top"/>
    </xf>
    <xf numFmtId="0" fontId="13" fillId="16" borderId="1" xfId="0" applyFont="1" applyFill="1" applyBorder="1" applyAlignment="1">
      <alignment vertical="top"/>
    </xf>
    <xf numFmtId="0" fontId="0" fillId="0" borderId="1" xfId="0" applyBorder="1" applyAlignment="1">
      <alignment horizontal="center" vertical="center"/>
    </xf>
    <xf numFmtId="0" fontId="13" fillId="17" borderId="1" xfId="0" applyFont="1" applyFill="1" applyBorder="1" applyAlignment="1">
      <alignment vertical="top"/>
    </xf>
    <xf numFmtId="0" fontId="6" fillId="8" borderId="4" xfId="0" applyFont="1" applyFill="1" applyBorder="1" applyAlignment="1">
      <alignment horizontal="center" vertical="center"/>
    </xf>
    <xf numFmtId="0" fontId="0" fillId="17" borderId="4" xfId="0" applyFill="1" applyBorder="1" applyAlignment="1">
      <alignment horizontal="center" vertical="center"/>
    </xf>
    <xf numFmtId="0" fontId="0" fillId="18" borderId="4" xfId="0" applyFill="1" applyBorder="1" applyAlignment="1">
      <alignment horizontal="center" vertical="center"/>
    </xf>
    <xf numFmtId="0" fontId="6" fillId="0" borderId="1" xfId="0" applyFont="1" applyBorder="1"/>
    <xf numFmtId="0" fontId="13" fillId="4" borderId="1" xfId="0" applyFont="1" applyFill="1" applyBorder="1" applyAlignment="1">
      <alignment vertical="top"/>
    </xf>
    <xf numFmtId="0" fontId="0" fillId="0" borderId="1" xfId="0" applyBorder="1"/>
    <xf numFmtId="0" fontId="13" fillId="0" borderId="35" xfId="0" applyFont="1" applyBorder="1" applyAlignment="1">
      <alignment vertical="top"/>
    </xf>
    <xf numFmtId="0" fontId="13" fillId="19" borderId="35" xfId="0" applyFont="1" applyFill="1" applyBorder="1" applyAlignment="1">
      <alignment vertical="top"/>
    </xf>
    <xf numFmtId="0" fontId="13" fillId="17" borderId="34" xfId="0" applyFont="1" applyFill="1" applyBorder="1" applyAlignment="1">
      <alignment vertical="top"/>
    </xf>
    <xf numFmtId="0" fontId="0" fillId="20" borderId="0" xfId="0" applyFill="1"/>
    <xf numFmtId="0" fontId="0" fillId="21" borderId="0" xfId="0" applyFill="1"/>
    <xf numFmtId="0" fontId="0" fillId="22" borderId="0" xfId="0" applyFill="1"/>
    <xf numFmtId="0" fontId="0" fillId="6" borderId="0" xfId="0" applyFill="1"/>
    <xf numFmtId="0" fontId="13" fillId="4" borderId="35" xfId="0" applyFont="1" applyFill="1" applyBorder="1" applyAlignment="1">
      <alignment vertical="top"/>
    </xf>
    <xf numFmtId="0" fontId="13" fillId="16" borderId="7" xfId="0" applyFont="1" applyFill="1" applyBorder="1" applyAlignment="1">
      <alignment vertical="top"/>
    </xf>
    <xf numFmtId="0" fontId="0" fillId="0" borderId="36" xfId="0" applyBorder="1"/>
    <xf numFmtId="0" fontId="0" fillId="23" borderId="1" xfId="0" applyFill="1" applyBorder="1" applyAlignment="1">
      <alignment horizontal="center" vertical="center"/>
    </xf>
    <xf numFmtId="0" fontId="3" fillId="24" borderId="1" xfId="0" applyFont="1" applyFill="1" applyBorder="1" applyAlignment="1">
      <alignment horizontal="center" vertical="center"/>
    </xf>
    <xf numFmtId="0" fontId="3" fillId="25" borderId="1" xfId="0" applyFont="1" applyFill="1" applyBorder="1" applyAlignment="1">
      <alignment horizontal="center" vertical="center"/>
    </xf>
    <xf numFmtId="0" fontId="0" fillId="23" borderId="4" xfId="0" applyFill="1" applyBorder="1" applyAlignment="1">
      <alignment horizontal="center" vertical="center"/>
    </xf>
    <xf numFmtId="0" fontId="3" fillId="24" borderId="4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1" xfId="0" applyFont="1" applyBorder="1"/>
    <xf numFmtId="0" fontId="13" fillId="17" borderId="4" xfId="0" applyFont="1" applyFill="1" applyBorder="1" applyAlignment="1">
      <alignment vertical="top"/>
    </xf>
    <xf numFmtId="0" fontId="6" fillId="8" borderId="37" xfId="0" applyFont="1" applyFill="1" applyBorder="1" applyAlignment="1">
      <alignment horizontal="center" vertical="center"/>
    </xf>
    <xf numFmtId="0" fontId="13" fillId="4" borderId="0" xfId="0" applyFont="1" applyFill="1" applyAlignment="1">
      <alignment vertical="top"/>
    </xf>
    <xf numFmtId="0" fontId="13" fillId="17" borderId="37" xfId="0" applyFont="1" applyFill="1" applyBorder="1" applyAlignment="1">
      <alignment vertical="top"/>
    </xf>
    <xf numFmtId="0" fontId="15" fillId="0" borderId="0" xfId="0" applyFont="1"/>
    <xf numFmtId="0" fontId="16" fillId="0" borderId="38" xfId="0" applyFont="1" applyBorder="1" applyAlignment="1">
      <alignment horizontal="left" wrapText="1" readingOrder="1"/>
    </xf>
    <xf numFmtId="0" fontId="16" fillId="0" borderId="0" xfId="0" applyFont="1" applyAlignment="1">
      <alignment horizontal="left" wrapText="1" readingOrder="1"/>
    </xf>
    <xf numFmtId="0" fontId="0" fillId="20" borderId="4" xfId="0" applyFill="1" applyBorder="1"/>
    <xf numFmtId="0" fontId="17" fillId="0" borderId="39" xfId="0" applyFont="1" applyBorder="1" applyAlignment="1">
      <alignment horizontal="right" wrapText="1" readingOrder="1"/>
    </xf>
    <xf numFmtId="0" fontId="18" fillId="0" borderId="4" xfId="0" applyFont="1" applyBorder="1" applyAlignment="1">
      <alignment horizontal="right" wrapText="1" readingOrder="1"/>
    </xf>
    <xf numFmtId="0" fontId="9" fillId="26" borderId="11" xfId="0" applyFont="1" applyFill="1" applyBorder="1" applyAlignment="1">
      <alignment horizontal="right" wrapText="1" readingOrder="1"/>
    </xf>
    <xf numFmtId="0" fontId="17" fillId="0" borderId="0" xfId="0" applyFont="1" applyAlignment="1">
      <alignment horizontal="right" wrapText="1" readingOrder="1"/>
    </xf>
    <xf numFmtId="0" fontId="17" fillId="0" borderId="11" xfId="0" applyFont="1" applyBorder="1" applyAlignment="1">
      <alignment horizontal="right" wrapText="1" readingOrder="1"/>
    </xf>
    <xf numFmtId="0" fontId="0" fillId="20" borderId="11" xfId="0" applyFill="1" applyBorder="1"/>
    <xf numFmtId="0" fontId="18" fillId="0" borderId="11" xfId="0" applyFont="1" applyBorder="1" applyAlignment="1">
      <alignment horizontal="right" wrapText="1" readingOrder="1"/>
    </xf>
    <xf numFmtId="0" fontId="0" fillId="21" borderId="11" xfId="0" applyFill="1" applyBorder="1"/>
    <xf numFmtId="0" fontId="0" fillId="22" borderId="11" xfId="0" applyFill="1" applyBorder="1"/>
    <xf numFmtId="0" fontId="0" fillId="6" borderId="11" xfId="0" applyFill="1" applyBorder="1"/>
    <xf numFmtId="0" fontId="0" fillId="6" borderId="7" xfId="0" applyFill="1" applyBorder="1"/>
    <xf numFmtId="0" fontId="17" fillId="0" borderId="38" xfId="0" applyFont="1" applyBorder="1" applyAlignment="1">
      <alignment horizontal="right" wrapText="1" readingOrder="1"/>
    </xf>
    <xf numFmtId="0" fontId="18" fillId="0" borderId="7" xfId="0" applyFont="1" applyBorder="1" applyAlignment="1">
      <alignment horizontal="right" wrapText="1" readingOrder="1"/>
    </xf>
    <xf numFmtId="0" fontId="19" fillId="0" borderId="0" xfId="0" applyFont="1"/>
    <xf numFmtId="0" fontId="0" fillId="0" borderId="0" xfId="0" applyAlignment="1">
      <alignment wrapText="1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17" borderId="4" xfId="0" applyFill="1" applyBorder="1"/>
    <xf numFmtId="164" fontId="0" fillId="17" borderId="2" xfId="0" applyNumberFormat="1" applyFill="1" applyBorder="1"/>
    <xf numFmtId="164" fontId="0" fillId="17" borderId="4" xfId="0" applyNumberFormat="1" applyFill="1" applyBorder="1"/>
    <xf numFmtId="0" fontId="0" fillId="17" borderId="3" xfId="0" applyFill="1" applyBorder="1"/>
    <xf numFmtId="0" fontId="0" fillId="17" borderId="11" xfId="0" applyFill="1" applyBorder="1"/>
    <xf numFmtId="164" fontId="0" fillId="17" borderId="14" xfId="0" applyNumberFormat="1" applyFill="1" applyBorder="1"/>
    <xf numFmtId="164" fontId="0" fillId="17" borderId="11" xfId="0" applyNumberFormat="1" applyFill="1" applyBorder="1"/>
    <xf numFmtId="0" fontId="0" fillId="17" borderId="15" xfId="0" applyFill="1" applyBorder="1"/>
    <xf numFmtId="0" fontId="0" fillId="17" borderId="7" xfId="0" applyFill="1" applyBorder="1"/>
    <xf numFmtId="164" fontId="0" fillId="17" borderId="7" xfId="0" applyNumberFormat="1" applyFill="1" applyBorder="1"/>
    <xf numFmtId="2" fontId="0" fillId="0" borderId="0" xfId="0" applyNumberFormat="1"/>
    <xf numFmtId="0" fontId="0" fillId="0" borderId="29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30" xfId="0" applyBorder="1" applyAlignment="1">
      <alignment vertical="center" wrapText="1"/>
    </xf>
    <xf numFmtId="0" fontId="3" fillId="2" borderId="0" xfId="0" applyFont="1" applyFill="1"/>
    <xf numFmtId="0" fontId="3" fillId="2" borderId="42" xfId="0" applyFont="1" applyFill="1" applyBorder="1"/>
    <xf numFmtId="0" fontId="3" fillId="2" borderId="43" xfId="0" applyFont="1" applyFill="1" applyBorder="1"/>
    <xf numFmtId="0" fontId="21" fillId="2" borderId="44" xfId="0" applyFont="1" applyFill="1" applyBorder="1"/>
    <xf numFmtId="0" fontId="22" fillId="31" borderId="0" xfId="0" applyFont="1" applyFill="1"/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0" fontId="0" fillId="0" borderId="45" xfId="0" applyBorder="1" applyAlignment="1">
      <alignment horizontal="right"/>
    </xf>
    <xf numFmtId="0" fontId="0" fillId="0" borderId="45" xfId="0" applyBorder="1"/>
    <xf numFmtId="164" fontId="0" fillId="32" borderId="0" xfId="0" applyNumberFormat="1" applyFill="1" applyAlignment="1">
      <alignment horizontal="right"/>
    </xf>
    <xf numFmtId="0" fontId="0" fillId="33" borderId="11" xfId="0" applyFill="1" applyBorder="1"/>
    <xf numFmtId="0" fontId="0" fillId="0" borderId="47" xfId="0" applyBorder="1"/>
    <xf numFmtId="0" fontId="0" fillId="33" borderId="47" xfId="0" applyFill="1" applyBorder="1"/>
    <xf numFmtId="0" fontId="0" fillId="33" borderId="35" xfId="0" applyFill="1" applyBorder="1"/>
    <xf numFmtId="0" fontId="0" fillId="33" borderId="49" xfId="0" applyFill="1" applyBorder="1"/>
    <xf numFmtId="164" fontId="0" fillId="33" borderId="50" xfId="0" applyNumberFormat="1" applyFill="1" applyBorder="1"/>
    <xf numFmtId="0" fontId="0" fillId="33" borderId="47" xfId="0" applyFill="1" applyBorder="1" applyAlignment="1">
      <alignment horizontal="right"/>
    </xf>
    <xf numFmtId="1" fontId="0" fillId="5" borderId="47" xfId="0" applyNumberFormat="1" applyFill="1" applyBorder="1" applyAlignment="1">
      <alignment horizontal="center" vertical="center"/>
    </xf>
    <xf numFmtId="0" fontId="3" fillId="30" borderId="51" xfId="0" applyFont="1" applyFill="1" applyBorder="1" applyAlignment="1">
      <alignment horizontal="center" vertical="center"/>
    </xf>
    <xf numFmtId="0" fontId="0" fillId="0" borderId="30" xfId="0" applyBorder="1"/>
    <xf numFmtId="0" fontId="0" fillId="28" borderId="52" xfId="0" applyFill="1" applyBorder="1"/>
    <xf numFmtId="0" fontId="3" fillId="30" borderId="53" xfId="0" applyFont="1" applyFill="1" applyBorder="1"/>
    <xf numFmtId="0" fontId="0" fillId="33" borderId="1" xfId="0" applyFill="1" applyBorder="1"/>
    <xf numFmtId="0" fontId="0" fillId="33" borderId="37" xfId="0" applyFill="1" applyBorder="1"/>
    <xf numFmtId="164" fontId="0" fillId="33" borderId="55" xfId="0" applyNumberFormat="1" applyFill="1" applyBorder="1"/>
    <xf numFmtId="0" fontId="0" fillId="33" borderId="11" xfId="0" applyFill="1" applyBorder="1" applyAlignment="1">
      <alignment horizontal="right"/>
    </xf>
    <xf numFmtId="1" fontId="0" fillId="5" borderId="11" xfId="0" applyNumberFormat="1" applyFill="1" applyBorder="1" applyAlignment="1">
      <alignment horizontal="center" vertical="center"/>
    </xf>
    <xf numFmtId="0" fontId="3" fillId="30" borderId="56" xfId="0" applyFont="1" applyFill="1" applyBorder="1" applyAlignment="1">
      <alignment horizontal="center" vertical="center"/>
    </xf>
    <xf numFmtId="0" fontId="0" fillId="28" borderId="45" xfId="0" applyFill="1" applyBorder="1"/>
    <xf numFmtId="0" fontId="3" fillId="30" borderId="57" xfId="0" applyFont="1" applyFill="1" applyBorder="1"/>
    <xf numFmtId="0" fontId="0" fillId="33" borderId="4" xfId="0" applyFill="1" applyBorder="1"/>
    <xf numFmtId="0" fontId="0" fillId="33" borderId="2" xfId="0" applyFill="1" applyBorder="1"/>
    <xf numFmtId="164" fontId="0" fillId="33" borderId="22" xfId="0" applyNumberFormat="1" applyFill="1" applyBorder="1"/>
    <xf numFmtId="0" fontId="0" fillId="0" borderId="59" xfId="0" applyBorder="1"/>
    <xf numFmtId="0" fontId="0" fillId="33" borderId="59" xfId="0" applyFill="1" applyBorder="1"/>
    <xf numFmtId="0" fontId="0" fillId="33" borderId="61" xfId="0" applyFill="1" applyBorder="1"/>
    <xf numFmtId="164" fontId="0" fillId="33" borderId="9" xfId="0" applyNumberFormat="1" applyFill="1" applyBorder="1"/>
    <xf numFmtId="0" fontId="0" fillId="33" borderId="59" xfId="0" applyFill="1" applyBorder="1" applyAlignment="1">
      <alignment horizontal="right"/>
    </xf>
    <xf numFmtId="1" fontId="0" fillId="5" borderId="59" xfId="0" applyNumberFormat="1" applyFill="1" applyBorder="1" applyAlignment="1">
      <alignment horizontal="center" vertical="center"/>
    </xf>
    <xf numFmtId="0" fontId="3" fillId="30" borderId="62" xfId="0" applyFont="1" applyFill="1" applyBorder="1" applyAlignment="1">
      <alignment horizontal="center" vertical="center"/>
    </xf>
    <xf numFmtId="164" fontId="0" fillId="0" borderId="22" xfId="0" applyNumberFormat="1" applyBorder="1"/>
    <xf numFmtId="0" fontId="0" fillId="0" borderId="11" xfId="0" applyBorder="1" applyAlignment="1">
      <alignment horizontal="right"/>
    </xf>
    <xf numFmtId="0" fontId="3" fillId="30" borderId="11" xfId="0" applyFont="1" applyFill="1" applyBorder="1" applyAlignment="1">
      <alignment horizontal="center" vertical="center"/>
    </xf>
    <xf numFmtId="0" fontId="0" fillId="0" borderId="37" xfId="0" applyBorder="1"/>
    <xf numFmtId="164" fontId="0" fillId="0" borderId="55" xfId="0" applyNumberFormat="1" applyBorder="1"/>
    <xf numFmtId="164" fontId="0" fillId="0" borderId="0" xfId="0" applyNumberFormat="1"/>
    <xf numFmtId="164" fontId="0" fillId="0" borderId="63" xfId="0" applyNumberFormat="1" applyBorder="1"/>
    <xf numFmtId="0" fontId="0" fillId="10" borderId="47" xfId="0" applyFill="1" applyBorder="1"/>
    <xf numFmtId="0" fontId="0" fillId="0" borderId="35" xfId="0" applyBorder="1"/>
    <xf numFmtId="0" fontId="0" fillId="0" borderId="49" xfId="0" applyBorder="1"/>
    <xf numFmtId="164" fontId="0" fillId="0" borderId="50" xfId="0" applyNumberFormat="1" applyBorder="1"/>
    <xf numFmtId="0" fontId="0" fillId="0" borderId="47" xfId="0" applyBorder="1" applyAlignment="1">
      <alignment horizontal="right"/>
    </xf>
    <xf numFmtId="164" fontId="0" fillId="0" borderId="64" xfId="0" applyNumberFormat="1" applyBorder="1"/>
    <xf numFmtId="0" fontId="0" fillId="10" borderId="11" xfId="0" applyFill="1" applyBorder="1"/>
    <xf numFmtId="164" fontId="0" fillId="0" borderId="65" xfId="0" applyNumberFormat="1" applyBorder="1"/>
    <xf numFmtId="0" fontId="0" fillId="10" borderId="59" xfId="0" applyFill="1" applyBorder="1"/>
    <xf numFmtId="0" fontId="0" fillId="0" borderId="61" xfId="0" applyBorder="1"/>
    <xf numFmtId="164" fontId="0" fillId="0" borderId="9" xfId="0" applyNumberFormat="1" applyBorder="1"/>
    <xf numFmtId="0" fontId="0" fillId="0" borderId="59" xfId="0" applyBorder="1" applyAlignment="1">
      <alignment horizontal="right"/>
    </xf>
    <xf numFmtId="164" fontId="0" fillId="33" borderId="49" xfId="0" applyNumberFormat="1" applyFill="1" applyBorder="1"/>
    <xf numFmtId="0" fontId="0" fillId="33" borderId="36" xfId="0" applyFill="1" applyBorder="1" applyAlignment="1">
      <alignment horizontal="right"/>
    </xf>
    <xf numFmtId="1" fontId="0" fillId="33" borderId="47" xfId="0" applyNumberFormat="1" applyFill="1" applyBorder="1" applyAlignment="1">
      <alignment horizontal="center" vertical="center"/>
    </xf>
    <xf numFmtId="0" fontId="3" fillId="30" borderId="26" xfId="0" applyFont="1" applyFill="1" applyBorder="1" applyAlignment="1">
      <alignment horizontal="center" vertical="center"/>
    </xf>
    <xf numFmtId="164" fontId="0" fillId="33" borderId="2" xfId="0" applyNumberFormat="1" applyFill="1" applyBorder="1"/>
    <xf numFmtId="0" fontId="0" fillId="33" borderId="14" xfId="0" applyFill="1" applyBorder="1" applyAlignment="1">
      <alignment horizontal="right"/>
    </xf>
    <xf numFmtId="1" fontId="0" fillId="33" borderId="11" xfId="0" applyNumberFormat="1" applyFill="1" applyBorder="1" applyAlignment="1">
      <alignment horizontal="center" vertical="center"/>
    </xf>
    <xf numFmtId="0" fontId="3" fillId="30" borderId="12" xfId="0" applyFont="1" applyFill="1" applyBorder="1" applyAlignment="1">
      <alignment horizontal="center" vertical="center"/>
    </xf>
    <xf numFmtId="164" fontId="0" fillId="33" borderId="61" xfId="0" applyNumberFormat="1" applyFill="1" applyBorder="1"/>
    <xf numFmtId="0" fontId="0" fillId="33" borderId="61" xfId="0" applyFill="1" applyBorder="1" applyAlignment="1">
      <alignment horizontal="right"/>
    </xf>
    <xf numFmtId="1" fontId="0" fillId="33" borderId="59" xfId="0" applyNumberFormat="1" applyFill="1" applyBorder="1" applyAlignment="1">
      <alignment horizontal="center" vertical="center"/>
    </xf>
    <xf numFmtId="0" fontId="3" fillId="30" borderId="8" xfId="0" applyFont="1" applyFill="1" applyBorder="1" applyAlignment="1">
      <alignment horizontal="center" vertical="center"/>
    </xf>
    <xf numFmtId="1" fontId="0" fillId="0" borderId="11" xfId="0" applyNumberFormat="1" applyBorder="1" applyAlignment="1">
      <alignment horizontal="center" vertical="center"/>
    </xf>
    <xf numFmtId="0" fontId="3" fillId="30" borderId="14" xfId="0" applyFont="1" applyFill="1" applyBorder="1" applyAlignment="1">
      <alignment horizontal="center" vertical="center"/>
    </xf>
    <xf numFmtId="1" fontId="0" fillId="0" borderId="4" xfId="0" applyNumberFormat="1" applyBorder="1" applyAlignment="1">
      <alignment horizontal="center" vertical="center"/>
    </xf>
    <xf numFmtId="0" fontId="3" fillId="30" borderId="66" xfId="0" applyFont="1" applyFill="1" applyBorder="1"/>
    <xf numFmtId="0" fontId="23" fillId="0" borderId="0" xfId="0" applyFont="1" applyAlignment="1">
      <alignment vertical="center"/>
    </xf>
    <xf numFmtId="0" fontId="0" fillId="0" borderId="7" xfId="0" applyBorder="1" applyAlignment="1">
      <alignment horizontal="right"/>
    </xf>
    <xf numFmtId="1" fontId="0" fillId="5" borderId="7" xfId="0" applyNumberFormat="1" applyFill="1" applyBorder="1" applyAlignment="1">
      <alignment horizontal="center" vertical="center"/>
    </xf>
    <xf numFmtId="0" fontId="3" fillId="30" borderId="7" xfId="0" applyFont="1" applyFill="1" applyBorder="1" applyAlignment="1">
      <alignment horizontal="center" vertical="center"/>
    </xf>
    <xf numFmtId="0" fontId="0" fillId="0" borderId="4" xfId="0" applyBorder="1" applyAlignment="1">
      <alignment horizontal="right"/>
    </xf>
    <xf numFmtId="1" fontId="0" fillId="5" borderId="4" xfId="0" applyNumberFormat="1" applyFill="1" applyBorder="1" applyAlignment="1">
      <alignment horizontal="center" vertical="center"/>
    </xf>
    <xf numFmtId="0" fontId="3" fillId="30" borderId="4" xfId="0" applyFont="1" applyFill="1" applyBorder="1" applyAlignment="1">
      <alignment horizontal="center" vertical="center"/>
    </xf>
    <xf numFmtId="0" fontId="3" fillId="2" borderId="67" xfId="0" applyFont="1" applyFill="1" applyBorder="1"/>
    <xf numFmtId="0" fontId="3" fillId="2" borderId="68" xfId="0" applyFont="1" applyFill="1" applyBorder="1"/>
    <xf numFmtId="0" fontId="21" fillId="2" borderId="69" xfId="0" applyFont="1" applyFill="1" applyBorder="1"/>
    <xf numFmtId="0" fontId="21" fillId="2" borderId="70" xfId="0" applyFont="1" applyFill="1" applyBorder="1"/>
    <xf numFmtId="0" fontId="0" fillId="0" borderId="35" xfId="0" applyBorder="1" applyAlignment="1">
      <alignment vertical="center"/>
    </xf>
    <xf numFmtId="0" fontId="0" fillId="0" borderId="34" xfId="0" applyBorder="1" applyAlignment="1">
      <alignment vertical="center"/>
    </xf>
    <xf numFmtId="164" fontId="0" fillId="0" borderId="73" xfId="0" applyNumberFormat="1" applyBorder="1"/>
    <xf numFmtId="0" fontId="0" fillId="33" borderId="56" xfId="0" applyFill="1" applyBorder="1"/>
    <xf numFmtId="164" fontId="0" fillId="0" borderId="74" xfId="0" applyNumberFormat="1" applyBorder="1"/>
    <xf numFmtId="164" fontId="0" fillId="0" borderId="75" xfId="0" applyNumberFormat="1" applyBorder="1"/>
    <xf numFmtId="0" fontId="0" fillId="0" borderId="76" xfId="0" applyBorder="1"/>
    <xf numFmtId="0" fontId="0" fillId="28" borderId="77" xfId="0" applyFill="1" applyBorder="1"/>
    <xf numFmtId="0" fontId="0" fillId="0" borderId="1" xfId="0" applyBorder="1" applyAlignment="1">
      <alignment vertical="center"/>
    </xf>
    <xf numFmtId="164" fontId="0" fillId="0" borderId="80" xfId="0" applyNumberFormat="1" applyBorder="1"/>
    <xf numFmtId="164" fontId="0" fillId="0" borderId="81" xfId="0" applyNumberFormat="1" applyBorder="1"/>
    <xf numFmtId="164" fontId="0" fillId="0" borderId="45" xfId="0" applyNumberFormat="1" applyBorder="1"/>
    <xf numFmtId="0" fontId="0" fillId="0" borderId="82" xfId="0" applyBorder="1"/>
    <xf numFmtId="0" fontId="0" fillId="28" borderId="83" xfId="0" applyFill="1" applyBorder="1"/>
    <xf numFmtId="0" fontId="0" fillId="0" borderId="34" xfId="0" applyBorder="1"/>
    <xf numFmtId="0" fontId="2" fillId="33" borderId="62" xfId="0" applyFont="1" applyFill="1" applyBorder="1"/>
    <xf numFmtId="0" fontId="2" fillId="33" borderId="59" xfId="0" applyFont="1" applyFill="1" applyBorder="1"/>
    <xf numFmtId="0" fontId="2" fillId="33" borderId="61" xfId="0" applyFont="1" applyFill="1" applyBorder="1"/>
    <xf numFmtId="164" fontId="2" fillId="33" borderId="9" xfId="0" applyNumberFormat="1" applyFont="1" applyFill="1" applyBorder="1"/>
    <xf numFmtId="164" fontId="0" fillId="0" borderId="86" xfId="0" applyNumberFormat="1" applyBorder="1"/>
    <xf numFmtId="164" fontId="0" fillId="0" borderId="87" xfId="0" applyNumberFormat="1" applyBorder="1"/>
    <xf numFmtId="0" fontId="0" fillId="0" borderId="88" xfId="0" applyBorder="1"/>
    <xf numFmtId="0" fontId="0" fillId="28" borderId="89" xfId="0" applyFill="1" applyBorder="1"/>
    <xf numFmtId="0" fontId="0" fillId="33" borderId="51" xfId="0" applyFill="1" applyBorder="1"/>
    <xf numFmtId="0" fontId="0" fillId="0" borderId="4" xfId="0" applyBorder="1" applyAlignment="1">
      <alignment vertical="center"/>
    </xf>
    <xf numFmtId="0" fontId="0" fillId="33" borderId="62" xfId="0" applyFill="1" applyBorder="1"/>
    <xf numFmtId="0" fontId="3" fillId="2" borderId="91" xfId="0" applyFont="1" applyFill="1" applyBorder="1"/>
    <xf numFmtId="0" fontId="3" fillId="2" borderId="92" xfId="0" applyFont="1" applyFill="1" applyBorder="1"/>
    <xf numFmtId="0" fontId="0" fillId="35" borderId="46" xfId="0" applyFill="1" applyBorder="1"/>
    <xf numFmtId="0" fontId="0" fillId="35" borderId="54" xfId="0" applyFill="1" applyBorder="1"/>
    <xf numFmtId="164" fontId="9" fillId="0" borderId="4" xfId="0" applyNumberFormat="1" applyFont="1" applyBorder="1"/>
    <xf numFmtId="0" fontId="0" fillId="33" borderId="6" xfId="0" applyFill="1" applyBorder="1"/>
    <xf numFmtId="0" fontId="0" fillId="33" borderId="15" xfId="0" applyFill="1" applyBorder="1"/>
    <xf numFmtId="0" fontId="2" fillId="0" borderId="37" xfId="0" applyFont="1" applyBorder="1"/>
    <xf numFmtId="0" fontId="0" fillId="33" borderId="3" xfId="0" applyFill="1" applyBorder="1"/>
    <xf numFmtId="0" fontId="2" fillId="0" borderId="98" xfId="0" applyFont="1" applyBorder="1"/>
    <xf numFmtId="0" fontId="2" fillId="0" borderId="34" xfId="0" applyFont="1" applyBorder="1"/>
    <xf numFmtId="0" fontId="3" fillId="2" borderId="99" xfId="0" applyFont="1" applyFill="1" applyBorder="1"/>
    <xf numFmtId="0" fontId="21" fillId="2" borderId="100" xfId="0" applyFont="1" applyFill="1" applyBorder="1"/>
    <xf numFmtId="0" fontId="0" fillId="35" borderId="58" xfId="0" applyFill="1" applyBorder="1"/>
    <xf numFmtId="0" fontId="26" fillId="0" borderId="0" xfId="0" applyFont="1"/>
    <xf numFmtId="49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49" fontId="0" fillId="0" borderId="0" xfId="0" applyNumberFormat="1"/>
    <xf numFmtId="1" fontId="0" fillId="0" borderId="2" xfId="0" applyNumberFormat="1" applyBorder="1" applyAlignment="1">
      <alignment horizontal="center" vertical="center"/>
    </xf>
    <xf numFmtId="1" fontId="0" fillId="0" borderId="14" xfId="0" applyNumberFormat="1" applyBorder="1" applyAlignment="1">
      <alignment horizontal="center" vertical="center"/>
    </xf>
    <xf numFmtId="1" fontId="0" fillId="0" borderId="5" xfId="0" applyNumberFormat="1" applyBorder="1" applyAlignment="1">
      <alignment horizontal="center" vertical="center"/>
    </xf>
    <xf numFmtId="0" fontId="0" fillId="6" borderId="22" xfId="0" applyFill="1" applyBorder="1" applyAlignment="1">
      <alignment horizontal="center" vertical="center" wrapText="1"/>
    </xf>
    <xf numFmtId="0" fontId="0" fillId="6" borderId="3" xfId="0" applyFill="1" applyBorder="1" applyAlignment="1">
      <alignment horizontal="center" vertical="center" wrapText="1"/>
    </xf>
    <xf numFmtId="0" fontId="0" fillId="6" borderId="0" xfId="0" applyFill="1" applyAlignment="1">
      <alignment horizontal="center" vertical="center" wrapText="1"/>
    </xf>
    <xf numFmtId="0" fontId="0" fillId="6" borderId="15" xfId="0" applyFill="1" applyBorder="1" applyAlignment="1">
      <alignment horizontal="center" vertical="center" wrapText="1"/>
    </xf>
    <xf numFmtId="0" fontId="0" fillId="6" borderId="17" xfId="0" applyFill="1" applyBorder="1" applyAlignment="1">
      <alignment horizontal="center" vertical="center" wrapText="1"/>
    </xf>
    <xf numFmtId="0" fontId="0" fillId="6" borderId="6" xfId="0" applyFill="1" applyBorder="1" applyAlignment="1">
      <alignment horizontal="center" vertical="center" wrapText="1"/>
    </xf>
    <xf numFmtId="164" fontId="0" fillId="5" borderId="4" xfId="0" applyNumberFormat="1" applyFill="1" applyBorder="1" applyAlignment="1">
      <alignment horizontal="center" vertical="center"/>
    </xf>
    <xf numFmtId="164" fontId="0" fillId="5" borderId="11" xfId="0" applyNumberFormat="1" applyFill="1" applyBorder="1" applyAlignment="1">
      <alignment horizontal="center" vertical="center"/>
    </xf>
    <xf numFmtId="164" fontId="0" fillId="5" borderId="7" xfId="0" applyNumberFormat="1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3" borderId="2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3" borderId="14" xfId="0" applyFill="1" applyBorder="1" applyAlignment="1">
      <alignment horizontal="center" vertical="center" wrapText="1"/>
    </xf>
    <xf numFmtId="0" fontId="0" fillId="3" borderId="15" xfId="0" applyFill="1" applyBorder="1" applyAlignment="1">
      <alignment horizontal="center" vertical="center" wrapText="1"/>
    </xf>
    <xf numFmtId="0" fontId="0" fillId="3" borderId="19" xfId="0" applyFill="1" applyBorder="1" applyAlignment="1">
      <alignment horizontal="center" vertical="center" wrapText="1"/>
    </xf>
    <xf numFmtId="0" fontId="0" fillId="3" borderId="20" xfId="0" applyFill="1" applyBorder="1" applyAlignment="1">
      <alignment horizontal="center" vertical="center" wrapText="1"/>
    </xf>
    <xf numFmtId="0" fontId="0" fillId="3" borderId="24" xfId="0" applyFill="1" applyBorder="1" applyAlignment="1">
      <alignment horizontal="center" vertical="center" wrapText="1"/>
    </xf>
    <xf numFmtId="0" fontId="0" fillId="3" borderId="25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3" borderId="22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3" borderId="29" xfId="0" applyFill="1" applyBorder="1" applyAlignment="1">
      <alignment horizontal="center" vertical="center" wrapText="1"/>
    </xf>
    <xf numFmtId="0" fontId="0" fillId="3" borderId="30" xfId="0" applyFill="1" applyBorder="1" applyAlignment="1">
      <alignment horizontal="center" vertical="center" wrapText="1"/>
    </xf>
    <xf numFmtId="0" fontId="0" fillId="3" borderId="17" xfId="0" applyFill="1" applyBorder="1" applyAlignment="1">
      <alignment horizontal="center" vertical="center" wrapText="1"/>
    </xf>
    <xf numFmtId="0" fontId="1" fillId="0" borderId="31" xfId="0" applyFont="1" applyBorder="1" applyAlignment="1">
      <alignment horizontal="center"/>
    </xf>
    <xf numFmtId="0" fontId="1" fillId="0" borderId="32" xfId="0" applyFont="1" applyBorder="1" applyAlignment="1">
      <alignment horizontal="center"/>
    </xf>
    <xf numFmtId="0" fontId="1" fillId="0" borderId="33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7" xfId="0" applyFont="1" applyBorder="1" applyAlignment="1">
      <alignment horizontal="center"/>
    </xf>
    <xf numFmtId="0" fontId="0" fillId="3" borderId="4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7" borderId="4" xfId="0" applyFill="1" applyBorder="1" applyAlignment="1">
      <alignment horizontal="center" vertical="center"/>
    </xf>
    <xf numFmtId="0" fontId="0" fillId="27" borderId="11" xfId="0" applyFill="1" applyBorder="1" applyAlignment="1">
      <alignment horizontal="center" vertical="center"/>
    </xf>
    <xf numFmtId="0" fontId="0" fillId="27" borderId="7" xfId="0" applyFill="1" applyBorder="1" applyAlignment="1">
      <alignment horizontal="center" vertical="center"/>
    </xf>
    <xf numFmtId="164" fontId="0" fillId="17" borderId="4" xfId="0" applyNumberFormat="1" applyFill="1" applyBorder="1" applyAlignment="1">
      <alignment horizontal="center" vertical="center"/>
    </xf>
    <xf numFmtId="164" fontId="0" fillId="17" borderId="11" xfId="0" applyNumberFormat="1" applyFill="1" applyBorder="1" applyAlignment="1">
      <alignment horizontal="center" vertical="center"/>
    </xf>
    <xf numFmtId="164" fontId="0" fillId="17" borderId="7" xfId="0" applyNumberFormat="1" applyFill="1" applyBorder="1" applyAlignment="1">
      <alignment horizontal="center" vertical="center"/>
    </xf>
    <xf numFmtId="0" fontId="21" fillId="2" borderId="44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43" xfId="0" applyFont="1" applyFill="1" applyBorder="1" applyAlignment="1">
      <alignment horizontal="center"/>
    </xf>
    <xf numFmtId="0" fontId="0" fillId="28" borderId="41" xfId="0" applyFill="1" applyBorder="1" applyAlignment="1">
      <alignment horizontal="center" vertical="center"/>
    </xf>
    <xf numFmtId="0" fontId="0" fillId="28" borderId="40" xfId="0" applyFill="1" applyBorder="1" applyAlignment="1">
      <alignment horizontal="center" vertical="center"/>
    </xf>
    <xf numFmtId="0" fontId="3" fillId="30" borderId="30" xfId="0" applyFont="1" applyFill="1" applyBorder="1" applyAlignment="1">
      <alignment horizontal="center" vertical="center"/>
    </xf>
    <xf numFmtId="0" fontId="3" fillId="30" borderId="0" xfId="0" applyFont="1" applyFill="1" applyAlignment="1">
      <alignment horizontal="center" vertical="center"/>
    </xf>
    <xf numFmtId="0" fontId="3" fillId="30" borderId="29" xfId="0" applyFont="1" applyFill="1" applyBorder="1" applyAlignment="1">
      <alignment horizontal="center" vertical="center"/>
    </xf>
    <xf numFmtId="0" fontId="3" fillId="29" borderId="30" xfId="0" applyFont="1" applyFill="1" applyBorder="1" applyAlignment="1">
      <alignment horizontal="center" vertical="center" wrapText="1"/>
    </xf>
    <xf numFmtId="0" fontId="3" fillId="29" borderId="0" xfId="0" applyFont="1" applyFill="1" applyAlignment="1">
      <alignment horizontal="center" vertical="center" wrapText="1"/>
    </xf>
    <xf numFmtId="0" fontId="3" fillId="29" borderId="29" xfId="0" applyFont="1" applyFill="1" applyBorder="1" applyAlignment="1">
      <alignment horizontal="center" vertical="center" wrapText="1"/>
    </xf>
    <xf numFmtId="0" fontId="0" fillId="28" borderId="30" xfId="0" applyFill="1" applyBorder="1" applyAlignment="1">
      <alignment horizontal="center" vertical="center"/>
    </xf>
    <xf numFmtId="0" fontId="0" fillId="0" borderId="4" xfId="0" applyBorder="1" applyAlignment="1">
      <alignment horizontal="center" wrapText="1"/>
    </xf>
    <xf numFmtId="0" fontId="0" fillId="0" borderId="14" xfId="0" applyBorder="1" applyAlignment="1">
      <alignment horizontal="center"/>
    </xf>
    <xf numFmtId="0" fontId="0" fillId="0" borderId="30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3" fillId="29" borderId="30" xfId="0" applyFont="1" applyFill="1" applyBorder="1" applyAlignment="1">
      <alignment horizontal="center" vertical="center"/>
    </xf>
    <xf numFmtId="0" fontId="3" fillId="29" borderId="0" xfId="0" applyFont="1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0" fontId="3" fillId="2" borderId="29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wrapText="1"/>
    </xf>
    <xf numFmtId="0" fontId="3" fillId="2" borderId="29" xfId="0" applyFont="1" applyFill="1" applyBorder="1" applyAlignment="1">
      <alignment horizontal="center" wrapText="1"/>
    </xf>
    <xf numFmtId="0" fontId="0" fillId="4" borderId="14" xfId="0" applyFill="1" applyBorder="1" applyAlignment="1">
      <alignment horizontal="center" vertical="center" wrapText="1"/>
    </xf>
    <xf numFmtId="0" fontId="0" fillId="4" borderId="15" xfId="0" applyFill="1" applyBorder="1" applyAlignment="1">
      <alignment horizontal="center" vertical="center" wrapText="1"/>
    </xf>
    <xf numFmtId="0" fontId="0" fillId="3" borderId="61" xfId="0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0" fontId="0" fillId="3" borderId="36" xfId="0" applyFill="1" applyBorder="1" applyAlignment="1">
      <alignment horizontal="center" vertical="center" wrapText="1"/>
    </xf>
    <xf numFmtId="0" fontId="0" fillId="3" borderId="27" xfId="0" applyFill="1" applyBorder="1" applyAlignment="1">
      <alignment horizontal="center" vertical="center" wrapText="1"/>
    </xf>
    <xf numFmtId="0" fontId="0" fillId="34" borderId="61" xfId="0" applyFill="1" applyBorder="1" applyAlignment="1">
      <alignment horizontal="center" vertical="center" wrapText="1"/>
    </xf>
    <xf numFmtId="0" fontId="0" fillId="34" borderId="60" xfId="0" applyFill="1" applyBorder="1" applyAlignment="1">
      <alignment horizontal="center" vertical="center" wrapText="1"/>
    </xf>
    <xf numFmtId="0" fontId="0" fillId="34" borderId="14" xfId="0" applyFill="1" applyBorder="1" applyAlignment="1">
      <alignment horizontal="center" vertical="center" wrapText="1"/>
    </xf>
    <xf numFmtId="0" fontId="0" fillId="34" borderId="15" xfId="0" applyFill="1" applyBorder="1" applyAlignment="1">
      <alignment horizontal="center" vertical="center" wrapText="1"/>
    </xf>
    <xf numFmtId="0" fontId="0" fillId="34" borderId="36" xfId="0" applyFill="1" applyBorder="1" applyAlignment="1">
      <alignment horizontal="center" vertical="center" wrapText="1"/>
    </xf>
    <xf numFmtId="0" fontId="0" fillId="34" borderId="48" xfId="0" applyFill="1" applyBorder="1" applyAlignment="1">
      <alignment horizontal="center" vertical="center" wrapText="1"/>
    </xf>
    <xf numFmtId="0" fontId="0" fillId="27" borderId="14" xfId="0" applyFill="1" applyBorder="1" applyAlignment="1">
      <alignment horizontal="center" vertical="center" wrapText="1"/>
    </xf>
    <xf numFmtId="0" fontId="0" fillId="27" borderId="0" xfId="0" applyFill="1" applyAlignment="1">
      <alignment horizontal="center" vertical="center" wrapText="1"/>
    </xf>
    <xf numFmtId="0" fontId="0" fillId="27" borderId="61" xfId="0" applyFill="1" applyBorder="1" applyAlignment="1">
      <alignment horizontal="center" vertical="center" wrapText="1"/>
    </xf>
    <xf numFmtId="0" fontId="0" fillId="27" borderId="9" xfId="0" applyFill="1" applyBorder="1" applyAlignment="1">
      <alignment horizontal="center" vertical="center" wrapText="1"/>
    </xf>
    <xf numFmtId="0" fontId="0" fillId="27" borderId="36" xfId="0" applyFill="1" applyBorder="1" applyAlignment="1">
      <alignment horizontal="center" vertical="center" wrapText="1"/>
    </xf>
    <xf numFmtId="0" fontId="0" fillId="27" borderId="27" xfId="0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 wrapText="1"/>
    </xf>
    <xf numFmtId="0" fontId="0" fillId="34" borderId="2" xfId="0" applyFill="1" applyBorder="1" applyAlignment="1">
      <alignment horizontal="center" vertical="center" wrapText="1"/>
    </xf>
    <xf numFmtId="0" fontId="0" fillId="34" borderId="3" xfId="0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27" borderId="24" xfId="0" applyFill="1" applyBorder="1" applyAlignment="1">
      <alignment horizontal="center" vertical="center" wrapText="1"/>
    </xf>
    <xf numFmtId="0" fontId="0" fillId="27" borderId="30" xfId="0" applyFill="1" applyBorder="1" applyAlignment="1">
      <alignment horizontal="center" vertical="center" wrapText="1"/>
    </xf>
    <xf numFmtId="0" fontId="0" fillId="4" borderId="24" xfId="0" applyFill="1" applyBorder="1" applyAlignment="1">
      <alignment horizontal="center" vertical="center" wrapText="1"/>
    </xf>
    <xf numFmtId="0" fontId="0" fillId="4" borderId="25" xfId="0" applyFill="1" applyBorder="1" applyAlignment="1">
      <alignment horizontal="center" vertical="center" wrapText="1"/>
    </xf>
    <xf numFmtId="0" fontId="0" fillId="34" borderId="10" xfId="0" applyFill="1" applyBorder="1" applyAlignment="1">
      <alignment horizontal="center" vertical="center" wrapText="1"/>
    </xf>
    <xf numFmtId="0" fontId="0" fillId="34" borderId="13" xfId="0" applyFill="1" applyBorder="1" applyAlignment="1">
      <alignment horizontal="center" vertical="center" wrapText="1"/>
    </xf>
    <xf numFmtId="0" fontId="0" fillId="34" borderId="28" xfId="0" applyFill="1" applyBorder="1" applyAlignment="1">
      <alignment horizontal="center" vertical="center" wrapText="1"/>
    </xf>
    <xf numFmtId="0" fontId="3" fillId="2" borderId="44" xfId="0" applyFont="1" applyFill="1" applyBorder="1" applyAlignment="1">
      <alignment horizontal="center"/>
    </xf>
    <xf numFmtId="0" fontId="23" fillId="0" borderId="58" xfId="0" applyFont="1" applyBorder="1" applyAlignment="1">
      <alignment horizontal="center" vertical="center"/>
    </xf>
    <xf numFmtId="0" fontId="1" fillId="0" borderId="54" xfId="0" applyFont="1" applyBorder="1" applyAlignment="1">
      <alignment horizontal="center" vertical="center"/>
    </xf>
    <xf numFmtId="0" fontId="1" fillId="0" borderId="46" xfId="0" applyFont="1" applyBorder="1" applyAlignment="1">
      <alignment horizontal="center" vertical="center"/>
    </xf>
    <xf numFmtId="0" fontId="23" fillId="0" borderId="54" xfId="0" applyFont="1" applyBorder="1" applyAlignment="1">
      <alignment horizontal="center" vertical="center"/>
    </xf>
    <xf numFmtId="0" fontId="23" fillId="0" borderId="46" xfId="0" applyFont="1" applyBorder="1" applyAlignment="1">
      <alignment horizontal="center" vertical="center"/>
    </xf>
    <xf numFmtId="0" fontId="0" fillId="0" borderId="22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3" borderId="60" xfId="0" applyFill="1" applyBorder="1" applyAlignment="1">
      <alignment horizontal="center" vertical="center" wrapText="1"/>
    </xf>
    <xf numFmtId="0" fontId="0" fillId="3" borderId="48" xfId="0" applyFill="1" applyBorder="1" applyAlignment="1">
      <alignment horizontal="center" vertical="center" wrapText="1"/>
    </xf>
    <xf numFmtId="0" fontId="0" fillId="0" borderId="3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2" xfId="0" applyBorder="1" applyAlignment="1">
      <alignment horizontal="center"/>
    </xf>
    <xf numFmtId="0" fontId="0" fillId="0" borderId="12" xfId="0" applyBorder="1" applyAlignment="1">
      <alignment horizontal="center" wrapText="1"/>
    </xf>
    <xf numFmtId="0" fontId="0" fillId="0" borderId="12" xfId="0" applyBorder="1" applyAlignment="1">
      <alignment horizontal="center" vertical="center"/>
    </xf>
    <xf numFmtId="0" fontId="1" fillId="0" borderId="78" xfId="0" applyFont="1" applyBorder="1" applyAlignment="1">
      <alignment horizontal="center" vertical="center"/>
    </xf>
    <xf numFmtId="0" fontId="0" fillId="0" borderId="78" xfId="0" applyBorder="1" applyAlignment="1">
      <alignment horizontal="center" vertical="center"/>
    </xf>
    <xf numFmtId="0" fontId="0" fillId="0" borderId="71" xfId="0" applyBorder="1" applyAlignment="1">
      <alignment horizontal="center" vertical="center"/>
    </xf>
    <xf numFmtId="0" fontId="23" fillId="0" borderId="10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23" fillId="0" borderId="13" xfId="0" applyFont="1" applyBorder="1" applyAlignment="1">
      <alignment horizontal="center" vertical="center"/>
    </xf>
    <xf numFmtId="0" fontId="0" fillId="0" borderId="97" xfId="0" applyBorder="1" applyAlignment="1">
      <alignment horizontal="center" vertical="center"/>
    </xf>
    <xf numFmtId="0" fontId="0" fillId="0" borderId="9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27" borderId="34" xfId="0" applyFill="1" applyBorder="1" applyAlignment="1">
      <alignment horizontal="center" vertical="center"/>
    </xf>
    <xf numFmtId="0" fontId="0" fillId="27" borderId="1" xfId="0" applyFill="1" applyBorder="1" applyAlignment="1">
      <alignment horizontal="center" vertical="center"/>
    </xf>
    <xf numFmtId="0" fontId="23" fillId="0" borderId="84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0" fillId="3" borderId="34" xfId="0" applyFill="1" applyBorder="1" applyAlignment="1">
      <alignment horizontal="center" vertical="center"/>
    </xf>
    <xf numFmtId="0" fontId="0" fillId="0" borderId="85" xfId="0" applyBorder="1" applyAlignment="1">
      <alignment horizontal="center" vertical="center"/>
    </xf>
    <xf numFmtId="0" fontId="0" fillId="0" borderId="79" xfId="0" applyBorder="1" applyAlignment="1">
      <alignment horizontal="center" vertical="center"/>
    </xf>
    <xf numFmtId="0" fontId="0" fillId="0" borderId="90" xfId="0" applyBorder="1" applyAlignment="1">
      <alignment horizontal="center" vertical="center"/>
    </xf>
    <xf numFmtId="0" fontId="0" fillId="27" borderId="35" xfId="0" applyFill="1" applyBorder="1" applyAlignment="1">
      <alignment horizontal="center" vertical="center"/>
    </xf>
    <xf numFmtId="0" fontId="0" fillId="3" borderId="35" xfId="0" applyFill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72" xfId="0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35" xfId="0" applyFill="1" applyBorder="1" applyAlignment="1">
      <alignment horizontal="center" vertical="center"/>
    </xf>
    <xf numFmtId="0" fontId="0" fillId="0" borderId="14" xfId="0" applyBorder="1" applyAlignment="1">
      <alignment horizontal="center" wrapText="1"/>
    </xf>
    <xf numFmtId="0" fontId="0" fillId="0" borderId="36" xfId="0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5" borderId="4" xfId="0" applyFill="1" applyBorder="1" applyAlignment="1">
      <alignment horizontal="center" vertical="center"/>
    </xf>
    <xf numFmtId="0" fontId="25" fillId="0" borderId="12" xfId="0" applyFont="1" applyBorder="1" applyAlignment="1">
      <alignment horizontal="center" wrapText="1"/>
    </xf>
    <xf numFmtId="0" fontId="24" fillId="0" borderId="12" xfId="0" applyFont="1" applyBorder="1" applyAlignment="1">
      <alignment horizontal="center"/>
    </xf>
    <xf numFmtId="0" fontId="24" fillId="0" borderId="16" xfId="0" applyFont="1" applyBorder="1" applyAlignment="1">
      <alignment horizontal="center"/>
    </xf>
    <xf numFmtId="0" fontId="0" fillId="5" borderId="34" xfId="0" applyFill="1" applyBorder="1" applyAlignment="1">
      <alignment horizontal="center" vertical="center"/>
    </xf>
    <xf numFmtId="0" fontId="1" fillId="0" borderId="84" xfId="0" applyFont="1" applyBorder="1" applyAlignment="1">
      <alignment horizontal="center" vertical="center"/>
    </xf>
    <xf numFmtId="0" fontId="0" fillId="0" borderId="93" xfId="0" applyBorder="1" applyAlignment="1">
      <alignment horizontal="center" vertical="center"/>
    </xf>
    <xf numFmtId="0" fontId="23" fillId="0" borderId="96" xfId="0" applyFont="1" applyBorder="1" applyAlignment="1">
      <alignment horizontal="center" vertical="center"/>
    </xf>
    <xf numFmtId="0" fontId="23" fillId="0" borderId="94" xfId="0" applyFont="1" applyBorder="1" applyAlignment="1">
      <alignment horizontal="center" vertical="center"/>
    </xf>
    <xf numFmtId="0" fontId="23" fillId="0" borderId="6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eetMetadata" Target="metadata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06/relationships/rdRichValueTypes" Target="richData/rdRichValueTyp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microsoft.com/office/2017/06/relationships/rdRichValueStructure" Target="richData/rdrichvaluestructure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06/relationships/rdRichValue" Target="richData/rdrichvalue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Glucose,</a:t>
            </a:r>
            <a:r>
              <a:rPr lang="en-US" baseline="0"/>
              <a:t> </a:t>
            </a:r>
            <a:r>
              <a:rPr lang="en-US"/>
              <a:t>Days 1-3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SE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11 mM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Glucose!$T$73:$T$76</c:f>
                <c:numCache>
                  <c:formatCode>General</c:formatCode>
                  <c:ptCount val="4"/>
                  <c:pt idx="0">
                    <c:v>0.24090769108727111</c:v>
                  </c:pt>
                  <c:pt idx="1">
                    <c:v>0.45105589084576486</c:v>
                  </c:pt>
                  <c:pt idx="2">
                    <c:v>0.28153159976575726</c:v>
                  </c:pt>
                  <c:pt idx="3">
                    <c:v>0.3638150571833621</c:v>
                  </c:pt>
                </c:numCache>
              </c:numRef>
            </c:plus>
            <c:minus>
              <c:numRef>
                <c:f>Glucose!$T$73:$T$76</c:f>
                <c:numCache>
                  <c:formatCode>General</c:formatCode>
                  <c:ptCount val="4"/>
                  <c:pt idx="0">
                    <c:v>0.24090769108727111</c:v>
                  </c:pt>
                  <c:pt idx="1">
                    <c:v>0.45105589084576486</c:v>
                  </c:pt>
                  <c:pt idx="2">
                    <c:v>0.28153159976575726</c:v>
                  </c:pt>
                  <c:pt idx="3">
                    <c:v>0.3638150571833621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>
                <a:solidFill>
                  <a:schemeClr val="tx2">
                    <a:lumMod val="75000"/>
                  </a:schemeClr>
                </a:solidFill>
                <a:round/>
              </a:ln>
              <a:effectLst/>
            </c:spPr>
          </c:errBars>
          <c:xVal>
            <c:numRef>
              <c:f>Glucose!$Q$73:$Q$76</c:f>
              <c:numCache>
                <c:formatCode>General</c:formatCode>
                <c:ptCount val="4"/>
                <c:pt idx="0">
                  <c:v>0</c:v>
                </c:pt>
                <c:pt idx="1">
                  <c:v>8</c:v>
                </c:pt>
                <c:pt idx="2">
                  <c:v>24</c:v>
                </c:pt>
                <c:pt idx="3">
                  <c:v>47.9</c:v>
                </c:pt>
              </c:numCache>
            </c:numRef>
          </c:xVal>
          <c:yVal>
            <c:numRef>
              <c:f>Glucose!$R$73:$R$76</c:f>
              <c:numCache>
                <c:formatCode>0.000</c:formatCode>
                <c:ptCount val="4"/>
                <c:pt idx="0">
                  <c:v>9.5191249999999989</c:v>
                </c:pt>
                <c:pt idx="1">
                  <c:v>8.6404999999999994</c:v>
                </c:pt>
                <c:pt idx="2">
                  <c:v>7.6394999999999991</c:v>
                </c:pt>
                <c:pt idx="3">
                  <c:v>6.1792499999999997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1E-634D-90B1-D6F73DA9D083}"/>
            </c:ext>
          </c:extLst>
        </c:ser>
        <c:ser>
          <c:idx val="0"/>
          <c:order val="1"/>
          <c:tx>
            <c:v>5.5 mM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Glucose!$T$69:$T$72</c:f>
                <c:numCache>
                  <c:formatCode>General</c:formatCode>
                  <c:ptCount val="4"/>
                  <c:pt idx="0">
                    <c:v>6.6178000708526641E-2</c:v>
                  </c:pt>
                  <c:pt idx="1">
                    <c:v>0.12746282137679726</c:v>
                  </c:pt>
                  <c:pt idx="2">
                    <c:v>3.4956744103725214E-2</c:v>
                  </c:pt>
                  <c:pt idx="3">
                    <c:v>6.3150283715382796E-2</c:v>
                  </c:pt>
                </c:numCache>
              </c:numRef>
            </c:plus>
            <c:minus>
              <c:numRef>
                <c:f>Glucose!$T$69:$T$72</c:f>
                <c:numCache>
                  <c:formatCode>General</c:formatCode>
                  <c:ptCount val="4"/>
                  <c:pt idx="0">
                    <c:v>6.6178000708526641E-2</c:v>
                  </c:pt>
                  <c:pt idx="1">
                    <c:v>0.12746282137679726</c:v>
                  </c:pt>
                  <c:pt idx="2">
                    <c:v>3.4956744103725214E-2</c:v>
                  </c:pt>
                  <c:pt idx="3">
                    <c:v>6.3150283715382796E-2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</a:schemeClr>
                </a:solidFill>
                <a:round/>
              </a:ln>
              <a:effectLst/>
            </c:spPr>
          </c:errBars>
          <c:xVal>
            <c:numRef>
              <c:f>Glucose!$Q$65:$Q$68</c:f>
              <c:numCache>
                <c:formatCode>General</c:formatCode>
                <c:ptCount val="4"/>
                <c:pt idx="0">
                  <c:v>0</c:v>
                </c:pt>
                <c:pt idx="1">
                  <c:v>8</c:v>
                </c:pt>
                <c:pt idx="2">
                  <c:v>24</c:v>
                </c:pt>
                <c:pt idx="3">
                  <c:v>47.9</c:v>
                </c:pt>
              </c:numCache>
            </c:numRef>
          </c:xVal>
          <c:yVal>
            <c:numRef>
              <c:f>Glucose!$R$65:$R$68</c:f>
              <c:numCache>
                <c:formatCode>0.000</c:formatCode>
                <c:ptCount val="4"/>
                <c:pt idx="0" formatCode="General">
                  <c:v>5.7694999999999999</c:v>
                </c:pt>
                <c:pt idx="1">
                  <c:v>4.588375000000001</c:v>
                </c:pt>
                <c:pt idx="2">
                  <c:v>3.3109999999999999</c:v>
                </c:pt>
                <c:pt idx="3">
                  <c:v>2.0423333333333336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1E-634D-90B1-D6F73DA9D0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1060528"/>
        <c:axId val="182523983"/>
      </c:scatterChart>
      <c:valAx>
        <c:axId val="1981060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(hours)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82523983"/>
        <c:crosses val="autoZero"/>
        <c:crossBetween val="midCat"/>
        <c:majorUnit val="8"/>
      </c:valAx>
      <c:valAx>
        <c:axId val="182523983"/>
        <c:scaling>
          <c:orientation val="minMax"/>
          <c:max val="12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Glucose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981060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Day 13, GTT + Dose</a:t>
            </a:r>
            <a:r>
              <a:rPr lang="en-US" b="1" baseline="0"/>
              <a:t> A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11 mM</c:v>
          </c:tx>
          <c:errBars>
            <c:errDir val="y"/>
            <c:errBarType val="both"/>
            <c:errValType val="cust"/>
            <c:noEndCap val="0"/>
            <c:plus>
              <c:numRef>
                <c:f>Summary_doseA_B!$H$14:$H$18</c:f>
                <c:numCache>
                  <c:formatCode>General</c:formatCode>
                  <c:ptCount val="5"/>
                  <c:pt idx="0">
                    <c:v>0.919875</c:v>
                  </c:pt>
                  <c:pt idx="1">
                    <c:v>1.0919700000000001</c:v>
                  </c:pt>
                  <c:pt idx="2">
                    <c:v>0.76345499999999999</c:v>
                  </c:pt>
                  <c:pt idx="3">
                    <c:v>0.69002999999999992</c:v>
                  </c:pt>
                  <c:pt idx="4">
                    <c:v>0.33451510000000001</c:v>
                  </c:pt>
                </c:numCache>
              </c:numRef>
            </c:plus>
            <c:minus>
              <c:numRef>
                <c:f>Summary_doseA_B!$H$14:$H$18</c:f>
                <c:numCache>
                  <c:formatCode>General</c:formatCode>
                  <c:ptCount val="5"/>
                  <c:pt idx="0">
                    <c:v>0.919875</c:v>
                  </c:pt>
                  <c:pt idx="1">
                    <c:v>1.0919700000000001</c:v>
                  </c:pt>
                  <c:pt idx="2">
                    <c:v>0.76345499999999999</c:v>
                  </c:pt>
                  <c:pt idx="3">
                    <c:v>0.69002999999999992</c:v>
                  </c:pt>
                  <c:pt idx="4">
                    <c:v>0.33451510000000001</c:v>
                  </c:pt>
                </c:numCache>
              </c:numRef>
            </c:minus>
          </c:errBars>
          <c:xVal>
            <c:numRef>
              <c:f>Summary_doseA_B!$C$14:$C$18</c:f>
              <c:numCache>
                <c:formatCode>General</c:formatCode>
                <c:ptCount val="5"/>
                <c:pt idx="0">
                  <c:v>0</c:v>
                </c:pt>
                <c:pt idx="1">
                  <c:v>6</c:v>
                </c:pt>
                <c:pt idx="2">
                  <c:v>24</c:v>
                </c:pt>
                <c:pt idx="3">
                  <c:v>48</c:v>
                </c:pt>
                <c:pt idx="4">
                  <c:v>72</c:v>
                </c:pt>
              </c:numCache>
            </c:numRef>
          </c:xVal>
          <c:yVal>
            <c:numRef>
              <c:f>Summary_doseA_B!$D$14:$D$18</c:f>
              <c:numCache>
                <c:formatCode>General</c:formatCode>
                <c:ptCount val="5"/>
                <c:pt idx="0">
                  <c:v>10.220833333333333</c:v>
                </c:pt>
                <c:pt idx="1">
                  <c:v>12.133000000000001</c:v>
                </c:pt>
                <c:pt idx="2">
                  <c:v>8.4828333333333337</c:v>
                </c:pt>
                <c:pt idx="3">
                  <c:v>7.6669999999999998</c:v>
                </c:pt>
                <c:pt idx="4">
                  <c:v>6.5541666666666671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F1-E447-A1B4-A87D6C8D7CC9}"/>
            </c:ext>
          </c:extLst>
        </c:ser>
        <c:ser>
          <c:idx val="1"/>
          <c:order val="1"/>
          <c:tx>
            <c:v>5.5 mM</c:v>
          </c:tx>
          <c:errBars>
            <c:errDir val="y"/>
            <c:errBarType val="both"/>
            <c:errValType val="cust"/>
            <c:noEndCap val="0"/>
            <c:plus>
              <c:numRef>
                <c:f>Summary_doseA_B!$H$4:$H$8</c:f>
                <c:numCache>
                  <c:formatCode>General</c:formatCode>
                  <c:ptCount val="5"/>
                  <c:pt idx="0">
                    <c:v>0.90865499999999999</c:v>
                  </c:pt>
                  <c:pt idx="1">
                    <c:v>0.63829651799999998</c:v>
                  </c:pt>
                  <c:pt idx="2">
                    <c:v>0.68672999999999995</c:v>
                  </c:pt>
                  <c:pt idx="3">
                    <c:v>0.61924500000000005</c:v>
                  </c:pt>
                  <c:pt idx="4">
                    <c:v>0.37113417300000001</c:v>
                  </c:pt>
                </c:numCache>
              </c:numRef>
            </c:plus>
            <c:minus>
              <c:numRef>
                <c:f>Summary_doseA_B!$H$4:$H$8</c:f>
                <c:numCache>
                  <c:formatCode>General</c:formatCode>
                  <c:ptCount val="5"/>
                  <c:pt idx="0">
                    <c:v>0.90865499999999999</c:v>
                  </c:pt>
                  <c:pt idx="1">
                    <c:v>0.63829651799999998</c:v>
                  </c:pt>
                  <c:pt idx="2">
                    <c:v>0.68672999999999995</c:v>
                  </c:pt>
                  <c:pt idx="3">
                    <c:v>0.61924500000000005</c:v>
                  </c:pt>
                  <c:pt idx="4">
                    <c:v>0.37113417300000001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0"/>
          </c:errBars>
          <c:xVal>
            <c:numRef>
              <c:f>Summary_doseA_B!$C$4:$C$8</c:f>
              <c:numCache>
                <c:formatCode>General</c:formatCode>
                <c:ptCount val="5"/>
                <c:pt idx="0">
                  <c:v>0</c:v>
                </c:pt>
                <c:pt idx="1">
                  <c:v>6</c:v>
                </c:pt>
                <c:pt idx="2">
                  <c:v>24</c:v>
                </c:pt>
                <c:pt idx="3">
                  <c:v>48</c:v>
                </c:pt>
                <c:pt idx="4">
                  <c:v>72</c:v>
                </c:pt>
              </c:numCache>
            </c:numRef>
          </c:xVal>
          <c:yVal>
            <c:numRef>
              <c:f>Summary_doseA_B!$D$4:$D$8</c:f>
              <c:numCache>
                <c:formatCode>General</c:formatCode>
                <c:ptCount val="5"/>
                <c:pt idx="0">
                  <c:v>10.096166666666667</c:v>
                </c:pt>
                <c:pt idx="1">
                  <c:v>9.7551670000000001</c:v>
                </c:pt>
                <c:pt idx="2">
                  <c:v>7.6303333333333327</c:v>
                </c:pt>
                <c:pt idx="3">
                  <c:v>6.8805000000000005</c:v>
                </c:pt>
                <c:pt idx="4">
                  <c:v>5.4303333333333335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5F1-E447-A1B4-A87D6C8D7C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2638159"/>
        <c:axId val="1412639839"/>
      </c:scatterChart>
      <c:valAx>
        <c:axId val="1412638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(hours)</a:t>
                </a: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412639839"/>
        <c:crosses val="autoZero"/>
        <c:crossBetween val="midCat"/>
      </c:valAx>
      <c:valAx>
        <c:axId val="1412639839"/>
        <c:scaling>
          <c:orientation val="minMax"/>
          <c:max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Glucose level (mM)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412638159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Day 13, GTT + Dose</a:t>
            </a:r>
            <a:r>
              <a:rPr lang="en-US" b="1" baseline="0"/>
              <a:t> B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11 mM</c:v>
          </c:tx>
          <c:spPr>
            <a:ln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Summary_doseA_B!$H$19:$H$23</c:f>
                <c:numCache>
                  <c:formatCode>General</c:formatCode>
                  <c:ptCount val="5"/>
                  <c:pt idx="0">
                    <c:v>0.65287434300000002</c:v>
                  </c:pt>
                  <c:pt idx="1">
                    <c:v>0.83374499999999985</c:v>
                  </c:pt>
                  <c:pt idx="2">
                    <c:v>0.71857499999999996</c:v>
                  </c:pt>
                  <c:pt idx="3">
                    <c:v>0.71824499999999991</c:v>
                  </c:pt>
                  <c:pt idx="4">
                    <c:v>0.57733499999999993</c:v>
                  </c:pt>
                </c:numCache>
              </c:numRef>
            </c:plus>
            <c:minus>
              <c:numRef>
                <c:f>Summary_doseA_B!$H$19:$H$23</c:f>
                <c:numCache>
                  <c:formatCode>General</c:formatCode>
                  <c:ptCount val="5"/>
                  <c:pt idx="0">
                    <c:v>0.65287434300000002</c:v>
                  </c:pt>
                  <c:pt idx="1">
                    <c:v>0.83374499999999985</c:v>
                  </c:pt>
                  <c:pt idx="2">
                    <c:v>0.71857499999999996</c:v>
                  </c:pt>
                  <c:pt idx="3">
                    <c:v>0.71824499999999991</c:v>
                  </c:pt>
                  <c:pt idx="4">
                    <c:v>0.57733499999999993</c:v>
                  </c:pt>
                </c:numCache>
              </c:numRef>
            </c:minus>
          </c:errBars>
          <c:xVal>
            <c:numRef>
              <c:f>Summary_doseA_B!$C$14:$C$18</c:f>
              <c:numCache>
                <c:formatCode>General</c:formatCode>
                <c:ptCount val="5"/>
                <c:pt idx="0">
                  <c:v>0</c:v>
                </c:pt>
                <c:pt idx="1">
                  <c:v>6</c:v>
                </c:pt>
                <c:pt idx="2">
                  <c:v>24</c:v>
                </c:pt>
                <c:pt idx="3">
                  <c:v>48</c:v>
                </c:pt>
                <c:pt idx="4">
                  <c:v>72</c:v>
                </c:pt>
              </c:numCache>
            </c:numRef>
          </c:xVal>
          <c:yVal>
            <c:numRef>
              <c:f>Summary_doseA_B!$D$19:$D$23</c:f>
              <c:numCache>
                <c:formatCode>General</c:formatCode>
                <c:ptCount val="5"/>
                <c:pt idx="0">
                  <c:v>11.166833333333335</c:v>
                </c:pt>
                <c:pt idx="1">
                  <c:v>9.2638333333333325</c:v>
                </c:pt>
                <c:pt idx="2">
                  <c:v>7.9841666666666669</c:v>
                </c:pt>
                <c:pt idx="3">
                  <c:v>7.9804999999999993</c:v>
                </c:pt>
                <c:pt idx="4">
                  <c:v>6.4148333333333332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78-0D4A-A7DF-A9DFC1058BCC}"/>
            </c:ext>
          </c:extLst>
        </c:ser>
        <c:ser>
          <c:idx val="3"/>
          <c:order val="1"/>
          <c:tx>
            <c:v>5.5 mM</c:v>
          </c:tx>
          <c:spPr>
            <a:ln>
              <a:solidFill>
                <a:schemeClr val="accent2"/>
              </a:solidFill>
            </a:ln>
          </c:spPr>
          <c:marker>
            <c:symbol val="circle"/>
            <c:size val="5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Summary_doseA_B!$H$9:$H$13</c:f>
                <c:numCache>
                  <c:formatCode>General</c:formatCode>
                  <c:ptCount val="5"/>
                  <c:pt idx="0">
                    <c:v>0.89974500000000002</c:v>
                  </c:pt>
                  <c:pt idx="1">
                    <c:v>0.520849538</c:v>
                  </c:pt>
                  <c:pt idx="2">
                    <c:v>0.72731999999999997</c:v>
                  </c:pt>
                  <c:pt idx="3">
                    <c:v>0.63739499999999993</c:v>
                  </c:pt>
                  <c:pt idx="4">
                    <c:v>0.43871734299999998</c:v>
                  </c:pt>
                </c:numCache>
              </c:numRef>
            </c:plus>
            <c:minus>
              <c:numRef>
                <c:f>Summary_doseA_B!$H$9:$H$13</c:f>
                <c:numCache>
                  <c:formatCode>General</c:formatCode>
                  <c:ptCount val="5"/>
                  <c:pt idx="0">
                    <c:v>0.89974500000000002</c:v>
                  </c:pt>
                  <c:pt idx="1">
                    <c:v>0.520849538</c:v>
                  </c:pt>
                  <c:pt idx="2">
                    <c:v>0.72731999999999997</c:v>
                  </c:pt>
                  <c:pt idx="3">
                    <c:v>0.63739499999999993</c:v>
                  </c:pt>
                  <c:pt idx="4">
                    <c:v>0.43871734299999998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0"/>
          </c:errBars>
          <c:xVal>
            <c:numRef>
              <c:f>Summary_doseA_B!$C$4:$C$8</c:f>
              <c:numCache>
                <c:formatCode>General</c:formatCode>
                <c:ptCount val="5"/>
                <c:pt idx="0">
                  <c:v>0</c:v>
                </c:pt>
                <c:pt idx="1">
                  <c:v>6</c:v>
                </c:pt>
                <c:pt idx="2">
                  <c:v>24</c:v>
                </c:pt>
                <c:pt idx="3">
                  <c:v>48</c:v>
                </c:pt>
                <c:pt idx="4">
                  <c:v>72</c:v>
                </c:pt>
              </c:numCache>
            </c:numRef>
          </c:xVal>
          <c:yVal>
            <c:numRef>
              <c:f>Summary_doseA_B!$D$9:$D$13</c:f>
              <c:numCache>
                <c:formatCode>General</c:formatCode>
                <c:ptCount val="5"/>
                <c:pt idx="0">
                  <c:v>9.9971666666666668</c:v>
                </c:pt>
                <c:pt idx="1">
                  <c:v>10.099833333333301</c:v>
                </c:pt>
                <c:pt idx="2">
                  <c:v>8.0813333333333333</c:v>
                </c:pt>
                <c:pt idx="3">
                  <c:v>7.0821666666666667</c:v>
                </c:pt>
                <c:pt idx="4">
                  <c:v>6.3836666666666666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078-0D4A-A7DF-A9DFC1058B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2638159"/>
        <c:axId val="1412639839"/>
      </c:scatterChart>
      <c:valAx>
        <c:axId val="1412638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(hours)</a:t>
                </a: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412639839"/>
        <c:crosses val="autoZero"/>
        <c:crossBetween val="midCat"/>
      </c:valAx>
      <c:valAx>
        <c:axId val="1412639839"/>
        <c:scaling>
          <c:orientation val="minMax"/>
          <c:max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Glucose level (mM)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412638159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spPr>
    <a:ln>
      <a:solidFill>
        <a:schemeClr val="accent1"/>
      </a:solidFill>
    </a:ln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Glucose,</a:t>
            </a:r>
            <a:r>
              <a:rPr lang="en-US" baseline="0"/>
              <a:t> </a:t>
            </a:r>
            <a:r>
              <a:rPr lang="en-US"/>
              <a:t>Days 1-3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SE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11 mM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'Corrected data manuscript'!$T$73:$T$76</c:f>
                <c:numCache>
                  <c:formatCode>General</c:formatCode>
                  <c:ptCount val="4"/>
                  <c:pt idx="0">
                    <c:v>0.24090769108727111</c:v>
                  </c:pt>
                  <c:pt idx="1">
                    <c:v>0.45105589084576486</c:v>
                  </c:pt>
                  <c:pt idx="2">
                    <c:v>0.28153159976575726</c:v>
                  </c:pt>
                  <c:pt idx="3">
                    <c:v>0.3638150571833621</c:v>
                  </c:pt>
                </c:numCache>
              </c:numRef>
            </c:plus>
            <c:minus>
              <c:numRef>
                <c:f>'Corrected data manuscript'!$T$73:$T$76</c:f>
                <c:numCache>
                  <c:formatCode>General</c:formatCode>
                  <c:ptCount val="4"/>
                  <c:pt idx="0">
                    <c:v>0.24090769108727111</c:v>
                  </c:pt>
                  <c:pt idx="1">
                    <c:v>0.45105589084576486</c:v>
                  </c:pt>
                  <c:pt idx="2">
                    <c:v>0.28153159976575726</c:v>
                  </c:pt>
                  <c:pt idx="3">
                    <c:v>0.3638150571833621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>
                <a:solidFill>
                  <a:schemeClr val="tx2">
                    <a:lumMod val="75000"/>
                  </a:schemeClr>
                </a:solidFill>
                <a:round/>
              </a:ln>
              <a:effectLst/>
            </c:spPr>
          </c:errBars>
          <c:xVal>
            <c:numRef>
              <c:f>'Corrected data manuscript'!$Q$73:$Q$76</c:f>
              <c:numCache>
                <c:formatCode>General</c:formatCode>
                <c:ptCount val="4"/>
                <c:pt idx="0">
                  <c:v>0</c:v>
                </c:pt>
                <c:pt idx="1">
                  <c:v>8</c:v>
                </c:pt>
                <c:pt idx="2">
                  <c:v>24</c:v>
                </c:pt>
                <c:pt idx="3">
                  <c:v>47.9</c:v>
                </c:pt>
              </c:numCache>
            </c:numRef>
          </c:xVal>
          <c:yVal>
            <c:numRef>
              <c:f>'Corrected data manuscript'!$R$73:$R$76</c:f>
              <c:numCache>
                <c:formatCode>0.000</c:formatCode>
                <c:ptCount val="4"/>
                <c:pt idx="0">
                  <c:v>9.5191249999999989</c:v>
                </c:pt>
                <c:pt idx="1">
                  <c:v>8.6404999999999994</c:v>
                </c:pt>
                <c:pt idx="2">
                  <c:v>7.6394999999999991</c:v>
                </c:pt>
                <c:pt idx="3">
                  <c:v>6.1792499999999997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39-804C-8FB5-FB328D2C98D3}"/>
            </c:ext>
          </c:extLst>
        </c:ser>
        <c:ser>
          <c:idx val="0"/>
          <c:order val="1"/>
          <c:tx>
            <c:v>5.5 mM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'Corrected data manuscript'!$T$69:$T$72</c:f>
                <c:numCache>
                  <c:formatCode>General</c:formatCode>
                  <c:ptCount val="4"/>
                  <c:pt idx="0">
                    <c:v>6.6178000708526641E-2</c:v>
                  </c:pt>
                  <c:pt idx="1">
                    <c:v>0.12746282137679726</c:v>
                  </c:pt>
                  <c:pt idx="2">
                    <c:v>3.4956744103725214E-2</c:v>
                  </c:pt>
                  <c:pt idx="3">
                    <c:v>6.3150283715382796E-2</c:v>
                  </c:pt>
                </c:numCache>
              </c:numRef>
            </c:plus>
            <c:minus>
              <c:numRef>
                <c:f>'Corrected data manuscript'!$T$69:$T$72</c:f>
                <c:numCache>
                  <c:formatCode>General</c:formatCode>
                  <c:ptCount val="4"/>
                  <c:pt idx="0">
                    <c:v>6.6178000708526641E-2</c:v>
                  </c:pt>
                  <c:pt idx="1">
                    <c:v>0.12746282137679726</c:v>
                  </c:pt>
                  <c:pt idx="2">
                    <c:v>3.4956744103725214E-2</c:v>
                  </c:pt>
                  <c:pt idx="3">
                    <c:v>6.3150283715382796E-2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</a:schemeClr>
                </a:solidFill>
                <a:round/>
              </a:ln>
              <a:effectLst/>
            </c:spPr>
          </c:errBars>
          <c:xVal>
            <c:numRef>
              <c:f>'Corrected data manuscript'!$Q$65:$Q$68</c:f>
              <c:numCache>
                <c:formatCode>General</c:formatCode>
                <c:ptCount val="4"/>
                <c:pt idx="0">
                  <c:v>0</c:v>
                </c:pt>
                <c:pt idx="1">
                  <c:v>8</c:v>
                </c:pt>
                <c:pt idx="2">
                  <c:v>24</c:v>
                </c:pt>
                <c:pt idx="3">
                  <c:v>47.9</c:v>
                </c:pt>
              </c:numCache>
            </c:numRef>
          </c:xVal>
          <c:yVal>
            <c:numRef>
              <c:f>'Corrected data manuscript'!$R$65:$R$68</c:f>
              <c:numCache>
                <c:formatCode>0.000</c:formatCode>
                <c:ptCount val="4"/>
                <c:pt idx="0" formatCode="General">
                  <c:v>5.7694999999999999</c:v>
                </c:pt>
                <c:pt idx="1">
                  <c:v>4.588375000000001</c:v>
                </c:pt>
                <c:pt idx="2">
                  <c:v>3.3109999999999999</c:v>
                </c:pt>
                <c:pt idx="3">
                  <c:v>2.0423333333333336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39-804C-8FB5-FB328D2C98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1060528"/>
        <c:axId val="182523983"/>
      </c:scatterChart>
      <c:valAx>
        <c:axId val="1981060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(hours)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82523983"/>
        <c:crosses val="autoZero"/>
        <c:crossBetween val="midCat"/>
        <c:majorUnit val="8"/>
      </c:valAx>
      <c:valAx>
        <c:axId val="182523983"/>
        <c:scaling>
          <c:orientation val="minMax"/>
          <c:max val="12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Glucose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981060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Glucose,</a:t>
            </a:r>
            <a:r>
              <a:rPr lang="en-US" baseline="0"/>
              <a:t> </a:t>
            </a:r>
            <a:r>
              <a:rPr lang="en-US"/>
              <a:t>Days 7-9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SE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11 mM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'Corrected data manuscript'!$T$77:$T$80</c:f>
                <c:numCache>
                  <c:formatCode>General</c:formatCode>
                  <c:ptCount val="4"/>
                  <c:pt idx="0">
                    <c:v>0.70295544251870534</c:v>
                  </c:pt>
                  <c:pt idx="1">
                    <c:v>7.2284557767663501E-2</c:v>
                  </c:pt>
                  <c:pt idx="2">
                    <c:v>0.10446079308365738</c:v>
                  </c:pt>
                  <c:pt idx="3">
                    <c:v>0.12795382874954001</c:v>
                  </c:pt>
                </c:numCache>
              </c:numRef>
            </c:plus>
            <c:minus>
              <c:numRef>
                <c:f>'Corrected data manuscript'!$T$77:$T$80</c:f>
                <c:numCache>
                  <c:formatCode>General</c:formatCode>
                  <c:ptCount val="4"/>
                  <c:pt idx="0">
                    <c:v>0.70295544251870534</c:v>
                  </c:pt>
                  <c:pt idx="1">
                    <c:v>7.2284557767663501E-2</c:v>
                  </c:pt>
                  <c:pt idx="2">
                    <c:v>0.10446079308365738</c:v>
                  </c:pt>
                  <c:pt idx="3">
                    <c:v>0.12795382874954001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>
                <a:solidFill>
                  <a:schemeClr val="tx2">
                    <a:lumMod val="75000"/>
                  </a:schemeClr>
                </a:solidFill>
                <a:round/>
              </a:ln>
              <a:effectLst/>
            </c:spPr>
          </c:errBars>
          <c:xVal>
            <c:numRef>
              <c:f>'Corrected data manuscript'!$Q$73:$Q$76</c:f>
              <c:numCache>
                <c:formatCode>General</c:formatCode>
                <c:ptCount val="4"/>
                <c:pt idx="0">
                  <c:v>0</c:v>
                </c:pt>
                <c:pt idx="1">
                  <c:v>8</c:v>
                </c:pt>
                <c:pt idx="2">
                  <c:v>24</c:v>
                </c:pt>
                <c:pt idx="3">
                  <c:v>47.9</c:v>
                </c:pt>
              </c:numCache>
            </c:numRef>
          </c:xVal>
          <c:yVal>
            <c:numRef>
              <c:f>'Corrected data manuscript'!$R$77:$R$80</c:f>
              <c:numCache>
                <c:formatCode>0.000</c:formatCode>
                <c:ptCount val="4"/>
                <c:pt idx="0">
                  <c:v>10.85975</c:v>
                </c:pt>
                <c:pt idx="1">
                  <c:v>9.593375</c:v>
                </c:pt>
                <c:pt idx="2">
                  <c:v>9.1506249999999998</c:v>
                </c:pt>
                <c:pt idx="3">
                  <c:v>8.5786250000000006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03-3443-87A0-87AA16FF9A2E}"/>
            </c:ext>
          </c:extLst>
        </c:ser>
        <c:ser>
          <c:idx val="0"/>
          <c:order val="1"/>
          <c:tx>
            <c:v>5.5 mM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'Corrected data manuscript'!$T$65:$T$68</c:f>
                <c:numCache>
                  <c:formatCode>General</c:formatCode>
                  <c:ptCount val="4"/>
                  <c:pt idx="0">
                    <c:v>6.5999999999999837E-2</c:v>
                  </c:pt>
                  <c:pt idx="1">
                    <c:v>5.9971651289032687E-2</c:v>
                  </c:pt>
                  <c:pt idx="2">
                    <c:v>0.18398301552045501</c:v>
                  </c:pt>
                  <c:pt idx="3">
                    <c:v>0.18926003569457245</c:v>
                  </c:pt>
                </c:numCache>
              </c:numRef>
            </c:plus>
            <c:minus>
              <c:numRef>
                <c:f>'Corrected data manuscript'!$T$65:$T$68</c:f>
                <c:numCache>
                  <c:formatCode>General</c:formatCode>
                  <c:ptCount val="4"/>
                  <c:pt idx="0">
                    <c:v>6.5999999999999837E-2</c:v>
                  </c:pt>
                  <c:pt idx="1">
                    <c:v>5.9971651289032687E-2</c:v>
                  </c:pt>
                  <c:pt idx="2">
                    <c:v>0.18398301552045501</c:v>
                  </c:pt>
                  <c:pt idx="3">
                    <c:v>0.18926003569457245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</a:schemeClr>
                </a:solidFill>
                <a:round/>
              </a:ln>
              <a:effectLst/>
            </c:spPr>
          </c:errBars>
          <c:xVal>
            <c:numRef>
              <c:f>'Corrected data manuscript'!$Q$65:$Q$68</c:f>
              <c:numCache>
                <c:formatCode>General</c:formatCode>
                <c:ptCount val="4"/>
                <c:pt idx="0">
                  <c:v>0</c:v>
                </c:pt>
                <c:pt idx="1">
                  <c:v>8</c:v>
                </c:pt>
                <c:pt idx="2">
                  <c:v>24</c:v>
                </c:pt>
                <c:pt idx="3">
                  <c:v>47.9</c:v>
                </c:pt>
              </c:numCache>
            </c:numRef>
          </c:xVal>
          <c:yVal>
            <c:numRef>
              <c:f>'Corrected data manuscript'!$R$69:$R$72</c:f>
              <c:numCache>
                <c:formatCode>0.000</c:formatCode>
                <c:ptCount val="4"/>
                <c:pt idx="0">
                  <c:v>5.1846666666666659</c:v>
                </c:pt>
                <c:pt idx="1">
                  <c:v>4.9087499999999995</c:v>
                </c:pt>
                <c:pt idx="2">
                  <c:v>4.4893749999999999</c:v>
                </c:pt>
                <c:pt idx="3">
                  <c:v>3.6740000000000004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03-3443-87A0-87AA16FF9A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1060528"/>
        <c:axId val="182523983"/>
      </c:scatterChart>
      <c:valAx>
        <c:axId val="1981060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(hours)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82523983"/>
        <c:crosses val="autoZero"/>
        <c:crossBetween val="midCat"/>
        <c:majorUnit val="8"/>
      </c:valAx>
      <c:valAx>
        <c:axId val="182523983"/>
        <c:scaling>
          <c:orientation val="minMax"/>
          <c:max val="12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Glucose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981060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Glucose,</a:t>
            </a:r>
            <a:r>
              <a:rPr lang="en-US" baseline="0"/>
              <a:t> </a:t>
            </a:r>
            <a:r>
              <a:rPr lang="en-US"/>
              <a:t>Days 1-2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5.5 mM, low HC</c:v>
          </c:tx>
          <c:spPr>
            <a:ln w="952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'Exp 3.2 modelling'!$W$16:$W$19</c:f>
                <c:numCache>
                  <c:formatCode>General</c:formatCode>
                  <c:ptCount val="4"/>
                  <c:pt idx="0">
                    <c:v>9.5185682163184876E-2</c:v>
                  </c:pt>
                  <c:pt idx="1">
                    <c:v>3.5277843324238126E-2</c:v>
                  </c:pt>
                  <c:pt idx="2">
                    <c:v>5.1464561243444444E-2</c:v>
                  </c:pt>
                  <c:pt idx="3">
                    <c:v>5.1440867976166461E-2</c:v>
                  </c:pt>
                </c:numCache>
              </c:numRef>
            </c:plus>
            <c:minus>
              <c:numRef>
                <c:f>'Exp 3.2 modelling'!$W$16:$W$19</c:f>
                <c:numCache>
                  <c:formatCode>General</c:formatCode>
                  <c:ptCount val="4"/>
                  <c:pt idx="0">
                    <c:v>9.5185682163184876E-2</c:v>
                  </c:pt>
                  <c:pt idx="1">
                    <c:v>3.5277843324238126E-2</c:v>
                  </c:pt>
                  <c:pt idx="2">
                    <c:v>5.1464561243444444E-2</c:v>
                  </c:pt>
                  <c:pt idx="3">
                    <c:v>5.1440867976166461E-2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</a:schemeClr>
                </a:solidFill>
                <a:round/>
              </a:ln>
              <a:effectLst/>
            </c:spPr>
          </c:errBars>
          <c:xVal>
            <c:numRef>
              <c:f>'Exp 3.2 modelling'!$T$16:$T$19</c:f>
              <c:numCache>
                <c:formatCode>General</c:formatCode>
                <c:ptCount val="4"/>
                <c:pt idx="0">
                  <c:v>0</c:v>
                </c:pt>
                <c:pt idx="1">
                  <c:v>8</c:v>
                </c:pt>
                <c:pt idx="2">
                  <c:v>24</c:v>
                </c:pt>
                <c:pt idx="3">
                  <c:v>48</c:v>
                </c:pt>
              </c:numCache>
            </c:numRef>
          </c:xVal>
          <c:yVal>
            <c:numRef>
              <c:f>'Exp 3.2 modelling'!$U$16:$U$19</c:f>
              <c:numCache>
                <c:formatCode>0.000</c:formatCode>
                <c:ptCount val="4"/>
                <c:pt idx="0">
                  <c:v>6.3755042016806716</c:v>
                </c:pt>
                <c:pt idx="1">
                  <c:v>5.0649579831932785</c:v>
                </c:pt>
                <c:pt idx="2">
                  <c:v>4.4882855680655069</c:v>
                </c:pt>
                <c:pt idx="3">
                  <c:v>3.7191248720573187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EC-7D44-B17A-A7C963E54F1C}"/>
            </c:ext>
          </c:extLst>
        </c:ser>
        <c:ser>
          <c:idx val="1"/>
          <c:order val="1"/>
          <c:tx>
            <c:v>5.5 mM, high HC</c:v>
          </c:tx>
          <c:spPr>
            <a:ln w="9525" cap="rnd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'Exp 3.2 modelling'!$W$20:$W$23</c:f>
                <c:numCache>
                  <c:formatCode>General</c:formatCode>
                  <c:ptCount val="4"/>
                  <c:pt idx="0">
                    <c:v>5.9207335109781642E-2</c:v>
                  </c:pt>
                  <c:pt idx="1">
                    <c:v>7.3570595237614597E-2</c:v>
                  </c:pt>
                  <c:pt idx="2">
                    <c:v>7.1741654032059413E-2</c:v>
                  </c:pt>
                  <c:pt idx="3">
                    <c:v>8.608016944739541E-2</c:v>
                  </c:pt>
                </c:numCache>
              </c:numRef>
            </c:plus>
            <c:minus>
              <c:numRef>
                <c:f>'Exp 3.2 modelling'!$W$20:$W$23</c:f>
                <c:numCache>
                  <c:formatCode>General</c:formatCode>
                  <c:ptCount val="4"/>
                  <c:pt idx="0">
                    <c:v>5.9207335109781642E-2</c:v>
                  </c:pt>
                  <c:pt idx="1">
                    <c:v>7.3570595237614597E-2</c:v>
                  </c:pt>
                  <c:pt idx="2">
                    <c:v>7.1741654032059413E-2</c:v>
                  </c:pt>
                  <c:pt idx="3">
                    <c:v>8.608016944739541E-2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</a:schemeClr>
                </a:solidFill>
                <a:round/>
              </a:ln>
              <a:effectLst/>
            </c:spPr>
          </c:errBars>
          <c:xVal>
            <c:numRef>
              <c:f>'Exp 3.2 modelling'!$T$20:$T$23</c:f>
              <c:numCache>
                <c:formatCode>General</c:formatCode>
                <c:ptCount val="4"/>
                <c:pt idx="0">
                  <c:v>0</c:v>
                </c:pt>
                <c:pt idx="1">
                  <c:v>8</c:v>
                </c:pt>
                <c:pt idx="2">
                  <c:v>24</c:v>
                </c:pt>
                <c:pt idx="3">
                  <c:v>48</c:v>
                </c:pt>
              </c:numCache>
            </c:numRef>
          </c:xVal>
          <c:yVal>
            <c:numRef>
              <c:f>'Exp 3.2 modelling'!$U$20:$U$23</c:f>
              <c:numCache>
                <c:formatCode>0.000</c:formatCode>
                <c:ptCount val="4"/>
                <c:pt idx="0">
                  <c:v>7.127676874340021</c:v>
                </c:pt>
                <c:pt idx="1">
                  <c:v>5.1403431890179503</c:v>
                </c:pt>
                <c:pt idx="2">
                  <c:v>4.575352856457032</c:v>
                </c:pt>
                <c:pt idx="3">
                  <c:v>3.7381901104176665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EC-7D44-B17A-A7C963E54F1C}"/>
            </c:ext>
          </c:extLst>
        </c:ser>
        <c:ser>
          <c:idx val="2"/>
          <c:order val="2"/>
          <c:tx>
            <c:v>11 mM, low HC</c:v>
          </c:tx>
          <c:spPr>
            <a:ln w="952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'Exp 3.2 modelling'!$W$29:$W$32</c:f>
                <c:numCache>
                  <c:formatCode>General</c:formatCode>
                  <c:ptCount val="4"/>
                  <c:pt idx="0">
                    <c:v>0.10309808575698617</c:v>
                  </c:pt>
                  <c:pt idx="1">
                    <c:v>8.4759487495771529E-2</c:v>
                  </c:pt>
                  <c:pt idx="2">
                    <c:v>5.4728976643608249E-2</c:v>
                  </c:pt>
                  <c:pt idx="3">
                    <c:v>9.3936385872438716E-2</c:v>
                  </c:pt>
                </c:numCache>
              </c:numRef>
            </c:plus>
            <c:minus>
              <c:numRef>
                <c:f>'Exp 3.2 modelling'!$W$29:$W$32</c:f>
                <c:numCache>
                  <c:formatCode>General</c:formatCode>
                  <c:ptCount val="4"/>
                  <c:pt idx="0">
                    <c:v>0.10309808575698617</c:v>
                  </c:pt>
                  <c:pt idx="1">
                    <c:v>8.4759487495771529E-2</c:v>
                  </c:pt>
                  <c:pt idx="2">
                    <c:v>5.4728976643608249E-2</c:v>
                  </c:pt>
                  <c:pt idx="3">
                    <c:v>9.3936385872438716E-2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</a:schemeClr>
                </a:solidFill>
                <a:round/>
              </a:ln>
              <a:effectLst/>
            </c:spPr>
          </c:errBars>
          <c:xVal>
            <c:numRef>
              <c:f>'Exp 3.2 modelling'!$T$29:$T$32</c:f>
              <c:numCache>
                <c:formatCode>General</c:formatCode>
                <c:ptCount val="4"/>
                <c:pt idx="0">
                  <c:v>0</c:v>
                </c:pt>
                <c:pt idx="1">
                  <c:v>8</c:v>
                </c:pt>
                <c:pt idx="2">
                  <c:v>24</c:v>
                </c:pt>
                <c:pt idx="3">
                  <c:v>48</c:v>
                </c:pt>
              </c:numCache>
            </c:numRef>
          </c:xVal>
          <c:yVal>
            <c:numRef>
              <c:f>'Exp 3.2 modelling'!$U$29:$U$32</c:f>
              <c:numCache>
                <c:formatCode>0.000</c:formatCode>
                <c:ptCount val="4"/>
                <c:pt idx="0">
                  <c:v>10.737368128817323</c:v>
                </c:pt>
                <c:pt idx="1">
                  <c:v>10.673237090505275</c:v>
                </c:pt>
                <c:pt idx="2">
                  <c:v>9.4504719061480102</c:v>
                </c:pt>
                <c:pt idx="3">
                  <c:v>8.5917791302813793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CEC-7D44-B17A-A7C963E54F1C}"/>
            </c:ext>
          </c:extLst>
        </c:ser>
        <c:ser>
          <c:idx val="3"/>
          <c:order val="3"/>
          <c:tx>
            <c:v>11 mM, high HC</c:v>
          </c:tx>
          <c:spPr>
            <a:ln w="9525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'Exp 3.2 modelling'!$T$33:$T$36</c:f>
              <c:numCache>
                <c:formatCode>General</c:formatCode>
                <c:ptCount val="4"/>
                <c:pt idx="0">
                  <c:v>0</c:v>
                </c:pt>
                <c:pt idx="1">
                  <c:v>8</c:v>
                </c:pt>
                <c:pt idx="2">
                  <c:v>24</c:v>
                </c:pt>
                <c:pt idx="3">
                  <c:v>48</c:v>
                </c:pt>
              </c:numCache>
            </c:numRef>
          </c:xVal>
          <c:yVal>
            <c:numRef>
              <c:f>'Exp 3.2 modelling'!$U$33:$U$36</c:f>
              <c:numCache>
                <c:formatCode>0.000</c:formatCode>
                <c:ptCount val="4"/>
                <c:pt idx="0">
                  <c:v>11.358395989974936</c:v>
                </c:pt>
                <c:pt idx="1">
                  <c:v>10.823354683003805</c:v>
                </c:pt>
                <c:pt idx="2">
                  <c:v>9.4866806869961433</c:v>
                </c:pt>
                <c:pt idx="3">
                  <c:v>8.3222923238696094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CEC-7D44-B17A-A7C963E54F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1060528"/>
        <c:axId val="182523983"/>
      </c:scatterChart>
      <c:valAx>
        <c:axId val="1981060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(hours)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82523983"/>
        <c:crosses val="autoZero"/>
        <c:crossBetween val="midCat"/>
        <c:majorUnit val="8"/>
      </c:valAx>
      <c:valAx>
        <c:axId val="182523983"/>
        <c:scaling>
          <c:orientation val="minMax"/>
          <c:max val="14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Glucose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981060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Glucose,</a:t>
            </a:r>
            <a:r>
              <a:rPr lang="en-US" baseline="0"/>
              <a:t> </a:t>
            </a:r>
            <a:r>
              <a:rPr lang="en-US"/>
              <a:t>Days 13-15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5.5 mM, low HC</c:v>
          </c:tx>
          <c:spPr>
            <a:ln w="952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'Exp 3.2 modelling'!$W$24:$W$28</c:f>
                <c:numCache>
                  <c:formatCode>General</c:formatCode>
                  <c:ptCount val="5"/>
                  <c:pt idx="0">
                    <c:v>5.0122692889029E-2</c:v>
                  </c:pt>
                  <c:pt idx="1">
                    <c:v>8.0523494727470571E-2</c:v>
                  </c:pt>
                  <c:pt idx="2">
                    <c:v>0.67243231491518529</c:v>
                  </c:pt>
                  <c:pt idx="3">
                    <c:v>0.11647515318261381</c:v>
                  </c:pt>
                  <c:pt idx="4">
                    <c:v>0.14435792682021256</c:v>
                  </c:pt>
                </c:numCache>
              </c:numRef>
            </c:plus>
            <c:minus>
              <c:numRef>
                <c:f>'Exp 3.2 modelling'!$W$24:$W$28</c:f>
                <c:numCache>
                  <c:formatCode>General</c:formatCode>
                  <c:ptCount val="5"/>
                  <c:pt idx="0">
                    <c:v>5.0122692889029E-2</c:v>
                  </c:pt>
                  <c:pt idx="1">
                    <c:v>8.0523494727470571E-2</c:v>
                  </c:pt>
                  <c:pt idx="2">
                    <c:v>0.67243231491518529</c:v>
                  </c:pt>
                  <c:pt idx="3">
                    <c:v>0.11647515318261381</c:v>
                  </c:pt>
                  <c:pt idx="4">
                    <c:v>0.14435792682021256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</a:schemeClr>
                </a:solidFill>
                <a:round/>
              </a:ln>
              <a:effectLst/>
            </c:spPr>
          </c:errBars>
          <c:xVal>
            <c:numRef>
              <c:f>'Exp 3.2 modelling'!$T$24:$T$28</c:f>
              <c:numCache>
                <c:formatCode>General</c:formatCode>
                <c:ptCount val="5"/>
                <c:pt idx="0">
                  <c:v>0</c:v>
                </c:pt>
                <c:pt idx="1">
                  <c:v>8</c:v>
                </c:pt>
                <c:pt idx="2">
                  <c:v>24</c:v>
                </c:pt>
                <c:pt idx="3">
                  <c:v>48</c:v>
                </c:pt>
                <c:pt idx="4">
                  <c:v>72</c:v>
                </c:pt>
              </c:numCache>
            </c:numRef>
          </c:xVal>
          <c:yVal>
            <c:numRef>
              <c:f>'Exp 3.2 modelling'!$U$24:$U$28</c:f>
              <c:numCache>
                <c:formatCode>0.000</c:formatCode>
                <c:ptCount val="5"/>
                <c:pt idx="0">
                  <c:v>5.9142187499999999</c:v>
                </c:pt>
                <c:pt idx="1">
                  <c:v>5.0470312499999999</c:v>
                </c:pt>
                <c:pt idx="2">
                  <c:v>5.264031300593631</c:v>
                </c:pt>
                <c:pt idx="3">
                  <c:v>3.8594105261295368</c:v>
                </c:pt>
                <c:pt idx="4">
                  <c:v>3.3431096311475414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A0-BB4E-B481-3C2D125C2C04}"/>
            </c:ext>
          </c:extLst>
        </c:ser>
        <c:ser>
          <c:idx val="1"/>
          <c:order val="1"/>
          <c:tx>
            <c:v>5.5 mM, high HC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'Exp 3.2 modelling'!#REF!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'Exp 3.2 modelling'!#REF!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</a:schemeClr>
                </a:solidFill>
                <a:round/>
              </a:ln>
              <a:effectLst/>
            </c:spPr>
          </c:errBars>
          <c:xVal>
            <c:numRef>
              <c:f>'Exp 3.2 modelling'!#REF!</c:f>
            </c:numRef>
          </c:xVal>
          <c:yVal>
            <c:numRef>
              <c:f>'Exp 3.2 modelling'!#REF!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A0-BB4E-B481-3C2D125C2C04}"/>
            </c:ext>
          </c:extLst>
        </c:ser>
        <c:ser>
          <c:idx val="2"/>
          <c:order val="2"/>
          <c:tx>
            <c:v>11 mM, low HC</c:v>
          </c:tx>
          <c:spPr>
            <a:ln w="952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'Exp 3.2 modelling'!$W$37:$W$41</c:f>
                <c:numCache>
                  <c:formatCode>General</c:formatCode>
                  <c:ptCount val="5"/>
                  <c:pt idx="0">
                    <c:v>0.11408066965629697</c:v>
                  </c:pt>
                  <c:pt idx="1">
                    <c:v>5.145119467534192E-2</c:v>
                  </c:pt>
                  <c:pt idx="2">
                    <c:v>0.26495458618031748</c:v>
                  </c:pt>
                  <c:pt idx="3">
                    <c:v>0.13158027358986496</c:v>
                  </c:pt>
                  <c:pt idx="4">
                    <c:v>0.18344901018581364</c:v>
                  </c:pt>
                </c:numCache>
              </c:numRef>
            </c:plus>
            <c:minus>
              <c:numRef>
                <c:f>'Exp 3.2 modelling'!$W$37:$W$41</c:f>
                <c:numCache>
                  <c:formatCode>General</c:formatCode>
                  <c:ptCount val="5"/>
                  <c:pt idx="0">
                    <c:v>0.11408066965629697</c:v>
                  </c:pt>
                  <c:pt idx="1">
                    <c:v>5.145119467534192E-2</c:v>
                  </c:pt>
                  <c:pt idx="2">
                    <c:v>0.26495458618031748</c:v>
                  </c:pt>
                  <c:pt idx="3">
                    <c:v>0.13158027358986496</c:v>
                  </c:pt>
                  <c:pt idx="4">
                    <c:v>0.18344901018581364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</a:schemeClr>
                </a:solidFill>
                <a:round/>
              </a:ln>
              <a:effectLst/>
            </c:spPr>
          </c:errBars>
          <c:xVal>
            <c:numRef>
              <c:f>'Exp 3.2 modelling'!$T$37:$T$41</c:f>
              <c:numCache>
                <c:formatCode>General</c:formatCode>
                <c:ptCount val="5"/>
                <c:pt idx="0">
                  <c:v>0</c:v>
                </c:pt>
                <c:pt idx="1">
                  <c:v>8</c:v>
                </c:pt>
                <c:pt idx="2">
                  <c:v>24</c:v>
                </c:pt>
                <c:pt idx="3">
                  <c:v>48</c:v>
                </c:pt>
                <c:pt idx="4">
                  <c:v>72</c:v>
                </c:pt>
              </c:numCache>
            </c:numRef>
          </c:xVal>
          <c:yVal>
            <c:numRef>
              <c:f>'Exp 3.2 modelling'!$U$37:$U$41</c:f>
              <c:numCache>
                <c:formatCode>0.000</c:formatCode>
                <c:ptCount val="5"/>
                <c:pt idx="0">
                  <c:v>10.586187535092645</c:v>
                </c:pt>
                <c:pt idx="1">
                  <c:v>10.714345873104998</c:v>
                </c:pt>
                <c:pt idx="2">
                  <c:v>9.7966781214203884</c:v>
                </c:pt>
                <c:pt idx="3">
                  <c:v>8.204871794871794</c:v>
                </c:pt>
                <c:pt idx="4">
                  <c:v>8.2161538461538459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FA0-BB4E-B481-3C2D125C2C04}"/>
            </c:ext>
          </c:extLst>
        </c:ser>
        <c:ser>
          <c:idx val="3"/>
          <c:order val="3"/>
          <c:tx>
            <c:v>11 mM, high HC</c:v>
          </c:tx>
          <c:spPr>
            <a:ln w="9525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'Exp 3.2 modelling'!$W$42:$W$46</c:f>
                <c:numCache>
                  <c:formatCode>General</c:formatCode>
                  <c:ptCount val="5"/>
                  <c:pt idx="0">
                    <c:v>0.18587892071734419</c:v>
                  </c:pt>
                  <c:pt idx="1">
                    <c:v>0.12843391290073342</c:v>
                  </c:pt>
                  <c:pt idx="2">
                    <c:v>0.15036306729329113</c:v>
                  </c:pt>
                  <c:pt idx="3">
                    <c:v>0.15119065742200499</c:v>
                  </c:pt>
                  <c:pt idx="4">
                    <c:v>7.5567670196004827E-2</c:v>
                  </c:pt>
                </c:numCache>
              </c:numRef>
            </c:plus>
            <c:minus>
              <c:numRef>
                <c:f>'Exp 3.2 modelling'!$W$42:$W$46</c:f>
                <c:numCache>
                  <c:formatCode>General</c:formatCode>
                  <c:ptCount val="5"/>
                  <c:pt idx="0">
                    <c:v>0.18587892071734419</c:v>
                  </c:pt>
                  <c:pt idx="1">
                    <c:v>0.12843391290073342</c:v>
                  </c:pt>
                  <c:pt idx="2">
                    <c:v>0.15036306729329113</c:v>
                  </c:pt>
                  <c:pt idx="3">
                    <c:v>0.15119065742200499</c:v>
                  </c:pt>
                  <c:pt idx="4">
                    <c:v>7.5567670196004827E-2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>
                <a:solidFill>
                  <a:schemeClr val="tx2">
                    <a:lumMod val="75000"/>
                  </a:schemeClr>
                </a:solidFill>
                <a:round/>
              </a:ln>
              <a:effectLst/>
            </c:spPr>
          </c:errBars>
          <c:xVal>
            <c:numRef>
              <c:f>'Exp 3.2 modelling'!$T$42:$T$46</c:f>
              <c:numCache>
                <c:formatCode>General</c:formatCode>
                <c:ptCount val="5"/>
                <c:pt idx="0">
                  <c:v>0</c:v>
                </c:pt>
                <c:pt idx="1">
                  <c:v>8</c:v>
                </c:pt>
                <c:pt idx="2">
                  <c:v>24</c:v>
                </c:pt>
                <c:pt idx="3">
                  <c:v>48</c:v>
                </c:pt>
                <c:pt idx="4">
                  <c:v>72</c:v>
                </c:pt>
              </c:numCache>
            </c:numRef>
          </c:xVal>
          <c:yVal>
            <c:numRef>
              <c:f>'Exp 3.2 modelling'!$U$42:$U$46</c:f>
              <c:numCache>
                <c:formatCode>0.000</c:formatCode>
                <c:ptCount val="5"/>
                <c:pt idx="0">
                  <c:v>10.726190476190476</c:v>
                </c:pt>
                <c:pt idx="1">
                  <c:v>10.742559523809524</c:v>
                </c:pt>
                <c:pt idx="2">
                  <c:v>10.531947978512866</c:v>
                </c:pt>
                <c:pt idx="3">
                  <c:v>9.649579390115667</c:v>
                </c:pt>
                <c:pt idx="4">
                  <c:v>9.691508937960041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FA0-BB4E-B481-3C2D125C2C04}"/>
            </c:ext>
          </c:extLst>
        </c:ser>
        <c:ser>
          <c:idx val="4"/>
          <c:order val="4"/>
          <c:tx>
            <c:v>5.5 mM + GTT, low HC</c:v>
          </c:tx>
          <c:spPr>
            <a:ln w="952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'Exp 3.2 modelling'!$W$47:$W$51</c:f>
                <c:numCache>
                  <c:formatCode>General</c:formatCode>
                  <c:ptCount val="5"/>
                  <c:pt idx="0">
                    <c:v>0.13534837076022604</c:v>
                  </c:pt>
                  <c:pt idx="1">
                    <c:v>0.17124403214248601</c:v>
                  </c:pt>
                  <c:pt idx="2">
                    <c:v>3.1644621005176676E-2</c:v>
                  </c:pt>
                  <c:pt idx="3">
                    <c:v>0.39179445120903933</c:v>
                  </c:pt>
                  <c:pt idx="4">
                    <c:v>5.0586089427507835E-2</c:v>
                  </c:pt>
                </c:numCache>
              </c:numRef>
            </c:plus>
            <c:minus>
              <c:numRef>
                <c:f>'Exp 3.2 modelling'!$W$47:$W$51</c:f>
                <c:numCache>
                  <c:formatCode>General</c:formatCode>
                  <c:ptCount val="5"/>
                  <c:pt idx="0">
                    <c:v>0.13534837076022604</c:v>
                  </c:pt>
                  <c:pt idx="1">
                    <c:v>0.17124403214248601</c:v>
                  </c:pt>
                  <c:pt idx="2">
                    <c:v>3.1644621005176676E-2</c:v>
                  </c:pt>
                  <c:pt idx="3">
                    <c:v>0.39179445120903933</c:v>
                  </c:pt>
                  <c:pt idx="4">
                    <c:v>5.0586089427507835E-2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>
                <a:solidFill>
                  <a:schemeClr val="tx2">
                    <a:lumMod val="75000"/>
                  </a:schemeClr>
                </a:solidFill>
                <a:round/>
              </a:ln>
              <a:effectLst/>
            </c:spPr>
          </c:errBars>
          <c:xVal>
            <c:numRef>
              <c:f>'Exp 3.2 modelling'!$T$47:$T$51</c:f>
              <c:numCache>
                <c:formatCode>General</c:formatCode>
                <c:ptCount val="5"/>
                <c:pt idx="0">
                  <c:v>0</c:v>
                </c:pt>
                <c:pt idx="1">
                  <c:v>8</c:v>
                </c:pt>
                <c:pt idx="2">
                  <c:v>24</c:v>
                </c:pt>
                <c:pt idx="3">
                  <c:v>48</c:v>
                </c:pt>
                <c:pt idx="4">
                  <c:v>72</c:v>
                </c:pt>
              </c:numCache>
            </c:numRef>
          </c:xVal>
          <c:yVal>
            <c:numRef>
              <c:f>'Exp 3.2 modelling'!$U$47:$U$51</c:f>
              <c:numCache>
                <c:formatCode>0.000</c:formatCode>
                <c:ptCount val="5"/>
                <c:pt idx="0">
                  <c:v>11.819904548006738</c:v>
                </c:pt>
                <c:pt idx="1">
                  <c:v>10.424059517125212</c:v>
                </c:pt>
                <c:pt idx="2">
                  <c:v>9.8266036655211906</c:v>
                </c:pt>
                <c:pt idx="3">
                  <c:v>8.3779165565248057</c:v>
                </c:pt>
                <c:pt idx="4">
                  <c:v>7.9115384615384619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FA0-BB4E-B481-3C2D125C2C04}"/>
            </c:ext>
          </c:extLst>
        </c:ser>
        <c:ser>
          <c:idx val="5"/>
          <c:order val="5"/>
          <c:tx>
            <c:v>5.5 mM + GTT, high HC</c:v>
          </c:tx>
          <c:spPr>
            <a:ln w="9525" cap="rnd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prstDash val="dash"/>
                <a:round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'Exp 3.2 modelling'!$W$52:$W$56</c:f>
                <c:numCache>
                  <c:formatCode>General</c:formatCode>
                  <c:ptCount val="5"/>
                  <c:pt idx="0">
                    <c:v>0.13661330258962473</c:v>
                  </c:pt>
                  <c:pt idx="1">
                    <c:v>0.11194063930108349</c:v>
                  </c:pt>
                  <c:pt idx="2">
                    <c:v>0.11142166912873573</c:v>
                  </c:pt>
                  <c:pt idx="3">
                    <c:v>0.12215995399998968</c:v>
                  </c:pt>
                  <c:pt idx="4">
                    <c:v>0.13588905886662145</c:v>
                  </c:pt>
                </c:numCache>
              </c:numRef>
            </c:plus>
            <c:minus>
              <c:numRef>
                <c:f>'Exp 3.2 modelling'!$W$52:$W$56</c:f>
                <c:numCache>
                  <c:formatCode>General</c:formatCode>
                  <c:ptCount val="5"/>
                  <c:pt idx="0">
                    <c:v>0.13661330258962473</c:v>
                  </c:pt>
                  <c:pt idx="1">
                    <c:v>0.11194063930108349</c:v>
                  </c:pt>
                  <c:pt idx="2">
                    <c:v>0.11142166912873573</c:v>
                  </c:pt>
                  <c:pt idx="3">
                    <c:v>0.12215995399998968</c:v>
                  </c:pt>
                  <c:pt idx="4">
                    <c:v>0.13588905886662145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>
                <a:solidFill>
                  <a:schemeClr val="tx2">
                    <a:lumMod val="75000"/>
                  </a:schemeClr>
                </a:solidFill>
                <a:round/>
              </a:ln>
              <a:effectLst/>
            </c:spPr>
          </c:errBars>
          <c:xVal>
            <c:numRef>
              <c:f>'Exp 3.2 modelling'!$T$52:$T$56</c:f>
              <c:numCache>
                <c:formatCode>General</c:formatCode>
                <c:ptCount val="5"/>
                <c:pt idx="0">
                  <c:v>0</c:v>
                </c:pt>
                <c:pt idx="1">
                  <c:v>8</c:v>
                </c:pt>
                <c:pt idx="2">
                  <c:v>24</c:v>
                </c:pt>
                <c:pt idx="3">
                  <c:v>48</c:v>
                </c:pt>
                <c:pt idx="4">
                  <c:v>72</c:v>
                </c:pt>
              </c:numCache>
            </c:numRef>
          </c:xVal>
          <c:yVal>
            <c:numRef>
              <c:f>'Exp 3.2 modelling'!$U$52:$U$56</c:f>
              <c:numCache>
                <c:formatCode>0.000</c:formatCode>
                <c:ptCount val="5"/>
                <c:pt idx="0">
                  <c:v>12.800595238095239</c:v>
                </c:pt>
                <c:pt idx="1">
                  <c:v>10.041666666666666</c:v>
                </c:pt>
                <c:pt idx="2">
                  <c:v>10.790076335877863</c:v>
                </c:pt>
                <c:pt idx="3">
                  <c:v>10.177410234662142</c:v>
                </c:pt>
                <c:pt idx="4">
                  <c:v>10.187434279705572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FA0-BB4E-B481-3C2D125C2C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1060528"/>
        <c:axId val="182523983"/>
      </c:scatterChart>
      <c:valAx>
        <c:axId val="1981060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(hours)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82523983"/>
        <c:crosses val="autoZero"/>
        <c:crossBetween val="midCat"/>
        <c:majorUnit val="8"/>
      </c:valAx>
      <c:valAx>
        <c:axId val="182523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Glucose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981060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Insulin,</a:t>
            </a:r>
            <a:r>
              <a:rPr lang="en-US" baseline="0"/>
              <a:t> </a:t>
            </a:r>
            <a:r>
              <a:rPr lang="en-US"/>
              <a:t>Days 1-2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5.5 mM, low HC</c:v>
          </c:tx>
          <c:spPr>
            <a:ln w="952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'Exp 3.2 modelling'!$W$64:$W$67</c:f>
                <c:numCache>
                  <c:formatCode>General</c:formatCode>
                  <c:ptCount val="4"/>
                  <c:pt idx="0">
                    <c:v>14.309105556952181</c:v>
                  </c:pt>
                  <c:pt idx="1">
                    <c:v>6.0545393292966718</c:v>
                  </c:pt>
                  <c:pt idx="2">
                    <c:v>5.519687487530363</c:v>
                  </c:pt>
                  <c:pt idx="3">
                    <c:v>5.0472069345331976</c:v>
                  </c:pt>
                </c:numCache>
              </c:numRef>
            </c:plus>
            <c:minus>
              <c:numRef>
                <c:f>'Exp 3.2 modelling'!$W$64:$W$67</c:f>
                <c:numCache>
                  <c:formatCode>General</c:formatCode>
                  <c:ptCount val="4"/>
                  <c:pt idx="0">
                    <c:v>14.309105556952181</c:v>
                  </c:pt>
                  <c:pt idx="1">
                    <c:v>6.0545393292966718</c:v>
                  </c:pt>
                  <c:pt idx="2">
                    <c:v>5.519687487530363</c:v>
                  </c:pt>
                  <c:pt idx="3">
                    <c:v>5.0472069345331976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</a:schemeClr>
                </a:solidFill>
                <a:round/>
              </a:ln>
              <a:effectLst/>
            </c:spPr>
          </c:errBars>
          <c:xVal>
            <c:numRef>
              <c:f>'Exp 3.2 modelling'!$T$64:$T$67</c:f>
              <c:numCache>
                <c:formatCode>General</c:formatCode>
                <c:ptCount val="4"/>
                <c:pt idx="0">
                  <c:v>0</c:v>
                </c:pt>
                <c:pt idx="1">
                  <c:v>8</c:v>
                </c:pt>
                <c:pt idx="2">
                  <c:v>24</c:v>
                </c:pt>
                <c:pt idx="3">
                  <c:v>48</c:v>
                </c:pt>
              </c:numCache>
            </c:numRef>
          </c:xVal>
          <c:yVal>
            <c:numRef>
              <c:f>'Exp 3.2 modelling'!$U$64:$U$67</c:f>
              <c:numCache>
                <c:formatCode>0.000</c:formatCode>
                <c:ptCount val="4"/>
                <c:pt idx="0">
                  <c:v>39.052200000000006</c:v>
                </c:pt>
                <c:pt idx="1">
                  <c:v>110.54369999999999</c:v>
                </c:pt>
                <c:pt idx="2">
                  <c:v>135.33240000000001</c:v>
                </c:pt>
                <c:pt idx="3">
                  <c:v>170.0538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EA-D049-AB32-16F9E229A73A}"/>
            </c:ext>
          </c:extLst>
        </c:ser>
        <c:ser>
          <c:idx val="1"/>
          <c:order val="1"/>
          <c:tx>
            <c:v>5.5 mM, high HC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'Exp 3.2 modelling'!$W$68:$W$71</c:f>
                <c:numCache>
                  <c:formatCode>General</c:formatCode>
                  <c:ptCount val="4"/>
                  <c:pt idx="0">
                    <c:v>3.6374999999999988</c:v>
                  </c:pt>
                  <c:pt idx="1">
                    <c:v>3.3192474508538972</c:v>
                  </c:pt>
                  <c:pt idx="2">
                    <c:v>1.988561540410571</c:v>
                  </c:pt>
                  <c:pt idx="3">
                    <c:v>3.0236336905194725</c:v>
                  </c:pt>
                </c:numCache>
              </c:numRef>
            </c:plus>
            <c:minus>
              <c:numRef>
                <c:f>'Exp 3.2 modelling'!$W$68:$W$71</c:f>
                <c:numCache>
                  <c:formatCode>General</c:formatCode>
                  <c:ptCount val="4"/>
                  <c:pt idx="0">
                    <c:v>3.6374999999999988</c:v>
                  </c:pt>
                  <c:pt idx="1">
                    <c:v>3.3192474508538972</c:v>
                  </c:pt>
                  <c:pt idx="2">
                    <c:v>1.988561540410571</c:v>
                  </c:pt>
                  <c:pt idx="3">
                    <c:v>3.0236336905194725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</a:schemeClr>
                </a:solidFill>
                <a:round/>
              </a:ln>
              <a:effectLst/>
            </c:spPr>
          </c:errBars>
          <c:xVal>
            <c:numRef>
              <c:f>'Exp 3.2 modelling'!$T$68:$T$71</c:f>
              <c:numCache>
                <c:formatCode>General</c:formatCode>
                <c:ptCount val="4"/>
                <c:pt idx="0">
                  <c:v>0</c:v>
                </c:pt>
                <c:pt idx="1">
                  <c:v>8</c:v>
                </c:pt>
                <c:pt idx="2">
                  <c:v>24</c:v>
                </c:pt>
                <c:pt idx="3">
                  <c:v>48</c:v>
                </c:pt>
              </c:numCache>
            </c:numRef>
          </c:xVal>
          <c:yVal>
            <c:numRef>
              <c:f>'Exp 3.2 modelling'!$U$68:$U$71</c:f>
              <c:numCache>
                <c:formatCode>0.000</c:formatCode>
                <c:ptCount val="4"/>
                <c:pt idx="0">
                  <c:v>8.6595000000000013</c:v>
                </c:pt>
                <c:pt idx="1">
                  <c:v>51.619799999999998</c:v>
                </c:pt>
                <c:pt idx="2">
                  <c:v>47.885999999999989</c:v>
                </c:pt>
                <c:pt idx="3">
                  <c:v>42.803333333333335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EA-D049-AB32-16F9E229A73A}"/>
            </c:ext>
          </c:extLst>
        </c:ser>
        <c:ser>
          <c:idx val="2"/>
          <c:order val="2"/>
          <c:tx>
            <c:v>11 mM, low HC</c:v>
          </c:tx>
          <c:spPr>
            <a:ln w="952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'Exp 3.2 modelling'!$W$82:$W$85</c:f>
                <c:numCache>
                  <c:formatCode>General</c:formatCode>
                  <c:ptCount val="4"/>
                  <c:pt idx="0">
                    <c:v>15.589416283171104</c:v>
                  </c:pt>
                  <c:pt idx="1">
                    <c:v>29.454330591612518</c:v>
                  </c:pt>
                  <c:pt idx="2">
                    <c:v>118.64735034734014</c:v>
                  </c:pt>
                  <c:pt idx="3">
                    <c:v>85.558207671736639</c:v>
                  </c:pt>
                </c:numCache>
              </c:numRef>
            </c:plus>
            <c:minus>
              <c:numRef>
                <c:f>'Exp 3.2 modelling'!$W$82:$W$85</c:f>
                <c:numCache>
                  <c:formatCode>General</c:formatCode>
                  <c:ptCount val="4"/>
                  <c:pt idx="0">
                    <c:v>15.589416283171104</c:v>
                  </c:pt>
                  <c:pt idx="1">
                    <c:v>29.454330591612518</c:v>
                  </c:pt>
                  <c:pt idx="2">
                    <c:v>118.64735034734014</c:v>
                  </c:pt>
                  <c:pt idx="3">
                    <c:v>85.558207671736639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</a:schemeClr>
                </a:solidFill>
                <a:round/>
              </a:ln>
              <a:effectLst/>
            </c:spPr>
          </c:errBars>
          <c:xVal>
            <c:numRef>
              <c:f>'Exp 3.2 modelling'!$T$82:$T$85</c:f>
              <c:numCache>
                <c:formatCode>General</c:formatCode>
                <c:ptCount val="4"/>
                <c:pt idx="0">
                  <c:v>0</c:v>
                </c:pt>
                <c:pt idx="1">
                  <c:v>8</c:v>
                </c:pt>
                <c:pt idx="2">
                  <c:v>24</c:v>
                </c:pt>
                <c:pt idx="3">
                  <c:v>48</c:v>
                </c:pt>
              </c:numCache>
            </c:numRef>
          </c:xVal>
          <c:yVal>
            <c:numRef>
              <c:f>'Exp 3.2 modelling'!$U$82:$U$85</c:f>
              <c:numCache>
                <c:formatCode>0.000</c:formatCode>
                <c:ptCount val="4"/>
                <c:pt idx="0">
                  <c:v>74.345500000000001</c:v>
                </c:pt>
                <c:pt idx="1">
                  <c:v>1150.4930000000002</c:v>
                </c:pt>
                <c:pt idx="2">
                  <c:v>2172.8833333333332</c:v>
                </c:pt>
                <c:pt idx="3">
                  <c:v>2825.91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5EA-D049-AB32-16F9E229A73A}"/>
            </c:ext>
          </c:extLst>
        </c:ser>
        <c:ser>
          <c:idx val="3"/>
          <c:order val="3"/>
          <c:tx>
            <c:v>11 mM, high HC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'Exp 3.2 modelling'!$W$86:$W$89</c:f>
                <c:numCache>
                  <c:formatCode>General</c:formatCode>
                  <c:ptCount val="4"/>
                  <c:pt idx="0">
                    <c:v>7.487854582589061</c:v>
                  </c:pt>
                  <c:pt idx="1">
                    <c:v>26.764799928263994</c:v>
                  </c:pt>
                  <c:pt idx="2">
                    <c:v>72.82221536805352</c:v>
                  </c:pt>
                  <c:pt idx="3">
                    <c:v>38.732755682726463</c:v>
                  </c:pt>
                </c:numCache>
              </c:numRef>
            </c:plus>
            <c:minus>
              <c:numRef>
                <c:f>'Exp 3.2 modelling'!$W$86:$W$89</c:f>
                <c:numCache>
                  <c:formatCode>General</c:formatCode>
                  <c:ptCount val="4"/>
                  <c:pt idx="0">
                    <c:v>7.487854582589061</c:v>
                  </c:pt>
                  <c:pt idx="1">
                    <c:v>26.764799928263994</c:v>
                  </c:pt>
                  <c:pt idx="2">
                    <c:v>72.82221536805352</c:v>
                  </c:pt>
                  <c:pt idx="3">
                    <c:v>38.732755682726463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>
                <a:solidFill>
                  <a:schemeClr val="tx2">
                    <a:lumMod val="75000"/>
                  </a:schemeClr>
                </a:solidFill>
                <a:round/>
              </a:ln>
              <a:effectLst/>
            </c:spPr>
          </c:errBars>
          <c:xVal>
            <c:numRef>
              <c:f>'Exp 3.2 modelling'!$T$86:$T$89</c:f>
              <c:numCache>
                <c:formatCode>General</c:formatCode>
                <c:ptCount val="4"/>
                <c:pt idx="0">
                  <c:v>0</c:v>
                </c:pt>
                <c:pt idx="1">
                  <c:v>8</c:v>
                </c:pt>
                <c:pt idx="2">
                  <c:v>24</c:v>
                </c:pt>
                <c:pt idx="3">
                  <c:v>48</c:v>
                </c:pt>
              </c:numCache>
            </c:numRef>
          </c:xVal>
          <c:yVal>
            <c:numRef>
              <c:f>'Exp 3.2 modelling'!$U$86:$U$89</c:f>
              <c:numCache>
                <c:formatCode>0.000</c:formatCode>
                <c:ptCount val="4"/>
                <c:pt idx="0">
                  <c:v>44.612500000000004</c:v>
                </c:pt>
                <c:pt idx="1">
                  <c:v>663.4620000000001</c:v>
                </c:pt>
                <c:pt idx="2">
                  <c:v>1291.2766666666666</c:v>
                </c:pt>
                <c:pt idx="3">
                  <c:v>1561.3056666666669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5EA-D049-AB32-16F9E229A7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1060528"/>
        <c:axId val="182523983"/>
      </c:scatterChart>
      <c:valAx>
        <c:axId val="1981060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(hours)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82523983"/>
        <c:crosses val="autoZero"/>
        <c:crossBetween val="midCat"/>
        <c:majorUnit val="8"/>
      </c:valAx>
      <c:valAx>
        <c:axId val="182523983"/>
        <c:scaling>
          <c:orientation val="minMax"/>
          <c:max val="400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Insulin (mU/L)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981060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Insulin,</a:t>
            </a:r>
            <a:r>
              <a:rPr lang="en-US" baseline="0"/>
              <a:t> </a:t>
            </a:r>
            <a:r>
              <a:rPr lang="en-US"/>
              <a:t>Days 1-2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v>5.5 mM, low HC</c:v>
          </c:tx>
          <c:spPr>
            <a:ln>
              <a:solidFill>
                <a:schemeClr val="accent2"/>
              </a:solidFill>
              <a:prstDash val="dash"/>
            </a:ln>
          </c:spPr>
          <c:errBars>
            <c:errDir val="y"/>
            <c:errBarType val="both"/>
            <c:errValType val="cust"/>
            <c:noEndCap val="0"/>
            <c:plus>
              <c:numRef>
                <c:f>'Exp 3.2 modelling'!$W$77:$W$81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1.7859147982663302</c:v>
                  </c:pt>
                  <c:pt idx="2">
                    <c:v>3.4774547564753928</c:v>
                  </c:pt>
                  <c:pt idx="3">
                    <c:v>7.2326966098406222</c:v>
                  </c:pt>
                  <c:pt idx="4">
                    <c:v>8.0006119140975738</c:v>
                  </c:pt>
                </c:numCache>
              </c:numRef>
            </c:plus>
            <c:minus>
              <c:numRef>
                <c:f>'Exp 3.2 modelling'!$W$77:$W$81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1.7859147982663302</c:v>
                  </c:pt>
                  <c:pt idx="2">
                    <c:v>3.4774547564753928</c:v>
                  </c:pt>
                  <c:pt idx="3">
                    <c:v>7.2326966098406222</c:v>
                  </c:pt>
                  <c:pt idx="4">
                    <c:v>8.0006119140975738</c:v>
                  </c:pt>
                </c:numCache>
              </c:numRef>
            </c:minus>
          </c:errBars>
          <c:xVal>
            <c:numRef>
              <c:f>'Exp 3.2 modelling'!$T$72:$T$76</c:f>
              <c:numCache>
                <c:formatCode>General</c:formatCode>
                <c:ptCount val="5"/>
                <c:pt idx="0">
                  <c:v>0</c:v>
                </c:pt>
                <c:pt idx="1">
                  <c:v>8</c:v>
                </c:pt>
                <c:pt idx="2">
                  <c:v>24</c:v>
                </c:pt>
                <c:pt idx="3">
                  <c:v>48</c:v>
                </c:pt>
                <c:pt idx="4">
                  <c:v>72</c:v>
                </c:pt>
              </c:numCache>
            </c:numRef>
          </c:xVal>
          <c:yVal>
            <c:numRef>
              <c:f>'Exp 3.2 modelling'!$U$72:$U$76</c:f>
              <c:numCache>
                <c:formatCode>0.000</c:formatCode>
                <c:ptCount val="5"/>
                <c:pt idx="0">
                  <c:v>6.1589999999999998</c:v>
                </c:pt>
                <c:pt idx="1">
                  <c:v>47.273250000000004</c:v>
                </c:pt>
                <c:pt idx="2">
                  <c:v>104.8275</c:v>
                </c:pt>
                <c:pt idx="3">
                  <c:v>142.79</c:v>
                </c:pt>
                <c:pt idx="4">
                  <c:v>166.89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15-EA48-9C4B-C4E797A44A85}"/>
            </c:ext>
          </c:extLst>
        </c:ser>
        <c:ser>
          <c:idx val="5"/>
          <c:order val="1"/>
          <c:tx>
            <c:v>5.5 mM, high HC</c:v>
          </c:tx>
          <c:errBars>
            <c:errDir val="y"/>
            <c:errBarType val="both"/>
            <c:errValType val="cust"/>
            <c:noEndCap val="0"/>
            <c:plus>
              <c:numRef>
                <c:f>'Exp 3.2 modelling'!#REF!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'Exp 3.2 modelling'!#REF!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</c:errBars>
          <c:xVal>
            <c:numRef>
              <c:f>'Exp 3.2 modelling'!$T$77:$T$81</c:f>
              <c:numCache>
                <c:formatCode>General</c:formatCode>
                <c:ptCount val="5"/>
                <c:pt idx="0">
                  <c:v>0</c:v>
                </c:pt>
                <c:pt idx="1">
                  <c:v>8</c:v>
                </c:pt>
                <c:pt idx="2">
                  <c:v>24</c:v>
                </c:pt>
                <c:pt idx="3">
                  <c:v>48</c:v>
                </c:pt>
                <c:pt idx="4">
                  <c:v>72</c:v>
                </c:pt>
              </c:numCache>
            </c:numRef>
          </c:xVal>
          <c:yVal>
            <c:numRef>
              <c:f>'Exp 3.2 modelling'!$U$77:$U$81</c:f>
              <c:numCache>
                <c:formatCode>0.000</c:formatCode>
                <c:ptCount val="5"/>
                <c:pt idx="0">
                  <c:v>0</c:v>
                </c:pt>
                <c:pt idx="1">
                  <c:v>6.1590000000000007</c:v>
                </c:pt>
                <c:pt idx="2">
                  <c:v>10.2935</c:v>
                </c:pt>
                <c:pt idx="3">
                  <c:v>18.148499999999999</c:v>
                </c:pt>
                <c:pt idx="4">
                  <c:v>19.551000000000002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15-EA48-9C4B-C4E797A44A85}"/>
            </c:ext>
          </c:extLst>
        </c:ser>
        <c:ser>
          <c:idx val="6"/>
          <c:order val="2"/>
          <c:tx>
            <c:v>11 mM, low HC</c:v>
          </c:tx>
          <c:spPr>
            <a:ln>
              <a:solidFill>
                <a:schemeClr val="accent1"/>
              </a:solidFill>
              <a:prstDash val="dash"/>
            </a:ln>
          </c:spPr>
          <c:errBars>
            <c:errDir val="y"/>
            <c:errBarType val="both"/>
            <c:errValType val="cust"/>
            <c:noEndCap val="0"/>
            <c:plus>
              <c:numRef>
                <c:f>'Exp 3.2 modelling'!$W$90:$W$94</c:f>
                <c:numCache>
                  <c:formatCode>General</c:formatCode>
                  <c:ptCount val="5"/>
                  <c:pt idx="0">
                    <c:v>7.7830621383874137</c:v>
                  </c:pt>
                  <c:pt idx="1">
                    <c:v>23.586158016938683</c:v>
                  </c:pt>
                  <c:pt idx="2">
                    <c:v>113.22546559805166</c:v>
                  </c:pt>
                  <c:pt idx="3">
                    <c:v>50.366345906765943</c:v>
                  </c:pt>
                  <c:pt idx="4">
                    <c:v>247.33195978953731</c:v>
                  </c:pt>
                </c:numCache>
              </c:numRef>
            </c:plus>
            <c:minus>
              <c:numRef>
                <c:f>'Exp 3.2 modelling'!$W$90:$W$94</c:f>
                <c:numCache>
                  <c:formatCode>General</c:formatCode>
                  <c:ptCount val="5"/>
                  <c:pt idx="0">
                    <c:v>7.7830621383874137</c:v>
                  </c:pt>
                  <c:pt idx="1">
                    <c:v>23.586158016938683</c:v>
                  </c:pt>
                  <c:pt idx="2">
                    <c:v>113.22546559805166</c:v>
                  </c:pt>
                  <c:pt idx="3">
                    <c:v>50.366345906765943</c:v>
                  </c:pt>
                  <c:pt idx="4">
                    <c:v>247.33195978953731</c:v>
                  </c:pt>
                </c:numCache>
              </c:numRef>
            </c:minus>
          </c:errBars>
          <c:xVal>
            <c:numRef>
              <c:f>'Exp 3.2 modelling'!$T$90:$T$94</c:f>
              <c:numCache>
                <c:formatCode>General</c:formatCode>
                <c:ptCount val="5"/>
                <c:pt idx="0">
                  <c:v>0</c:v>
                </c:pt>
                <c:pt idx="1">
                  <c:v>8</c:v>
                </c:pt>
                <c:pt idx="2">
                  <c:v>24</c:v>
                </c:pt>
                <c:pt idx="3">
                  <c:v>48</c:v>
                </c:pt>
                <c:pt idx="4">
                  <c:v>72</c:v>
                </c:pt>
              </c:numCache>
            </c:numRef>
          </c:xVal>
          <c:yVal>
            <c:numRef>
              <c:f>'Exp 3.2 modelling'!$U$90:$U$94</c:f>
              <c:numCache>
                <c:formatCode>0.000</c:formatCode>
                <c:ptCount val="5"/>
                <c:pt idx="0">
                  <c:v>67.858500000000006</c:v>
                </c:pt>
                <c:pt idx="1">
                  <c:v>726.11</c:v>
                </c:pt>
                <c:pt idx="2">
                  <c:v>1922.2287500000002</c:v>
                </c:pt>
                <c:pt idx="3">
                  <c:v>2444.7799999999997</c:v>
                </c:pt>
                <c:pt idx="4">
                  <c:v>3221.8199999999997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315-EA48-9C4B-C4E797A44A85}"/>
            </c:ext>
          </c:extLst>
        </c:ser>
        <c:ser>
          <c:idx val="7"/>
          <c:order val="3"/>
          <c:tx>
            <c:v>11 mM, high HC</c:v>
          </c:tx>
          <c:spPr>
            <a:ln>
              <a:solidFill>
                <a:schemeClr val="accent1"/>
              </a:solidFill>
            </a:ln>
          </c:spPr>
          <c:errBars>
            <c:errDir val="y"/>
            <c:errBarType val="both"/>
            <c:errValType val="cust"/>
            <c:noEndCap val="0"/>
            <c:plus>
              <c:numRef>
                <c:f>'Exp 3.2 modelling'!$W$95:$W$99</c:f>
                <c:numCache>
                  <c:formatCode>General</c:formatCode>
                  <c:ptCount val="5"/>
                  <c:pt idx="0">
                    <c:v>3.1409999999999978</c:v>
                  </c:pt>
                  <c:pt idx="1">
                    <c:v>7.005385279673507</c:v>
                  </c:pt>
                  <c:pt idx="2">
                    <c:v>36.332362611267961</c:v>
                  </c:pt>
                  <c:pt idx="3">
                    <c:v>21.931093746474826</c:v>
                  </c:pt>
                  <c:pt idx="4">
                    <c:v>30.80519896597551</c:v>
                  </c:pt>
                </c:numCache>
              </c:numRef>
            </c:plus>
            <c:minus>
              <c:numRef>
                <c:f>'Exp 3.2 modelling'!$W$95:$W$99</c:f>
                <c:numCache>
                  <c:formatCode>General</c:formatCode>
                  <c:ptCount val="5"/>
                  <c:pt idx="0">
                    <c:v>3.1409999999999978</c:v>
                  </c:pt>
                  <c:pt idx="1">
                    <c:v>7.005385279673507</c:v>
                  </c:pt>
                  <c:pt idx="2">
                    <c:v>36.332362611267961</c:v>
                  </c:pt>
                  <c:pt idx="3">
                    <c:v>21.931093746474826</c:v>
                  </c:pt>
                  <c:pt idx="4">
                    <c:v>30.80519896597551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0"/>
          </c:errBars>
          <c:xVal>
            <c:numRef>
              <c:f>'Exp 3.2 modelling'!$T$95:$T$99</c:f>
              <c:numCache>
                <c:formatCode>General</c:formatCode>
                <c:ptCount val="5"/>
                <c:pt idx="0">
                  <c:v>0</c:v>
                </c:pt>
                <c:pt idx="1">
                  <c:v>8</c:v>
                </c:pt>
                <c:pt idx="2">
                  <c:v>24</c:v>
                </c:pt>
                <c:pt idx="3">
                  <c:v>48</c:v>
                </c:pt>
                <c:pt idx="4">
                  <c:v>72</c:v>
                </c:pt>
              </c:numCache>
            </c:numRef>
          </c:xVal>
          <c:yVal>
            <c:numRef>
              <c:f>'Exp 3.2 modelling'!$U$95:$U$99</c:f>
              <c:numCache>
                <c:formatCode>0.000</c:formatCode>
                <c:ptCount val="5"/>
                <c:pt idx="0">
                  <c:v>8.7720000000000002</c:v>
                </c:pt>
                <c:pt idx="1">
                  <c:v>109.1575</c:v>
                </c:pt>
                <c:pt idx="2">
                  <c:v>270.7525</c:v>
                </c:pt>
                <c:pt idx="3">
                  <c:v>310.20749999999998</c:v>
                </c:pt>
                <c:pt idx="4">
                  <c:v>303.03999999999996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315-EA48-9C4B-C4E797A44A85}"/>
            </c:ext>
          </c:extLst>
        </c:ser>
        <c:ser>
          <c:idx val="8"/>
          <c:order val="4"/>
          <c:tx>
            <c:v>5.5 mM + GTT, low HC</c:v>
          </c:tx>
          <c:spPr>
            <a:ln>
              <a:solidFill>
                <a:schemeClr val="accent4"/>
              </a:solidFill>
              <a:prstDash val="dash"/>
            </a:ln>
          </c:spPr>
          <c:errBars>
            <c:errDir val="y"/>
            <c:errBarType val="both"/>
            <c:errValType val="cust"/>
            <c:noEndCap val="0"/>
            <c:plus>
              <c:numRef>
                <c:f>'Exp 3.2 modelling'!$W$100:$W$104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8.6307951545613726</c:v>
                  </c:pt>
                  <c:pt idx="2">
                    <c:v>120.06164173734547</c:v>
                  </c:pt>
                  <c:pt idx="3">
                    <c:v>134.50098026284849</c:v>
                  </c:pt>
                  <c:pt idx="4">
                    <c:v>162.20880761126026</c:v>
                  </c:pt>
                </c:numCache>
              </c:numRef>
            </c:plus>
            <c:minus>
              <c:numRef>
                <c:f>'Exp 3.2 modelling'!$W$100:$W$104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8.6307951545613726</c:v>
                  </c:pt>
                  <c:pt idx="2">
                    <c:v>120.06164173734547</c:v>
                  </c:pt>
                  <c:pt idx="3">
                    <c:v>134.50098026284849</c:v>
                  </c:pt>
                  <c:pt idx="4">
                    <c:v>162.20880761126026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0"/>
          </c:errBars>
          <c:xVal>
            <c:numRef>
              <c:f>'Exp 3.2 modelling'!$T$100:$T$104</c:f>
              <c:numCache>
                <c:formatCode>General</c:formatCode>
                <c:ptCount val="5"/>
                <c:pt idx="0">
                  <c:v>0</c:v>
                </c:pt>
                <c:pt idx="1">
                  <c:v>8</c:v>
                </c:pt>
                <c:pt idx="2">
                  <c:v>24</c:v>
                </c:pt>
                <c:pt idx="3">
                  <c:v>48</c:v>
                </c:pt>
                <c:pt idx="4">
                  <c:v>72</c:v>
                </c:pt>
              </c:numCache>
            </c:numRef>
          </c:xVal>
          <c:yVal>
            <c:numRef>
              <c:f>'Exp 3.2 modelling'!$U$100:$U$104</c:f>
              <c:numCache>
                <c:formatCode>0.000</c:formatCode>
                <c:ptCount val="5"/>
                <c:pt idx="0">
                  <c:v>0</c:v>
                </c:pt>
                <c:pt idx="1">
                  <c:v>187.50499999999997</c:v>
                </c:pt>
                <c:pt idx="2">
                  <c:v>1203.26</c:v>
                </c:pt>
                <c:pt idx="3">
                  <c:v>2082.4849999999997</c:v>
                </c:pt>
                <c:pt idx="4">
                  <c:v>2578.14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315-EA48-9C4B-C4E797A44A85}"/>
            </c:ext>
          </c:extLst>
        </c:ser>
        <c:ser>
          <c:idx val="9"/>
          <c:order val="5"/>
          <c:tx>
            <c:v>5.5 mM + GTT, high HC</c:v>
          </c:tx>
          <c:spPr>
            <a:ln>
              <a:solidFill>
                <a:schemeClr val="accent4"/>
              </a:solidFill>
            </a:ln>
          </c:spPr>
          <c:errBars>
            <c:errDir val="y"/>
            <c:errBarType val="both"/>
            <c:errValType val="cust"/>
            <c:noEndCap val="0"/>
            <c:plus>
              <c:numRef>
                <c:f>'Exp 3.2 modelling'!$W$100:$W$104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8.6307951545613726</c:v>
                  </c:pt>
                  <c:pt idx="2">
                    <c:v>120.06164173734547</c:v>
                  </c:pt>
                  <c:pt idx="3">
                    <c:v>134.50098026284849</c:v>
                  </c:pt>
                  <c:pt idx="4">
                    <c:v>162.20880761126026</c:v>
                  </c:pt>
                </c:numCache>
              </c:numRef>
            </c:plus>
            <c:minus>
              <c:numRef>
                <c:f>'Exp 3.2 modelling'!$W$100:$W$104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8.6307951545613726</c:v>
                  </c:pt>
                  <c:pt idx="2">
                    <c:v>120.06164173734547</c:v>
                  </c:pt>
                  <c:pt idx="3">
                    <c:v>134.50098026284849</c:v>
                  </c:pt>
                  <c:pt idx="4">
                    <c:v>162.20880761126026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0"/>
          </c:errBars>
          <c:xVal>
            <c:numRef>
              <c:f>'Exp 3.2 modelling'!$T$105:$T$109</c:f>
              <c:numCache>
                <c:formatCode>General</c:formatCode>
                <c:ptCount val="5"/>
                <c:pt idx="0">
                  <c:v>0</c:v>
                </c:pt>
                <c:pt idx="1">
                  <c:v>8</c:v>
                </c:pt>
                <c:pt idx="2">
                  <c:v>24</c:v>
                </c:pt>
                <c:pt idx="3">
                  <c:v>48</c:v>
                </c:pt>
                <c:pt idx="4">
                  <c:v>72</c:v>
                </c:pt>
              </c:numCache>
            </c:numRef>
          </c:xVal>
          <c:yVal>
            <c:numRef>
              <c:f>'Exp 3.2 modelling'!$U$105:$U$109</c:f>
              <c:numCache>
                <c:formatCode>0.000</c:formatCode>
                <c:ptCount val="5"/>
                <c:pt idx="0">
                  <c:v>0</c:v>
                </c:pt>
                <c:pt idx="1">
                  <c:v>9.6593333333333344</c:v>
                </c:pt>
                <c:pt idx="2">
                  <c:v>27.220500000000001</c:v>
                </c:pt>
                <c:pt idx="3">
                  <c:v>63.64425</c:v>
                </c:pt>
                <c:pt idx="4">
                  <c:v>89.013000000000005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315-EA48-9C4B-C4E797A44A85}"/>
            </c:ext>
          </c:extLst>
        </c:ser>
        <c:ser>
          <c:idx val="0"/>
          <c:order val="6"/>
          <c:tx>
            <c:v>5.5 mM, low HC</c:v>
          </c:tx>
          <c:spPr>
            <a:ln w="952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'Exp 3.2 modelling'!$W$64:$W$67</c:f>
                <c:numCache>
                  <c:formatCode>General</c:formatCode>
                  <c:ptCount val="4"/>
                  <c:pt idx="0">
                    <c:v>14.309105556952181</c:v>
                  </c:pt>
                  <c:pt idx="1">
                    <c:v>6.0545393292966718</c:v>
                  </c:pt>
                  <c:pt idx="2">
                    <c:v>5.519687487530363</c:v>
                  </c:pt>
                  <c:pt idx="3">
                    <c:v>5.0472069345331976</c:v>
                  </c:pt>
                </c:numCache>
              </c:numRef>
            </c:plus>
            <c:minus>
              <c:numRef>
                <c:f>'Exp 3.2 modelling'!$W$64:$W$67</c:f>
                <c:numCache>
                  <c:formatCode>General</c:formatCode>
                  <c:ptCount val="4"/>
                  <c:pt idx="0">
                    <c:v>14.309105556952181</c:v>
                  </c:pt>
                  <c:pt idx="1">
                    <c:v>6.0545393292966718</c:v>
                  </c:pt>
                  <c:pt idx="2">
                    <c:v>5.519687487530363</c:v>
                  </c:pt>
                  <c:pt idx="3">
                    <c:v>5.0472069345331976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</a:schemeClr>
                </a:solidFill>
                <a:round/>
              </a:ln>
              <a:effectLst/>
            </c:spPr>
          </c:errBars>
          <c:xVal>
            <c:numRef>
              <c:f>'Exp 3.2 modelling'!$T$64:$T$67</c:f>
              <c:numCache>
                <c:formatCode>General</c:formatCode>
                <c:ptCount val="4"/>
                <c:pt idx="0">
                  <c:v>0</c:v>
                </c:pt>
                <c:pt idx="1">
                  <c:v>8</c:v>
                </c:pt>
                <c:pt idx="2">
                  <c:v>24</c:v>
                </c:pt>
                <c:pt idx="3">
                  <c:v>48</c:v>
                </c:pt>
              </c:numCache>
            </c:numRef>
          </c:xVal>
          <c:yVal>
            <c:numRef>
              <c:f>'Exp 3.2 modelling'!$U$64:$U$67</c:f>
              <c:numCache>
                <c:formatCode>0.000</c:formatCode>
                <c:ptCount val="4"/>
                <c:pt idx="0">
                  <c:v>39.052200000000006</c:v>
                </c:pt>
                <c:pt idx="1">
                  <c:v>110.54369999999999</c:v>
                </c:pt>
                <c:pt idx="2">
                  <c:v>135.33240000000001</c:v>
                </c:pt>
                <c:pt idx="3">
                  <c:v>170.0538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315-EA48-9C4B-C4E797A44A85}"/>
            </c:ext>
          </c:extLst>
        </c:ser>
        <c:ser>
          <c:idx val="1"/>
          <c:order val="7"/>
          <c:tx>
            <c:v>5.5 mM, high HC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'Exp 3.2 modelling'!$W$68:$W$71</c:f>
                <c:numCache>
                  <c:formatCode>General</c:formatCode>
                  <c:ptCount val="4"/>
                  <c:pt idx="0">
                    <c:v>3.6374999999999988</c:v>
                  </c:pt>
                  <c:pt idx="1">
                    <c:v>3.3192474508538972</c:v>
                  </c:pt>
                  <c:pt idx="2">
                    <c:v>1.988561540410571</c:v>
                  </c:pt>
                  <c:pt idx="3">
                    <c:v>3.0236336905194725</c:v>
                  </c:pt>
                </c:numCache>
              </c:numRef>
            </c:plus>
            <c:minus>
              <c:numRef>
                <c:f>'Exp 3.2 modelling'!$W$68:$W$71</c:f>
                <c:numCache>
                  <c:formatCode>General</c:formatCode>
                  <c:ptCount val="4"/>
                  <c:pt idx="0">
                    <c:v>3.6374999999999988</c:v>
                  </c:pt>
                  <c:pt idx="1">
                    <c:v>3.3192474508538972</c:v>
                  </c:pt>
                  <c:pt idx="2">
                    <c:v>1.988561540410571</c:v>
                  </c:pt>
                  <c:pt idx="3">
                    <c:v>3.0236336905194725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</a:schemeClr>
                </a:solidFill>
                <a:round/>
              </a:ln>
              <a:effectLst/>
            </c:spPr>
          </c:errBars>
          <c:xVal>
            <c:numRef>
              <c:f>'Exp 3.2 modelling'!$T$68:$T$71</c:f>
              <c:numCache>
                <c:formatCode>General</c:formatCode>
                <c:ptCount val="4"/>
                <c:pt idx="0">
                  <c:v>0</c:v>
                </c:pt>
                <c:pt idx="1">
                  <c:v>8</c:v>
                </c:pt>
                <c:pt idx="2">
                  <c:v>24</c:v>
                </c:pt>
                <c:pt idx="3">
                  <c:v>48</c:v>
                </c:pt>
              </c:numCache>
            </c:numRef>
          </c:xVal>
          <c:yVal>
            <c:numRef>
              <c:f>'Exp 3.2 modelling'!$U$68:$U$71</c:f>
              <c:numCache>
                <c:formatCode>0.000</c:formatCode>
                <c:ptCount val="4"/>
                <c:pt idx="0">
                  <c:v>8.6595000000000013</c:v>
                </c:pt>
                <c:pt idx="1">
                  <c:v>51.619799999999998</c:v>
                </c:pt>
                <c:pt idx="2">
                  <c:v>47.885999999999989</c:v>
                </c:pt>
                <c:pt idx="3">
                  <c:v>42.803333333333335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315-EA48-9C4B-C4E797A44A85}"/>
            </c:ext>
          </c:extLst>
        </c:ser>
        <c:ser>
          <c:idx val="2"/>
          <c:order val="8"/>
          <c:tx>
            <c:v>11 mM, low HC</c:v>
          </c:tx>
          <c:spPr>
            <a:ln w="952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'Exp 3.2 modelling'!$W$82:$W$85</c:f>
                <c:numCache>
                  <c:formatCode>General</c:formatCode>
                  <c:ptCount val="4"/>
                  <c:pt idx="0">
                    <c:v>15.589416283171104</c:v>
                  </c:pt>
                  <c:pt idx="1">
                    <c:v>29.454330591612518</c:v>
                  </c:pt>
                  <c:pt idx="2">
                    <c:v>118.64735034734014</c:v>
                  </c:pt>
                  <c:pt idx="3">
                    <c:v>85.558207671736639</c:v>
                  </c:pt>
                </c:numCache>
              </c:numRef>
            </c:plus>
            <c:minus>
              <c:numRef>
                <c:f>'Exp 3.2 modelling'!$W$82:$W$85</c:f>
                <c:numCache>
                  <c:formatCode>General</c:formatCode>
                  <c:ptCount val="4"/>
                  <c:pt idx="0">
                    <c:v>15.589416283171104</c:v>
                  </c:pt>
                  <c:pt idx="1">
                    <c:v>29.454330591612518</c:v>
                  </c:pt>
                  <c:pt idx="2">
                    <c:v>118.64735034734014</c:v>
                  </c:pt>
                  <c:pt idx="3">
                    <c:v>85.558207671736639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</a:schemeClr>
                </a:solidFill>
                <a:round/>
              </a:ln>
              <a:effectLst/>
            </c:spPr>
          </c:errBars>
          <c:xVal>
            <c:numRef>
              <c:f>'Exp 3.2 modelling'!$T$82:$T$85</c:f>
              <c:numCache>
                <c:formatCode>General</c:formatCode>
                <c:ptCount val="4"/>
                <c:pt idx="0">
                  <c:v>0</c:v>
                </c:pt>
                <c:pt idx="1">
                  <c:v>8</c:v>
                </c:pt>
                <c:pt idx="2">
                  <c:v>24</c:v>
                </c:pt>
                <c:pt idx="3">
                  <c:v>48</c:v>
                </c:pt>
              </c:numCache>
            </c:numRef>
          </c:xVal>
          <c:yVal>
            <c:numRef>
              <c:f>'Exp 3.2 modelling'!$U$82:$U$85</c:f>
              <c:numCache>
                <c:formatCode>0.000</c:formatCode>
                <c:ptCount val="4"/>
                <c:pt idx="0">
                  <c:v>74.345500000000001</c:v>
                </c:pt>
                <c:pt idx="1">
                  <c:v>1150.4930000000002</c:v>
                </c:pt>
                <c:pt idx="2">
                  <c:v>2172.8833333333332</c:v>
                </c:pt>
                <c:pt idx="3">
                  <c:v>2825.91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E315-EA48-9C4B-C4E797A44A85}"/>
            </c:ext>
          </c:extLst>
        </c:ser>
        <c:ser>
          <c:idx val="3"/>
          <c:order val="9"/>
          <c:tx>
            <c:v>11 mM, high HC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'Exp 3.2 modelling'!$W$86:$W$89</c:f>
                <c:numCache>
                  <c:formatCode>General</c:formatCode>
                  <c:ptCount val="4"/>
                  <c:pt idx="0">
                    <c:v>7.487854582589061</c:v>
                  </c:pt>
                  <c:pt idx="1">
                    <c:v>26.764799928263994</c:v>
                  </c:pt>
                  <c:pt idx="2">
                    <c:v>72.82221536805352</c:v>
                  </c:pt>
                  <c:pt idx="3">
                    <c:v>38.732755682726463</c:v>
                  </c:pt>
                </c:numCache>
              </c:numRef>
            </c:plus>
            <c:minus>
              <c:numRef>
                <c:f>'Exp 3.2 modelling'!$W$86:$W$89</c:f>
                <c:numCache>
                  <c:formatCode>General</c:formatCode>
                  <c:ptCount val="4"/>
                  <c:pt idx="0">
                    <c:v>7.487854582589061</c:v>
                  </c:pt>
                  <c:pt idx="1">
                    <c:v>26.764799928263994</c:v>
                  </c:pt>
                  <c:pt idx="2">
                    <c:v>72.82221536805352</c:v>
                  </c:pt>
                  <c:pt idx="3">
                    <c:v>38.732755682726463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>
                <a:solidFill>
                  <a:schemeClr val="tx2">
                    <a:lumMod val="75000"/>
                  </a:schemeClr>
                </a:solidFill>
                <a:round/>
              </a:ln>
              <a:effectLst/>
            </c:spPr>
          </c:errBars>
          <c:xVal>
            <c:numRef>
              <c:f>'Exp 3.2 modelling'!$T$86:$T$89</c:f>
              <c:numCache>
                <c:formatCode>General</c:formatCode>
                <c:ptCount val="4"/>
                <c:pt idx="0">
                  <c:v>0</c:v>
                </c:pt>
                <c:pt idx="1">
                  <c:v>8</c:v>
                </c:pt>
                <c:pt idx="2">
                  <c:v>24</c:v>
                </c:pt>
                <c:pt idx="3">
                  <c:v>48</c:v>
                </c:pt>
              </c:numCache>
            </c:numRef>
          </c:xVal>
          <c:yVal>
            <c:numRef>
              <c:f>'Exp 3.2 modelling'!$U$86:$U$89</c:f>
              <c:numCache>
                <c:formatCode>0.000</c:formatCode>
                <c:ptCount val="4"/>
                <c:pt idx="0">
                  <c:v>44.612500000000004</c:v>
                </c:pt>
                <c:pt idx="1">
                  <c:v>663.4620000000001</c:v>
                </c:pt>
                <c:pt idx="2">
                  <c:v>1291.2766666666666</c:v>
                </c:pt>
                <c:pt idx="3">
                  <c:v>1561.3056666666669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E315-EA48-9C4B-C4E797A44A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1060528"/>
        <c:axId val="182523983"/>
      </c:scatterChart>
      <c:valAx>
        <c:axId val="1981060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(hours)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82523983"/>
        <c:crosses val="autoZero"/>
        <c:crossBetween val="midCat"/>
        <c:majorUnit val="8"/>
      </c:valAx>
      <c:valAx>
        <c:axId val="182523983"/>
        <c:scaling>
          <c:orientation val="minMax"/>
          <c:max val="400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Insulin (mU/L)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981060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SE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Glucose,</a:t>
            </a:r>
            <a:r>
              <a:rPr lang="en-US" baseline="0"/>
              <a:t> </a:t>
            </a:r>
            <a:r>
              <a:rPr lang="en-US"/>
              <a:t>Days 1-2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SE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5.5 mM, high HC</c:v>
          </c:tx>
          <c:spPr>
            <a:ln w="9525" cap="rnd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'Exp 3.2 modelling'!$W$20:$W$23</c:f>
                <c:numCache>
                  <c:formatCode>General</c:formatCode>
                  <c:ptCount val="4"/>
                  <c:pt idx="0">
                    <c:v>5.9207335109781642E-2</c:v>
                  </c:pt>
                  <c:pt idx="1">
                    <c:v>7.3570595237614597E-2</c:v>
                  </c:pt>
                  <c:pt idx="2">
                    <c:v>7.1741654032059413E-2</c:v>
                  </c:pt>
                  <c:pt idx="3">
                    <c:v>8.608016944739541E-2</c:v>
                  </c:pt>
                </c:numCache>
              </c:numRef>
            </c:plus>
            <c:minus>
              <c:numRef>
                <c:f>'Exp 3.2 modelling'!$W$20:$W$23</c:f>
                <c:numCache>
                  <c:formatCode>General</c:formatCode>
                  <c:ptCount val="4"/>
                  <c:pt idx="0">
                    <c:v>5.9207335109781642E-2</c:v>
                  </c:pt>
                  <c:pt idx="1">
                    <c:v>7.3570595237614597E-2</c:v>
                  </c:pt>
                  <c:pt idx="2">
                    <c:v>7.1741654032059413E-2</c:v>
                  </c:pt>
                  <c:pt idx="3">
                    <c:v>8.608016944739541E-2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</a:schemeClr>
                </a:solidFill>
                <a:round/>
              </a:ln>
              <a:effectLst/>
            </c:spPr>
          </c:errBars>
          <c:xVal>
            <c:numRef>
              <c:f>'Exp 3.2 modelling'!$T$20:$T$23</c:f>
              <c:numCache>
                <c:formatCode>General</c:formatCode>
                <c:ptCount val="4"/>
                <c:pt idx="0">
                  <c:v>0</c:v>
                </c:pt>
                <c:pt idx="1">
                  <c:v>8</c:v>
                </c:pt>
                <c:pt idx="2">
                  <c:v>24</c:v>
                </c:pt>
                <c:pt idx="3">
                  <c:v>48</c:v>
                </c:pt>
              </c:numCache>
            </c:numRef>
          </c:xVal>
          <c:yVal>
            <c:numRef>
              <c:f>'Exp 3.2 modelling'!$U$20:$U$23</c:f>
              <c:numCache>
                <c:formatCode>0.000</c:formatCode>
                <c:ptCount val="4"/>
                <c:pt idx="0">
                  <c:v>7.127676874340021</c:v>
                </c:pt>
                <c:pt idx="1">
                  <c:v>5.1403431890179503</c:v>
                </c:pt>
                <c:pt idx="2">
                  <c:v>4.575352856457032</c:v>
                </c:pt>
                <c:pt idx="3">
                  <c:v>3.7381901104176665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08-6B40-8A23-1789720793D3}"/>
            </c:ext>
          </c:extLst>
        </c:ser>
        <c:ser>
          <c:idx val="3"/>
          <c:order val="1"/>
          <c:tx>
            <c:v>11 mM, high HC</c:v>
          </c:tx>
          <c:spPr>
            <a:ln w="9525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'Exp 3.2 modelling'!$T$33:$T$36</c:f>
              <c:numCache>
                <c:formatCode>General</c:formatCode>
                <c:ptCount val="4"/>
                <c:pt idx="0">
                  <c:v>0</c:v>
                </c:pt>
                <c:pt idx="1">
                  <c:v>8</c:v>
                </c:pt>
                <c:pt idx="2">
                  <c:v>24</c:v>
                </c:pt>
                <c:pt idx="3">
                  <c:v>48</c:v>
                </c:pt>
              </c:numCache>
            </c:numRef>
          </c:xVal>
          <c:yVal>
            <c:numRef>
              <c:f>'Exp 3.2 modelling'!$U$33:$U$36</c:f>
              <c:numCache>
                <c:formatCode>0.000</c:formatCode>
                <c:ptCount val="4"/>
                <c:pt idx="0">
                  <c:v>11.358395989974936</c:v>
                </c:pt>
                <c:pt idx="1">
                  <c:v>10.823354683003805</c:v>
                </c:pt>
                <c:pt idx="2">
                  <c:v>9.4866806869961433</c:v>
                </c:pt>
                <c:pt idx="3">
                  <c:v>8.3222923238696094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F08-6B40-8A23-1789720793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1060528"/>
        <c:axId val="182523983"/>
      </c:scatterChart>
      <c:valAx>
        <c:axId val="1981060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(hours)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82523983"/>
        <c:crosses val="autoZero"/>
        <c:crossBetween val="midCat"/>
        <c:majorUnit val="8"/>
      </c:valAx>
      <c:valAx>
        <c:axId val="182523983"/>
        <c:scaling>
          <c:orientation val="minMax"/>
          <c:max val="14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Glucose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981060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Glucose,</a:t>
            </a:r>
            <a:r>
              <a:rPr lang="en-US" baseline="0"/>
              <a:t> </a:t>
            </a:r>
            <a:r>
              <a:rPr lang="en-US"/>
              <a:t>Days 13-15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SE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5.5 mM, high HC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'Exp 3.2 modelling'!#REF!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'Exp 3.2 modelling'!#REF!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</a:schemeClr>
                </a:solidFill>
                <a:round/>
              </a:ln>
              <a:effectLst/>
            </c:spPr>
          </c:errBars>
          <c:xVal>
            <c:numRef>
              <c:f>'Exp 3.2 modelling'!#REF!</c:f>
            </c:numRef>
          </c:xVal>
          <c:yVal>
            <c:numRef>
              <c:f>'Exp 3.2 modelling'!#REF!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BF-FF46-AB89-2D31882D65FD}"/>
            </c:ext>
          </c:extLst>
        </c:ser>
        <c:ser>
          <c:idx val="3"/>
          <c:order val="1"/>
          <c:tx>
            <c:v>11 mM, high HC</c:v>
          </c:tx>
          <c:spPr>
            <a:ln w="9525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'Exp 3.2 modelling'!$W$42:$W$46</c:f>
                <c:numCache>
                  <c:formatCode>General</c:formatCode>
                  <c:ptCount val="5"/>
                  <c:pt idx="0">
                    <c:v>0.18587892071734419</c:v>
                  </c:pt>
                  <c:pt idx="1">
                    <c:v>0.12843391290073342</c:v>
                  </c:pt>
                  <c:pt idx="2">
                    <c:v>0.15036306729329113</c:v>
                  </c:pt>
                  <c:pt idx="3">
                    <c:v>0.15119065742200499</c:v>
                  </c:pt>
                  <c:pt idx="4">
                    <c:v>7.5567670196004827E-2</c:v>
                  </c:pt>
                </c:numCache>
              </c:numRef>
            </c:plus>
            <c:minus>
              <c:numRef>
                <c:f>'Exp 3.2 modelling'!$W$42:$W$46</c:f>
                <c:numCache>
                  <c:formatCode>General</c:formatCode>
                  <c:ptCount val="5"/>
                  <c:pt idx="0">
                    <c:v>0.18587892071734419</c:v>
                  </c:pt>
                  <c:pt idx="1">
                    <c:v>0.12843391290073342</c:v>
                  </c:pt>
                  <c:pt idx="2">
                    <c:v>0.15036306729329113</c:v>
                  </c:pt>
                  <c:pt idx="3">
                    <c:v>0.15119065742200499</c:v>
                  </c:pt>
                  <c:pt idx="4">
                    <c:v>7.5567670196004827E-2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>
                <a:solidFill>
                  <a:schemeClr val="tx2">
                    <a:lumMod val="75000"/>
                  </a:schemeClr>
                </a:solidFill>
                <a:round/>
              </a:ln>
              <a:effectLst/>
            </c:spPr>
          </c:errBars>
          <c:xVal>
            <c:numRef>
              <c:f>'Exp 3.2 modelling'!$T$42:$T$46</c:f>
              <c:numCache>
                <c:formatCode>General</c:formatCode>
                <c:ptCount val="5"/>
                <c:pt idx="0">
                  <c:v>0</c:v>
                </c:pt>
                <c:pt idx="1">
                  <c:v>8</c:v>
                </c:pt>
                <c:pt idx="2">
                  <c:v>24</c:v>
                </c:pt>
                <c:pt idx="3">
                  <c:v>48</c:v>
                </c:pt>
                <c:pt idx="4">
                  <c:v>72</c:v>
                </c:pt>
              </c:numCache>
            </c:numRef>
          </c:xVal>
          <c:yVal>
            <c:numRef>
              <c:f>'Exp 3.2 modelling'!$U$42:$U$46</c:f>
              <c:numCache>
                <c:formatCode>0.000</c:formatCode>
                <c:ptCount val="5"/>
                <c:pt idx="0">
                  <c:v>10.726190476190476</c:v>
                </c:pt>
                <c:pt idx="1">
                  <c:v>10.742559523809524</c:v>
                </c:pt>
                <c:pt idx="2">
                  <c:v>10.531947978512866</c:v>
                </c:pt>
                <c:pt idx="3">
                  <c:v>9.649579390115667</c:v>
                </c:pt>
                <c:pt idx="4">
                  <c:v>9.691508937960041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BF-FF46-AB89-2D31882D65FD}"/>
            </c:ext>
          </c:extLst>
        </c:ser>
        <c:ser>
          <c:idx val="5"/>
          <c:order val="2"/>
          <c:tx>
            <c:v>5.5 mM + GTT, high HC</c:v>
          </c:tx>
          <c:spPr>
            <a:ln w="9525" cap="rnd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prstDash val="dash"/>
                <a:round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'Exp 3.2 modelling'!$W$52:$W$56</c:f>
                <c:numCache>
                  <c:formatCode>General</c:formatCode>
                  <c:ptCount val="5"/>
                  <c:pt idx="0">
                    <c:v>0.13661330258962473</c:v>
                  </c:pt>
                  <c:pt idx="1">
                    <c:v>0.11194063930108349</c:v>
                  </c:pt>
                  <c:pt idx="2">
                    <c:v>0.11142166912873573</c:v>
                  </c:pt>
                  <c:pt idx="3">
                    <c:v>0.12215995399998968</c:v>
                  </c:pt>
                  <c:pt idx="4">
                    <c:v>0.13588905886662145</c:v>
                  </c:pt>
                </c:numCache>
              </c:numRef>
            </c:plus>
            <c:minus>
              <c:numRef>
                <c:f>'Exp 3.2 modelling'!$W$52:$W$56</c:f>
                <c:numCache>
                  <c:formatCode>General</c:formatCode>
                  <c:ptCount val="5"/>
                  <c:pt idx="0">
                    <c:v>0.13661330258962473</c:v>
                  </c:pt>
                  <c:pt idx="1">
                    <c:v>0.11194063930108349</c:v>
                  </c:pt>
                  <c:pt idx="2">
                    <c:v>0.11142166912873573</c:v>
                  </c:pt>
                  <c:pt idx="3">
                    <c:v>0.12215995399998968</c:v>
                  </c:pt>
                  <c:pt idx="4">
                    <c:v>0.13588905886662145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>
                <a:solidFill>
                  <a:schemeClr val="tx2">
                    <a:lumMod val="75000"/>
                  </a:schemeClr>
                </a:solidFill>
                <a:round/>
              </a:ln>
              <a:effectLst/>
            </c:spPr>
          </c:errBars>
          <c:xVal>
            <c:numRef>
              <c:f>'Exp 3.2 modelling'!$T$52:$T$56</c:f>
              <c:numCache>
                <c:formatCode>General</c:formatCode>
                <c:ptCount val="5"/>
                <c:pt idx="0">
                  <c:v>0</c:v>
                </c:pt>
                <c:pt idx="1">
                  <c:v>8</c:v>
                </c:pt>
                <c:pt idx="2">
                  <c:v>24</c:v>
                </c:pt>
                <c:pt idx="3">
                  <c:v>48</c:v>
                </c:pt>
                <c:pt idx="4">
                  <c:v>72</c:v>
                </c:pt>
              </c:numCache>
            </c:numRef>
          </c:xVal>
          <c:yVal>
            <c:numRef>
              <c:f>'Exp 3.2 modelling'!$U$52:$U$56</c:f>
              <c:numCache>
                <c:formatCode>0.000</c:formatCode>
                <c:ptCount val="5"/>
                <c:pt idx="0">
                  <c:v>12.800595238095239</c:v>
                </c:pt>
                <c:pt idx="1">
                  <c:v>10.041666666666666</c:v>
                </c:pt>
                <c:pt idx="2">
                  <c:v>10.790076335877863</c:v>
                </c:pt>
                <c:pt idx="3">
                  <c:v>10.177410234662142</c:v>
                </c:pt>
                <c:pt idx="4">
                  <c:v>10.187434279705572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1BF-FF46-AB89-2D31882D65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1060528"/>
        <c:axId val="182523983"/>
      </c:scatterChart>
      <c:valAx>
        <c:axId val="1981060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(hours)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82523983"/>
        <c:crosses val="autoZero"/>
        <c:crossBetween val="midCat"/>
        <c:majorUnit val="8"/>
      </c:valAx>
      <c:valAx>
        <c:axId val="182523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Glucose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981060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Glucose,</a:t>
            </a:r>
            <a:r>
              <a:rPr lang="en-US" baseline="0"/>
              <a:t> </a:t>
            </a:r>
            <a:r>
              <a:rPr lang="en-US"/>
              <a:t>Days 7-9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SE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11 mM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Glucose!$T$77:$T$80</c:f>
                <c:numCache>
                  <c:formatCode>General</c:formatCode>
                  <c:ptCount val="4"/>
                  <c:pt idx="0">
                    <c:v>0.70295544251870534</c:v>
                  </c:pt>
                  <c:pt idx="1">
                    <c:v>7.2284557767663501E-2</c:v>
                  </c:pt>
                  <c:pt idx="2">
                    <c:v>0.10446079308365738</c:v>
                  </c:pt>
                  <c:pt idx="3">
                    <c:v>0.12795382874954001</c:v>
                  </c:pt>
                </c:numCache>
              </c:numRef>
            </c:plus>
            <c:minus>
              <c:numRef>
                <c:f>Glucose!$T$77:$T$80</c:f>
                <c:numCache>
                  <c:formatCode>General</c:formatCode>
                  <c:ptCount val="4"/>
                  <c:pt idx="0">
                    <c:v>0.70295544251870534</c:v>
                  </c:pt>
                  <c:pt idx="1">
                    <c:v>7.2284557767663501E-2</c:v>
                  </c:pt>
                  <c:pt idx="2">
                    <c:v>0.10446079308365738</c:v>
                  </c:pt>
                  <c:pt idx="3">
                    <c:v>0.12795382874954001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>
                <a:solidFill>
                  <a:schemeClr val="tx2">
                    <a:lumMod val="75000"/>
                  </a:schemeClr>
                </a:solidFill>
                <a:round/>
              </a:ln>
              <a:effectLst/>
            </c:spPr>
          </c:errBars>
          <c:xVal>
            <c:numRef>
              <c:f>Glucose!$Q$73:$Q$76</c:f>
              <c:numCache>
                <c:formatCode>General</c:formatCode>
                <c:ptCount val="4"/>
                <c:pt idx="0">
                  <c:v>0</c:v>
                </c:pt>
                <c:pt idx="1">
                  <c:v>8</c:v>
                </c:pt>
                <c:pt idx="2">
                  <c:v>24</c:v>
                </c:pt>
                <c:pt idx="3">
                  <c:v>47.9</c:v>
                </c:pt>
              </c:numCache>
            </c:numRef>
          </c:xVal>
          <c:yVal>
            <c:numRef>
              <c:f>Glucose!$R$77:$R$80</c:f>
              <c:numCache>
                <c:formatCode>0.000</c:formatCode>
                <c:ptCount val="4"/>
                <c:pt idx="0">
                  <c:v>10.85975</c:v>
                </c:pt>
                <c:pt idx="1">
                  <c:v>9.593375</c:v>
                </c:pt>
                <c:pt idx="2">
                  <c:v>9.1506249999999998</c:v>
                </c:pt>
                <c:pt idx="3">
                  <c:v>8.5786250000000006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20-8742-B08E-3E0716BA42F7}"/>
            </c:ext>
          </c:extLst>
        </c:ser>
        <c:ser>
          <c:idx val="0"/>
          <c:order val="1"/>
          <c:tx>
            <c:v>5.5 mM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Glucose!$T$65:$T$68</c:f>
                <c:numCache>
                  <c:formatCode>General</c:formatCode>
                  <c:ptCount val="4"/>
                  <c:pt idx="0">
                    <c:v>6.5999999999999837E-2</c:v>
                  </c:pt>
                  <c:pt idx="1">
                    <c:v>5.9971651289032687E-2</c:v>
                  </c:pt>
                  <c:pt idx="2">
                    <c:v>0.18398301552045501</c:v>
                  </c:pt>
                  <c:pt idx="3">
                    <c:v>0.18926003569457245</c:v>
                  </c:pt>
                </c:numCache>
              </c:numRef>
            </c:plus>
            <c:minus>
              <c:numRef>
                <c:f>Glucose!$T$65:$T$68</c:f>
                <c:numCache>
                  <c:formatCode>General</c:formatCode>
                  <c:ptCount val="4"/>
                  <c:pt idx="0">
                    <c:v>6.5999999999999837E-2</c:v>
                  </c:pt>
                  <c:pt idx="1">
                    <c:v>5.9971651289032687E-2</c:v>
                  </c:pt>
                  <c:pt idx="2">
                    <c:v>0.18398301552045501</c:v>
                  </c:pt>
                  <c:pt idx="3">
                    <c:v>0.18926003569457245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</a:schemeClr>
                </a:solidFill>
                <a:round/>
              </a:ln>
              <a:effectLst/>
            </c:spPr>
          </c:errBars>
          <c:xVal>
            <c:numRef>
              <c:f>Glucose!$Q$65:$Q$68</c:f>
              <c:numCache>
                <c:formatCode>General</c:formatCode>
                <c:ptCount val="4"/>
                <c:pt idx="0">
                  <c:v>0</c:v>
                </c:pt>
                <c:pt idx="1">
                  <c:v>8</c:v>
                </c:pt>
                <c:pt idx="2">
                  <c:v>24</c:v>
                </c:pt>
                <c:pt idx="3">
                  <c:v>47.9</c:v>
                </c:pt>
              </c:numCache>
            </c:numRef>
          </c:xVal>
          <c:yVal>
            <c:numRef>
              <c:f>Glucose!$R$69:$R$72</c:f>
              <c:numCache>
                <c:formatCode>0.000</c:formatCode>
                <c:ptCount val="4"/>
                <c:pt idx="0">
                  <c:v>5.1846666666666659</c:v>
                </c:pt>
                <c:pt idx="1">
                  <c:v>4.9087499999999995</c:v>
                </c:pt>
                <c:pt idx="2">
                  <c:v>4.4893749999999999</c:v>
                </c:pt>
                <c:pt idx="3">
                  <c:v>3.6740000000000004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20-8742-B08E-3E0716BA42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1060528"/>
        <c:axId val="182523983"/>
      </c:scatterChart>
      <c:valAx>
        <c:axId val="1981060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(hours)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82523983"/>
        <c:crosses val="autoZero"/>
        <c:crossBetween val="midCat"/>
        <c:majorUnit val="8"/>
      </c:valAx>
      <c:valAx>
        <c:axId val="182523983"/>
        <c:scaling>
          <c:orientation val="minMax"/>
          <c:max val="12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Glucose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981060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Insulin,</a:t>
            </a:r>
            <a:r>
              <a:rPr lang="en-US" baseline="0"/>
              <a:t> </a:t>
            </a:r>
            <a:r>
              <a:rPr lang="en-US"/>
              <a:t>Days 1-2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SE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5.5 mM, high HC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'Exp 3.2 modelling'!$W$68:$W$71</c:f>
                <c:numCache>
                  <c:formatCode>General</c:formatCode>
                  <c:ptCount val="4"/>
                  <c:pt idx="0">
                    <c:v>3.6374999999999988</c:v>
                  </c:pt>
                  <c:pt idx="1">
                    <c:v>3.3192474508538972</c:v>
                  </c:pt>
                  <c:pt idx="2">
                    <c:v>1.988561540410571</c:v>
                  </c:pt>
                  <c:pt idx="3">
                    <c:v>3.0236336905194725</c:v>
                  </c:pt>
                </c:numCache>
              </c:numRef>
            </c:plus>
            <c:minus>
              <c:numRef>
                <c:f>'Exp 3.2 modelling'!$W$68:$W$71</c:f>
                <c:numCache>
                  <c:formatCode>General</c:formatCode>
                  <c:ptCount val="4"/>
                  <c:pt idx="0">
                    <c:v>3.6374999999999988</c:v>
                  </c:pt>
                  <c:pt idx="1">
                    <c:v>3.3192474508538972</c:v>
                  </c:pt>
                  <c:pt idx="2">
                    <c:v>1.988561540410571</c:v>
                  </c:pt>
                  <c:pt idx="3">
                    <c:v>3.0236336905194725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</a:schemeClr>
                </a:solidFill>
                <a:round/>
              </a:ln>
              <a:effectLst/>
            </c:spPr>
          </c:errBars>
          <c:xVal>
            <c:numRef>
              <c:f>'Exp 3.2 modelling'!$T$68:$T$71</c:f>
              <c:numCache>
                <c:formatCode>General</c:formatCode>
                <c:ptCount val="4"/>
                <c:pt idx="0">
                  <c:v>0</c:v>
                </c:pt>
                <c:pt idx="1">
                  <c:v>8</c:v>
                </c:pt>
                <c:pt idx="2">
                  <c:v>24</c:v>
                </c:pt>
                <c:pt idx="3">
                  <c:v>48</c:v>
                </c:pt>
              </c:numCache>
            </c:numRef>
          </c:xVal>
          <c:yVal>
            <c:numRef>
              <c:f>'Exp 3.2 modelling'!$U$68:$U$71</c:f>
              <c:numCache>
                <c:formatCode>0.000</c:formatCode>
                <c:ptCount val="4"/>
                <c:pt idx="0">
                  <c:v>8.6595000000000013</c:v>
                </c:pt>
                <c:pt idx="1">
                  <c:v>51.619799999999998</c:v>
                </c:pt>
                <c:pt idx="2">
                  <c:v>47.885999999999989</c:v>
                </c:pt>
                <c:pt idx="3">
                  <c:v>42.803333333333335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F1-F342-858B-51F24C0F6CAF}"/>
            </c:ext>
          </c:extLst>
        </c:ser>
        <c:ser>
          <c:idx val="3"/>
          <c:order val="1"/>
          <c:tx>
            <c:v>11 mM, high HC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'Exp 3.2 modelling'!$W$86:$W$89</c:f>
                <c:numCache>
                  <c:formatCode>General</c:formatCode>
                  <c:ptCount val="4"/>
                  <c:pt idx="0">
                    <c:v>7.487854582589061</c:v>
                  </c:pt>
                  <c:pt idx="1">
                    <c:v>26.764799928263994</c:v>
                  </c:pt>
                  <c:pt idx="2">
                    <c:v>72.82221536805352</c:v>
                  </c:pt>
                  <c:pt idx="3">
                    <c:v>38.732755682726463</c:v>
                  </c:pt>
                </c:numCache>
              </c:numRef>
            </c:plus>
            <c:minus>
              <c:numRef>
                <c:f>'Exp 3.2 modelling'!$W$86:$W$89</c:f>
                <c:numCache>
                  <c:formatCode>General</c:formatCode>
                  <c:ptCount val="4"/>
                  <c:pt idx="0">
                    <c:v>7.487854582589061</c:v>
                  </c:pt>
                  <c:pt idx="1">
                    <c:v>26.764799928263994</c:v>
                  </c:pt>
                  <c:pt idx="2">
                    <c:v>72.82221536805352</c:v>
                  </c:pt>
                  <c:pt idx="3">
                    <c:v>38.732755682726463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>
                <a:solidFill>
                  <a:schemeClr val="tx2">
                    <a:lumMod val="75000"/>
                  </a:schemeClr>
                </a:solidFill>
                <a:round/>
              </a:ln>
              <a:effectLst/>
            </c:spPr>
          </c:errBars>
          <c:xVal>
            <c:numRef>
              <c:f>'Exp 3.2 modelling'!$T$86:$T$89</c:f>
              <c:numCache>
                <c:formatCode>General</c:formatCode>
                <c:ptCount val="4"/>
                <c:pt idx="0">
                  <c:v>0</c:v>
                </c:pt>
                <c:pt idx="1">
                  <c:v>8</c:v>
                </c:pt>
                <c:pt idx="2">
                  <c:v>24</c:v>
                </c:pt>
                <c:pt idx="3">
                  <c:v>48</c:v>
                </c:pt>
              </c:numCache>
            </c:numRef>
          </c:xVal>
          <c:yVal>
            <c:numRef>
              <c:f>'Exp 3.2 modelling'!$U$86:$U$89</c:f>
              <c:numCache>
                <c:formatCode>0.000</c:formatCode>
                <c:ptCount val="4"/>
                <c:pt idx="0">
                  <c:v>44.612500000000004</c:v>
                </c:pt>
                <c:pt idx="1">
                  <c:v>663.4620000000001</c:v>
                </c:pt>
                <c:pt idx="2">
                  <c:v>1291.2766666666666</c:v>
                </c:pt>
                <c:pt idx="3">
                  <c:v>1561.3056666666669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F1-F342-858B-51F24C0F6C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1060528"/>
        <c:axId val="182523983"/>
      </c:scatterChart>
      <c:valAx>
        <c:axId val="1981060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(hours)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82523983"/>
        <c:crosses val="autoZero"/>
        <c:crossBetween val="midCat"/>
        <c:majorUnit val="8"/>
      </c:valAx>
      <c:valAx>
        <c:axId val="182523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Insulin (mU/L)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981060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Insulin,</a:t>
            </a:r>
            <a:r>
              <a:rPr lang="en-US" baseline="0"/>
              <a:t> </a:t>
            </a:r>
            <a:r>
              <a:rPr lang="en-US"/>
              <a:t>Days 13-15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SE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5.5 mM, high HC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'Exp 3.2 modelling'!#REF!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'Exp 3.2 modelling'!#REF!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</a:schemeClr>
                </a:solidFill>
                <a:round/>
              </a:ln>
              <a:effectLst/>
            </c:spPr>
          </c:errBars>
          <c:xVal>
            <c:numRef>
              <c:f>'Exp 3.2 modelling'!$T$77:$T$81</c:f>
              <c:numCache>
                <c:formatCode>General</c:formatCode>
                <c:ptCount val="5"/>
                <c:pt idx="0">
                  <c:v>0</c:v>
                </c:pt>
                <c:pt idx="1">
                  <c:v>8</c:v>
                </c:pt>
                <c:pt idx="2">
                  <c:v>24</c:v>
                </c:pt>
                <c:pt idx="3">
                  <c:v>48</c:v>
                </c:pt>
                <c:pt idx="4">
                  <c:v>72</c:v>
                </c:pt>
              </c:numCache>
            </c:numRef>
          </c:xVal>
          <c:yVal>
            <c:numRef>
              <c:f>'Exp 3.2 modelling'!$U$77:$U$81</c:f>
              <c:numCache>
                <c:formatCode>0.000</c:formatCode>
                <c:ptCount val="5"/>
                <c:pt idx="0">
                  <c:v>0</c:v>
                </c:pt>
                <c:pt idx="1">
                  <c:v>6.1590000000000007</c:v>
                </c:pt>
                <c:pt idx="2">
                  <c:v>10.2935</c:v>
                </c:pt>
                <c:pt idx="3">
                  <c:v>18.148499999999999</c:v>
                </c:pt>
                <c:pt idx="4">
                  <c:v>19.551000000000002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FF-DF40-8A21-DD59FD6D95E8}"/>
            </c:ext>
          </c:extLst>
        </c:ser>
        <c:ser>
          <c:idx val="3"/>
          <c:order val="1"/>
          <c:tx>
            <c:v>11 mM, high HC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'Exp 3.2 modelling'!$W$95:$W$99</c:f>
                <c:numCache>
                  <c:formatCode>General</c:formatCode>
                  <c:ptCount val="5"/>
                  <c:pt idx="0">
                    <c:v>3.1409999999999978</c:v>
                  </c:pt>
                  <c:pt idx="1">
                    <c:v>7.005385279673507</c:v>
                  </c:pt>
                  <c:pt idx="2">
                    <c:v>36.332362611267961</c:v>
                  </c:pt>
                  <c:pt idx="3">
                    <c:v>21.931093746474826</c:v>
                  </c:pt>
                  <c:pt idx="4">
                    <c:v>30.80519896597551</c:v>
                  </c:pt>
                </c:numCache>
              </c:numRef>
            </c:plus>
            <c:minus>
              <c:numRef>
                <c:f>'Exp 3.2 modelling'!$W$95:$W$99</c:f>
                <c:numCache>
                  <c:formatCode>General</c:formatCode>
                  <c:ptCount val="5"/>
                  <c:pt idx="0">
                    <c:v>3.1409999999999978</c:v>
                  </c:pt>
                  <c:pt idx="1">
                    <c:v>7.005385279673507</c:v>
                  </c:pt>
                  <c:pt idx="2">
                    <c:v>36.332362611267961</c:v>
                  </c:pt>
                  <c:pt idx="3">
                    <c:v>21.931093746474826</c:v>
                  </c:pt>
                  <c:pt idx="4">
                    <c:v>30.80519896597551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>
                <a:solidFill>
                  <a:schemeClr val="tx2">
                    <a:lumMod val="75000"/>
                  </a:schemeClr>
                </a:solidFill>
                <a:round/>
              </a:ln>
              <a:effectLst/>
            </c:spPr>
          </c:errBars>
          <c:xVal>
            <c:numRef>
              <c:f>'Exp 3.2 modelling'!$T$95:$T$99</c:f>
              <c:numCache>
                <c:formatCode>General</c:formatCode>
                <c:ptCount val="5"/>
                <c:pt idx="0">
                  <c:v>0</c:v>
                </c:pt>
                <c:pt idx="1">
                  <c:v>8</c:v>
                </c:pt>
                <c:pt idx="2">
                  <c:v>24</c:v>
                </c:pt>
                <c:pt idx="3">
                  <c:v>48</c:v>
                </c:pt>
                <c:pt idx="4">
                  <c:v>72</c:v>
                </c:pt>
              </c:numCache>
            </c:numRef>
          </c:xVal>
          <c:yVal>
            <c:numRef>
              <c:f>'Exp 3.2 modelling'!$U$95:$U$99</c:f>
              <c:numCache>
                <c:formatCode>0.000</c:formatCode>
                <c:ptCount val="5"/>
                <c:pt idx="0">
                  <c:v>8.7720000000000002</c:v>
                </c:pt>
                <c:pt idx="1">
                  <c:v>109.1575</c:v>
                </c:pt>
                <c:pt idx="2">
                  <c:v>270.7525</c:v>
                </c:pt>
                <c:pt idx="3">
                  <c:v>310.20749999999998</c:v>
                </c:pt>
                <c:pt idx="4">
                  <c:v>303.03999999999996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7FF-DF40-8A21-DD59FD6D95E8}"/>
            </c:ext>
          </c:extLst>
        </c:ser>
        <c:ser>
          <c:idx val="5"/>
          <c:order val="2"/>
          <c:tx>
            <c:v>5.5 mM + GTT, high HC</c:v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prstDash val="dash"/>
                <a:round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'Exp 3.2 modelling'!$W$100:$W$104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8.6307951545613726</c:v>
                  </c:pt>
                  <c:pt idx="2">
                    <c:v>120.06164173734547</c:v>
                  </c:pt>
                  <c:pt idx="3">
                    <c:v>134.50098026284849</c:v>
                  </c:pt>
                  <c:pt idx="4">
                    <c:v>162.20880761126026</c:v>
                  </c:pt>
                </c:numCache>
              </c:numRef>
            </c:plus>
            <c:minus>
              <c:numRef>
                <c:f>'Exp 3.2 modelling'!$W$100:$W$104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8.6307951545613726</c:v>
                  </c:pt>
                  <c:pt idx="2">
                    <c:v>120.06164173734547</c:v>
                  </c:pt>
                  <c:pt idx="3">
                    <c:v>134.50098026284849</c:v>
                  </c:pt>
                  <c:pt idx="4">
                    <c:v>162.20880761126026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>
                <a:solidFill>
                  <a:schemeClr val="tx2">
                    <a:lumMod val="75000"/>
                  </a:schemeClr>
                </a:solidFill>
                <a:round/>
              </a:ln>
              <a:effectLst/>
            </c:spPr>
          </c:errBars>
          <c:xVal>
            <c:numRef>
              <c:f>'Exp 3.2 modelling'!$T$105:$T$109</c:f>
              <c:numCache>
                <c:formatCode>General</c:formatCode>
                <c:ptCount val="5"/>
                <c:pt idx="0">
                  <c:v>0</c:v>
                </c:pt>
                <c:pt idx="1">
                  <c:v>8</c:v>
                </c:pt>
                <c:pt idx="2">
                  <c:v>24</c:v>
                </c:pt>
                <c:pt idx="3">
                  <c:v>48</c:v>
                </c:pt>
                <c:pt idx="4">
                  <c:v>72</c:v>
                </c:pt>
              </c:numCache>
            </c:numRef>
          </c:xVal>
          <c:yVal>
            <c:numRef>
              <c:f>'Exp 3.2 modelling'!$U$105:$U$109</c:f>
              <c:numCache>
                <c:formatCode>0.000</c:formatCode>
                <c:ptCount val="5"/>
                <c:pt idx="0">
                  <c:v>0</c:v>
                </c:pt>
                <c:pt idx="1">
                  <c:v>9.6593333333333344</c:v>
                </c:pt>
                <c:pt idx="2">
                  <c:v>27.220500000000001</c:v>
                </c:pt>
                <c:pt idx="3">
                  <c:v>63.64425</c:v>
                </c:pt>
                <c:pt idx="4">
                  <c:v>89.013000000000005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7FF-DF40-8A21-DD59FD6D95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1060528"/>
        <c:axId val="182523983"/>
      </c:scatterChart>
      <c:valAx>
        <c:axId val="1981060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(hours)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82523983"/>
        <c:crosses val="autoZero"/>
        <c:crossBetween val="midCat"/>
        <c:majorUnit val="8"/>
      </c:valAx>
      <c:valAx>
        <c:axId val="182523983"/>
        <c:scaling>
          <c:orientation val="minMax"/>
          <c:max val="180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Insulin (mU/L)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981060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Glucose,</a:t>
            </a:r>
            <a:r>
              <a:rPr lang="en-US" baseline="0"/>
              <a:t> </a:t>
            </a:r>
            <a:r>
              <a:rPr lang="en-US"/>
              <a:t>Days 1-2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5.5 mM, low HC</c:v>
          </c:tx>
          <c:spPr>
            <a:ln w="952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'Exp 3.2 modelling'!$W$16:$W$19</c:f>
                <c:numCache>
                  <c:formatCode>General</c:formatCode>
                  <c:ptCount val="4"/>
                  <c:pt idx="0">
                    <c:v>9.5185682163184876E-2</c:v>
                  </c:pt>
                  <c:pt idx="1">
                    <c:v>3.5277843324238126E-2</c:v>
                  </c:pt>
                  <c:pt idx="2">
                    <c:v>5.1464561243444444E-2</c:v>
                  </c:pt>
                  <c:pt idx="3">
                    <c:v>5.1440867976166461E-2</c:v>
                  </c:pt>
                </c:numCache>
              </c:numRef>
            </c:plus>
            <c:minus>
              <c:numRef>
                <c:f>'Exp 3.2 modelling'!$W$16:$W$19</c:f>
                <c:numCache>
                  <c:formatCode>General</c:formatCode>
                  <c:ptCount val="4"/>
                  <c:pt idx="0">
                    <c:v>9.5185682163184876E-2</c:v>
                  </c:pt>
                  <c:pt idx="1">
                    <c:v>3.5277843324238126E-2</c:v>
                  </c:pt>
                  <c:pt idx="2">
                    <c:v>5.1464561243444444E-2</c:v>
                  </c:pt>
                  <c:pt idx="3">
                    <c:v>5.1440867976166461E-2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</a:schemeClr>
                </a:solidFill>
                <a:round/>
              </a:ln>
              <a:effectLst/>
            </c:spPr>
          </c:errBars>
          <c:xVal>
            <c:numRef>
              <c:f>'Exp 3.2 modelling'!$T$16:$T$19</c:f>
              <c:numCache>
                <c:formatCode>General</c:formatCode>
                <c:ptCount val="4"/>
                <c:pt idx="0">
                  <c:v>0</c:v>
                </c:pt>
                <c:pt idx="1">
                  <c:v>8</c:v>
                </c:pt>
                <c:pt idx="2">
                  <c:v>24</c:v>
                </c:pt>
                <c:pt idx="3">
                  <c:v>48</c:v>
                </c:pt>
              </c:numCache>
            </c:numRef>
          </c:xVal>
          <c:yVal>
            <c:numRef>
              <c:f>'Exp 3.2 modelling'!$U$16:$U$19</c:f>
              <c:numCache>
                <c:formatCode>0.000</c:formatCode>
                <c:ptCount val="4"/>
                <c:pt idx="0">
                  <c:v>6.3755042016806716</c:v>
                </c:pt>
                <c:pt idx="1">
                  <c:v>5.0649579831932785</c:v>
                </c:pt>
                <c:pt idx="2">
                  <c:v>4.4882855680655069</c:v>
                </c:pt>
                <c:pt idx="3">
                  <c:v>3.7191248720573187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2B-3B4E-9F7F-3F15D1B0EEF9}"/>
            </c:ext>
          </c:extLst>
        </c:ser>
        <c:ser>
          <c:idx val="2"/>
          <c:order val="1"/>
          <c:tx>
            <c:v>11 mM, low HC</c:v>
          </c:tx>
          <c:spPr>
            <a:ln w="952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'Exp 3.2 modelling'!$W$29:$W$32</c:f>
                <c:numCache>
                  <c:formatCode>General</c:formatCode>
                  <c:ptCount val="4"/>
                  <c:pt idx="0">
                    <c:v>0.10309808575698617</c:v>
                  </c:pt>
                  <c:pt idx="1">
                    <c:v>8.4759487495771529E-2</c:v>
                  </c:pt>
                  <c:pt idx="2">
                    <c:v>5.4728976643608249E-2</c:v>
                  </c:pt>
                  <c:pt idx="3">
                    <c:v>9.3936385872438716E-2</c:v>
                  </c:pt>
                </c:numCache>
              </c:numRef>
            </c:plus>
            <c:minus>
              <c:numRef>
                <c:f>'Exp 3.2 modelling'!$W$29:$W$32</c:f>
                <c:numCache>
                  <c:formatCode>General</c:formatCode>
                  <c:ptCount val="4"/>
                  <c:pt idx="0">
                    <c:v>0.10309808575698617</c:v>
                  </c:pt>
                  <c:pt idx="1">
                    <c:v>8.4759487495771529E-2</c:v>
                  </c:pt>
                  <c:pt idx="2">
                    <c:v>5.4728976643608249E-2</c:v>
                  </c:pt>
                  <c:pt idx="3">
                    <c:v>9.3936385872438716E-2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</a:schemeClr>
                </a:solidFill>
                <a:round/>
              </a:ln>
              <a:effectLst/>
            </c:spPr>
          </c:errBars>
          <c:xVal>
            <c:numRef>
              <c:f>'Exp 3.2 modelling'!$T$29:$T$32</c:f>
              <c:numCache>
                <c:formatCode>General</c:formatCode>
                <c:ptCount val="4"/>
                <c:pt idx="0">
                  <c:v>0</c:v>
                </c:pt>
                <c:pt idx="1">
                  <c:v>8</c:v>
                </c:pt>
                <c:pt idx="2">
                  <c:v>24</c:v>
                </c:pt>
                <c:pt idx="3">
                  <c:v>48</c:v>
                </c:pt>
              </c:numCache>
            </c:numRef>
          </c:xVal>
          <c:yVal>
            <c:numRef>
              <c:f>'Exp 3.2 modelling'!$U$29:$U$32</c:f>
              <c:numCache>
                <c:formatCode>0.000</c:formatCode>
                <c:ptCount val="4"/>
                <c:pt idx="0">
                  <c:v>10.737368128817323</c:v>
                </c:pt>
                <c:pt idx="1">
                  <c:v>10.673237090505275</c:v>
                </c:pt>
                <c:pt idx="2">
                  <c:v>9.4504719061480102</c:v>
                </c:pt>
                <c:pt idx="3">
                  <c:v>8.5917791302813793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F2B-3B4E-9F7F-3F15D1B0EE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1060528"/>
        <c:axId val="182523983"/>
      </c:scatterChart>
      <c:valAx>
        <c:axId val="1981060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(hours)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82523983"/>
        <c:crosses val="autoZero"/>
        <c:crossBetween val="midCat"/>
        <c:majorUnit val="8"/>
      </c:valAx>
      <c:valAx>
        <c:axId val="182523983"/>
        <c:scaling>
          <c:orientation val="minMax"/>
          <c:max val="14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Glucose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981060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Glucose,</a:t>
            </a:r>
            <a:r>
              <a:rPr lang="en-US" baseline="0"/>
              <a:t> </a:t>
            </a:r>
            <a:r>
              <a:rPr lang="en-US"/>
              <a:t>Days 13-15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5.5 mM, low HC</c:v>
          </c:tx>
          <c:spPr>
            <a:ln w="952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'Exp 3.2 modelling'!$W$24:$W$28</c:f>
                <c:numCache>
                  <c:formatCode>General</c:formatCode>
                  <c:ptCount val="5"/>
                  <c:pt idx="0">
                    <c:v>5.0122692889029E-2</c:v>
                  </c:pt>
                  <c:pt idx="1">
                    <c:v>8.0523494727470571E-2</c:v>
                  </c:pt>
                  <c:pt idx="2">
                    <c:v>0.67243231491518529</c:v>
                  </c:pt>
                  <c:pt idx="3">
                    <c:v>0.11647515318261381</c:v>
                  </c:pt>
                  <c:pt idx="4">
                    <c:v>0.14435792682021256</c:v>
                  </c:pt>
                </c:numCache>
              </c:numRef>
            </c:plus>
            <c:minus>
              <c:numRef>
                <c:f>'Exp 3.2 modelling'!$W$24:$W$28</c:f>
                <c:numCache>
                  <c:formatCode>General</c:formatCode>
                  <c:ptCount val="5"/>
                  <c:pt idx="0">
                    <c:v>5.0122692889029E-2</c:v>
                  </c:pt>
                  <c:pt idx="1">
                    <c:v>8.0523494727470571E-2</c:v>
                  </c:pt>
                  <c:pt idx="2">
                    <c:v>0.67243231491518529</c:v>
                  </c:pt>
                  <c:pt idx="3">
                    <c:v>0.11647515318261381</c:v>
                  </c:pt>
                  <c:pt idx="4">
                    <c:v>0.14435792682021256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</a:schemeClr>
                </a:solidFill>
                <a:round/>
              </a:ln>
              <a:effectLst/>
            </c:spPr>
          </c:errBars>
          <c:xVal>
            <c:numRef>
              <c:f>'Exp 3.2 modelling'!$T$24:$T$28</c:f>
              <c:numCache>
                <c:formatCode>General</c:formatCode>
                <c:ptCount val="5"/>
                <c:pt idx="0">
                  <c:v>0</c:v>
                </c:pt>
                <c:pt idx="1">
                  <c:v>8</c:v>
                </c:pt>
                <c:pt idx="2">
                  <c:v>24</c:v>
                </c:pt>
                <c:pt idx="3">
                  <c:v>48</c:v>
                </c:pt>
                <c:pt idx="4">
                  <c:v>72</c:v>
                </c:pt>
              </c:numCache>
            </c:numRef>
          </c:xVal>
          <c:yVal>
            <c:numRef>
              <c:f>'Exp 3.2 modelling'!$U$24:$U$28</c:f>
              <c:numCache>
                <c:formatCode>0.000</c:formatCode>
                <c:ptCount val="5"/>
                <c:pt idx="0">
                  <c:v>5.9142187499999999</c:v>
                </c:pt>
                <c:pt idx="1">
                  <c:v>5.0470312499999999</c:v>
                </c:pt>
                <c:pt idx="2">
                  <c:v>5.264031300593631</c:v>
                </c:pt>
                <c:pt idx="3">
                  <c:v>3.8594105261295368</c:v>
                </c:pt>
                <c:pt idx="4">
                  <c:v>3.3431096311475414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9A-FC48-BF6F-FF2F4519389F}"/>
            </c:ext>
          </c:extLst>
        </c:ser>
        <c:ser>
          <c:idx val="2"/>
          <c:order val="1"/>
          <c:tx>
            <c:v>11 mM, low HC</c:v>
          </c:tx>
          <c:spPr>
            <a:ln w="952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'Exp 3.2 modelling'!$W$37:$W$41</c:f>
                <c:numCache>
                  <c:formatCode>General</c:formatCode>
                  <c:ptCount val="5"/>
                  <c:pt idx="0">
                    <c:v>0.11408066965629697</c:v>
                  </c:pt>
                  <c:pt idx="1">
                    <c:v>5.145119467534192E-2</c:v>
                  </c:pt>
                  <c:pt idx="2">
                    <c:v>0.26495458618031748</c:v>
                  </c:pt>
                  <c:pt idx="3">
                    <c:v>0.13158027358986496</c:v>
                  </c:pt>
                  <c:pt idx="4">
                    <c:v>0.18344901018581364</c:v>
                  </c:pt>
                </c:numCache>
              </c:numRef>
            </c:plus>
            <c:minus>
              <c:numRef>
                <c:f>'Exp 3.2 modelling'!$W$37:$W$41</c:f>
                <c:numCache>
                  <c:formatCode>General</c:formatCode>
                  <c:ptCount val="5"/>
                  <c:pt idx="0">
                    <c:v>0.11408066965629697</c:v>
                  </c:pt>
                  <c:pt idx="1">
                    <c:v>5.145119467534192E-2</c:v>
                  </c:pt>
                  <c:pt idx="2">
                    <c:v>0.26495458618031748</c:v>
                  </c:pt>
                  <c:pt idx="3">
                    <c:v>0.13158027358986496</c:v>
                  </c:pt>
                  <c:pt idx="4">
                    <c:v>0.18344901018581364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</a:schemeClr>
                </a:solidFill>
                <a:round/>
              </a:ln>
              <a:effectLst/>
            </c:spPr>
          </c:errBars>
          <c:xVal>
            <c:numRef>
              <c:f>'Exp 3.2 modelling'!$T$37:$T$41</c:f>
              <c:numCache>
                <c:formatCode>General</c:formatCode>
                <c:ptCount val="5"/>
                <c:pt idx="0">
                  <c:v>0</c:v>
                </c:pt>
                <c:pt idx="1">
                  <c:v>8</c:v>
                </c:pt>
                <c:pt idx="2">
                  <c:v>24</c:v>
                </c:pt>
                <c:pt idx="3">
                  <c:v>48</c:v>
                </c:pt>
                <c:pt idx="4">
                  <c:v>72</c:v>
                </c:pt>
              </c:numCache>
            </c:numRef>
          </c:xVal>
          <c:yVal>
            <c:numRef>
              <c:f>'Exp 3.2 modelling'!$U$37:$U$41</c:f>
              <c:numCache>
                <c:formatCode>0.000</c:formatCode>
                <c:ptCount val="5"/>
                <c:pt idx="0">
                  <c:v>10.586187535092645</c:v>
                </c:pt>
                <c:pt idx="1">
                  <c:v>10.714345873104998</c:v>
                </c:pt>
                <c:pt idx="2">
                  <c:v>9.7966781214203884</c:v>
                </c:pt>
                <c:pt idx="3">
                  <c:v>8.204871794871794</c:v>
                </c:pt>
                <c:pt idx="4">
                  <c:v>8.2161538461538459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F9A-FC48-BF6F-FF2F4519389F}"/>
            </c:ext>
          </c:extLst>
        </c:ser>
        <c:ser>
          <c:idx val="4"/>
          <c:order val="2"/>
          <c:tx>
            <c:v>5.5 mM + GTT, low HC</c:v>
          </c:tx>
          <c:spPr>
            <a:ln w="952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'Exp 3.2 modelling'!$W$47:$W$51</c:f>
                <c:numCache>
                  <c:formatCode>General</c:formatCode>
                  <c:ptCount val="5"/>
                  <c:pt idx="0">
                    <c:v>0.13534837076022604</c:v>
                  </c:pt>
                  <c:pt idx="1">
                    <c:v>0.17124403214248601</c:v>
                  </c:pt>
                  <c:pt idx="2">
                    <c:v>3.1644621005176676E-2</c:v>
                  </c:pt>
                  <c:pt idx="3">
                    <c:v>0.39179445120903933</c:v>
                  </c:pt>
                  <c:pt idx="4">
                    <c:v>5.0586089427507835E-2</c:v>
                  </c:pt>
                </c:numCache>
              </c:numRef>
            </c:plus>
            <c:minus>
              <c:numRef>
                <c:f>'Exp 3.2 modelling'!$W$47:$W$51</c:f>
                <c:numCache>
                  <c:formatCode>General</c:formatCode>
                  <c:ptCount val="5"/>
                  <c:pt idx="0">
                    <c:v>0.13534837076022604</c:v>
                  </c:pt>
                  <c:pt idx="1">
                    <c:v>0.17124403214248601</c:v>
                  </c:pt>
                  <c:pt idx="2">
                    <c:v>3.1644621005176676E-2</c:v>
                  </c:pt>
                  <c:pt idx="3">
                    <c:v>0.39179445120903933</c:v>
                  </c:pt>
                  <c:pt idx="4">
                    <c:v>5.0586089427507835E-2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>
                <a:solidFill>
                  <a:schemeClr val="tx2">
                    <a:lumMod val="75000"/>
                  </a:schemeClr>
                </a:solidFill>
                <a:round/>
              </a:ln>
              <a:effectLst/>
            </c:spPr>
          </c:errBars>
          <c:xVal>
            <c:numRef>
              <c:f>'Exp 3.2 modelling'!$T$47:$T$51</c:f>
              <c:numCache>
                <c:formatCode>General</c:formatCode>
                <c:ptCount val="5"/>
                <c:pt idx="0">
                  <c:v>0</c:v>
                </c:pt>
                <c:pt idx="1">
                  <c:v>8</c:v>
                </c:pt>
                <c:pt idx="2">
                  <c:v>24</c:v>
                </c:pt>
                <c:pt idx="3">
                  <c:v>48</c:v>
                </c:pt>
                <c:pt idx="4">
                  <c:v>72</c:v>
                </c:pt>
              </c:numCache>
            </c:numRef>
          </c:xVal>
          <c:yVal>
            <c:numRef>
              <c:f>'Exp 3.2 modelling'!$U$47:$U$51</c:f>
              <c:numCache>
                <c:formatCode>0.000</c:formatCode>
                <c:ptCount val="5"/>
                <c:pt idx="0">
                  <c:v>11.819904548006738</c:v>
                </c:pt>
                <c:pt idx="1">
                  <c:v>10.424059517125212</c:v>
                </c:pt>
                <c:pt idx="2">
                  <c:v>9.8266036655211906</c:v>
                </c:pt>
                <c:pt idx="3">
                  <c:v>8.3779165565248057</c:v>
                </c:pt>
                <c:pt idx="4">
                  <c:v>7.9115384615384619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F9A-FC48-BF6F-FF2F451938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1060528"/>
        <c:axId val="182523983"/>
      </c:scatterChart>
      <c:valAx>
        <c:axId val="1981060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(hours)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82523983"/>
        <c:crosses val="autoZero"/>
        <c:crossBetween val="midCat"/>
        <c:majorUnit val="8"/>
      </c:valAx>
      <c:valAx>
        <c:axId val="182523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Glucose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981060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Insulin,</a:t>
            </a:r>
            <a:r>
              <a:rPr lang="en-US" baseline="0"/>
              <a:t> </a:t>
            </a:r>
            <a:r>
              <a:rPr lang="en-US"/>
              <a:t>Days 1-2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5.5 mM, low HC</c:v>
          </c:tx>
          <c:spPr>
            <a:ln w="952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'Exp 3.2 modelling'!$W$64:$W$67</c:f>
                <c:numCache>
                  <c:formatCode>General</c:formatCode>
                  <c:ptCount val="4"/>
                  <c:pt idx="0">
                    <c:v>14.309105556952181</c:v>
                  </c:pt>
                  <c:pt idx="1">
                    <c:v>6.0545393292966718</c:v>
                  </c:pt>
                  <c:pt idx="2">
                    <c:v>5.519687487530363</c:v>
                  </c:pt>
                  <c:pt idx="3">
                    <c:v>5.0472069345331976</c:v>
                  </c:pt>
                </c:numCache>
              </c:numRef>
            </c:plus>
            <c:minus>
              <c:numRef>
                <c:f>'Exp 3.2 modelling'!$W$64:$W$67</c:f>
                <c:numCache>
                  <c:formatCode>General</c:formatCode>
                  <c:ptCount val="4"/>
                  <c:pt idx="0">
                    <c:v>14.309105556952181</c:v>
                  </c:pt>
                  <c:pt idx="1">
                    <c:v>6.0545393292966718</c:v>
                  </c:pt>
                  <c:pt idx="2">
                    <c:v>5.519687487530363</c:v>
                  </c:pt>
                  <c:pt idx="3">
                    <c:v>5.0472069345331976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</a:schemeClr>
                </a:solidFill>
                <a:round/>
              </a:ln>
              <a:effectLst/>
            </c:spPr>
          </c:errBars>
          <c:xVal>
            <c:numRef>
              <c:f>'Exp 3.2 modelling'!$T$64:$T$67</c:f>
              <c:numCache>
                <c:formatCode>General</c:formatCode>
                <c:ptCount val="4"/>
                <c:pt idx="0">
                  <c:v>0</c:v>
                </c:pt>
                <c:pt idx="1">
                  <c:v>8</c:v>
                </c:pt>
                <c:pt idx="2">
                  <c:v>24</c:v>
                </c:pt>
                <c:pt idx="3">
                  <c:v>48</c:v>
                </c:pt>
              </c:numCache>
            </c:numRef>
          </c:xVal>
          <c:yVal>
            <c:numRef>
              <c:f>'Exp 3.2 modelling'!$U$64:$U$67</c:f>
              <c:numCache>
                <c:formatCode>0.000</c:formatCode>
                <c:ptCount val="4"/>
                <c:pt idx="0">
                  <c:v>39.052200000000006</c:v>
                </c:pt>
                <c:pt idx="1">
                  <c:v>110.54369999999999</c:v>
                </c:pt>
                <c:pt idx="2">
                  <c:v>135.33240000000001</c:v>
                </c:pt>
                <c:pt idx="3">
                  <c:v>170.0538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72-954C-B3F5-FA920810E929}"/>
            </c:ext>
          </c:extLst>
        </c:ser>
        <c:ser>
          <c:idx val="2"/>
          <c:order val="1"/>
          <c:tx>
            <c:v>11 mM, low HC</c:v>
          </c:tx>
          <c:spPr>
            <a:ln w="952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'Exp 3.2 modelling'!$W$82:$W$85</c:f>
                <c:numCache>
                  <c:formatCode>General</c:formatCode>
                  <c:ptCount val="4"/>
                  <c:pt idx="0">
                    <c:v>15.589416283171104</c:v>
                  </c:pt>
                  <c:pt idx="1">
                    <c:v>29.454330591612518</c:v>
                  </c:pt>
                  <c:pt idx="2">
                    <c:v>118.64735034734014</c:v>
                  </c:pt>
                  <c:pt idx="3">
                    <c:v>85.558207671736639</c:v>
                  </c:pt>
                </c:numCache>
              </c:numRef>
            </c:plus>
            <c:minus>
              <c:numRef>
                <c:f>'Exp 3.2 modelling'!$W$82:$W$85</c:f>
                <c:numCache>
                  <c:formatCode>General</c:formatCode>
                  <c:ptCount val="4"/>
                  <c:pt idx="0">
                    <c:v>15.589416283171104</c:v>
                  </c:pt>
                  <c:pt idx="1">
                    <c:v>29.454330591612518</c:v>
                  </c:pt>
                  <c:pt idx="2">
                    <c:v>118.64735034734014</c:v>
                  </c:pt>
                  <c:pt idx="3">
                    <c:v>85.558207671736639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</a:schemeClr>
                </a:solidFill>
                <a:round/>
              </a:ln>
              <a:effectLst/>
            </c:spPr>
          </c:errBars>
          <c:xVal>
            <c:numRef>
              <c:f>'Exp 3.2 modelling'!$T$82:$T$85</c:f>
              <c:numCache>
                <c:formatCode>General</c:formatCode>
                <c:ptCount val="4"/>
                <c:pt idx="0">
                  <c:v>0</c:v>
                </c:pt>
                <c:pt idx="1">
                  <c:v>8</c:v>
                </c:pt>
                <c:pt idx="2">
                  <c:v>24</c:v>
                </c:pt>
                <c:pt idx="3">
                  <c:v>48</c:v>
                </c:pt>
              </c:numCache>
            </c:numRef>
          </c:xVal>
          <c:yVal>
            <c:numRef>
              <c:f>'Exp 3.2 modelling'!$U$82:$U$85</c:f>
              <c:numCache>
                <c:formatCode>0.000</c:formatCode>
                <c:ptCount val="4"/>
                <c:pt idx="0">
                  <c:v>74.345500000000001</c:v>
                </c:pt>
                <c:pt idx="1">
                  <c:v>1150.4930000000002</c:v>
                </c:pt>
                <c:pt idx="2">
                  <c:v>2172.8833333333332</c:v>
                </c:pt>
                <c:pt idx="3">
                  <c:v>2825.91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72-954C-B3F5-FA920810E9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1060528"/>
        <c:axId val="182523983"/>
      </c:scatterChart>
      <c:valAx>
        <c:axId val="1981060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(hours)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82523983"/>
        <c:crosses val="autoZero"/>
        <c:crossBetween val="midCat"/>
        <c:majorUnit val="8"/>
      </c:valAx>
      <c:valAx>
        <c:axId val="182523983"/>
        <c:scaling>
          <c:orientation val="minMax"/>
          <c:max val="400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Insulin (mU/L)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981060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Insulin,</a:t>
            </a:r>
            <a:r>
              <a:rPr lang="en-US" baseline="0"/>
              <a:t> </a:t>
            </a:r>
            <a:r>
              <a:rPr lang="en-US"/>
              <a:t>Days 13-15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5.5 mM, low HC</c:v>
          </c:tx>
          <c:spPr>
            <a:ln w="952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'Exp 3.2 modelling'!$W$77:$W$81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1.7859147982663302</c:v>
                  </c:pt>
                  <c:pt idx="2">
                    <c:v>3.4774547564753928</c:v>
                  </c:pt>
                  <c:pt idx="3">
                    <c:v>7.2326966098406222</c:v>
                  </c:pt>
                  <c:pt idx="4">
                    <c:v>8.0006119140975738</c:v>
                  </c:pt>
                </c:numCache>
              </c:numRef>
            </c:plus>
            <c:minus>
              <c:numRef>
                <c:f>'Exp 3.2 modelling'!$W$77:$W$81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1.7859147982663302</c:v>
                  </c:pt>
                  <c:pt idx="2">
                    <c:v>3.4774547564753928</c:v>
                  </c:pt>
                  <c:pt idx="3">
                    <c:v>7.2326966098406222</c:v>
                  </c:pt>
                  <c:pt idx="4">
                    <c:v>8.0006119140975738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</a:schemeClr>
                </a:solidFill>
                <a:round/>
              </a:ln>
              <a:effectLst/>
            </c:spPr>
          </c:errBars>
          <c:xVal>
            <c:numRef>
              <c:f>'Exp 3.2 modelling'!$T$72:$T$76</c:f>
              <c:numCache>
                <c:formatCode>General</c:formatCode>
                <c:ptCount val="5"/>
                <c:pt idx="0">
                  <c:v>0</c:v>
                </c:pt>
                <c:pt idx="1">
                  <c:v>8</c:v>
                </c:pt>
                <c:pt idx="2">
                  <c:v>24</c:v>
                </c:pt>
                <c:pt idx="3">
                  <c:v>48</c:v>
                </c:pt>
                <c:pt idx="4">
                  <c:v>72</c:v>
                </c:pt>
              </c:numCache>
            </c:numRef>
          </c:xVal>
          <c:yVal>
            <c:numRef>
              <c:f>'Exp 3.2 modelling'!$U$72:$U$76</c:f>
              <c:numCache>
                <c:formatCode>0.000</c:formatCode>
                <c:ptCount val="5"/>
                <c:pt idx="0">
                  <c:v>6.1589999999999998</c:v>
                </c:pt>
                <c:pt idx="1">
                  <c:v>47.273250000000004</c:v>
                </c:pt>
                <c:pt idx="2">
                  <c:v>104.8275</c:v>
                </c:pt>
                <c:pt idx="3">
                  <c:v>142.79</c:v>
                </c:pt>
                <c:pt idx="4">
                  <c:v>166.89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B5-2548-BA55-CE44722B8E25}"/>
            </c:ext>
          </c:extLst>
        </c:ser>
        <c:ser>
          <c:idx val="1"/>
          <c:order val="1"/>
          <c:tx>
            <c:v>5.5 mM, high HC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'Exp 3.2 modelling'!#REF!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'Exp 3.2 modelling'!#REF!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</a:schemeClr>
                </a:solidFill>
                <a:round/>
              </a:ln>
              <a:effectLst/>
            </c:spPr>
          </c:errBars>
          <c:xVal>
            <c:numRef>
              <c:f>'Exp 3.2 modelling'!$T$77:$T$81</c:f>
              <c:numCache>
                <c:formatCode>General</c:formatCode>
                <c:ptCount val="5"/>
                <c:pt idx="0">
                  <c:v>0</c:v>
                </c:pt>
                <c:pt idx="1">
                  <c:v>8</c:v>
                </c:pt>
                <c:pt idx="2">
                  <c:v>24</c:v>
                </c:pt>
                <c:pt idx="3">
                  <c:v>48</c:v>
                </c:pt>
                <c:pt idx="4">
                  <c:v>72</c:v>
                </c:pt>
              </c:numCache>
            </c:numRef>
          </c:xVal>
          <c:yVal>
            <c:numRef>
              <c:f>'Exp 3.2 modelling'!$U$77:$U$81</c:f>
              <c:numCache>
                <c:formatCode>0.000</c:formatCode>
                <c:ptCount val="5"/>
                <c:pt idx="0">
                  <c:v>0</c:v>
                </c:pt>
                <c:pt idx="1">
                  <c:v>6.1590000000000007</c:v>
                </c:pt>
                <c:pt idx="2">
                  <c:v>10.2935</c:v>
                </c:pt>
                <c:pt idx="3">
                  <c:v>18.148499999999999</c:v>
                </c:pt>
                <c:pt idx="4">
                  <c:v>19.551000000000002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BB5-2548-BA55-CE44722B8E25}"/>
            </c:ext>
          </c:extLst>
        </c:ser>
        <c:ser>
          <c:idx val="2"/>
          <c:order val="2"/>
          <c:tx>
            <c:v>11 mM, low HC</c:v>
          </c:tx>
          <c:spPr>
            <a:ln w="952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'Exp 3.2 modelling'!$W$90:$W$94</c:f>
                <c:numCache>
                  <c:formatCode>General</c:formatCode>
                  <c:ptCount val="5"/>
                  <c:pt idx="0">
                    <c:v>7.7830621383874137</c:v>
                  </c:pt>
                  <c:pt idx="1">
                    <c:v>23.586158016938683</c:v>
                  </c:pt>
                  <c:pt idx="2">
                    <c:v>113.22546559805166</c:v>
                  </c:pt>
                  <c:pt idx="3">
                    <c:v>50.366345906765943</c:v>
                  </c:pt>
                  <c:pt idx="4">
                    <c:v>247.33195978953731</c:v>
                  </c:pt>
                </c:numCache>
              </c:numRef>
            </c:plus>
            <c:minus>
              <c:numRef>
                <c:f>'Exp 3.2 modelling'!$W$90:$W$94</c:f>
                <c:numCache>
                  <c:formatCode>General</c:formatCode>
                  <c:ptCount val="5"/>
                  <c:pt idx="0">
                    <c:v>7.7830621383874137</c:v>
                  </c:pt>
                  <c:pt idx="1">
                    <c:v>23.586158016938683</c:v>
                  </c:pt>
                  <c:pt idx="2">
                    <c:v>113.22546559805166</c:v>
                  </c:pt>
                  <c:pt idx="3">
                    <c:v>50.366345906765943</c:v>
                  </c:pt>
                  <c:pt idx="4">
                    <c:v>247.33195978953731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</a:schemeClr>
                </a:solidFill>
                <a:round/>
              </a:ln>
              <a:effectLst/>
            </c:spPr>
          </c:errBars>
          <c:xVal>
            <c:numRef>
              <c:f>'Exp 3.2 modelling'!$T$90:$T$94</c:f>
              <c:numCache>
                <c:formatCode>General</c:formatCode>
                <c:ptCount val="5"/>
                <c:pt idx="0">
                  <c:v>0</c:v>
                </c:pt>
                <c:pt idx="1">
                  <c:v>8</c:v>
                </c:pt>
                <c:pt idx="2">
                  <c:v>24</c:v>
                </c:pt>
                <c:pt idx="3">
                  <c:v>48</c:v>
                </c:pt>
                <c:pt idx="4">
                  <c:v>72</c:v>
                </c:pt>
              </c:numCache>
            </c:numRef>
          </c:xVal>
          <c:yVal>
            <c:numRef>
              <c:f>'Exp 3.2 modelling'!$U$90:$U$94</c:f>
              <c:numCache>
                <c:formatCode>0.000</c:formatCode>
                <c:ptCount val="5"/>
                <c:pt idx="0">
                  <c:v>67.858500000000006</c:v>
                </c:pt>
                <c:pt idx="1">
                  <c:v>726.11</c:v>
                </c:pt>
                <c:pt idx="2">
                  <c:v>1922.2287500000002</c:v>
                </c:pt>
                <c:pt idx="3">
                  <c:v>2444.7799999999997</c:v>
                </c:pt>
                <c:pt idx="4">
                  <c:v>3221.8199999999997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BB5-2548-BA55-CE44722B8E25}"/>
            </c:ext>
          </c:extLst>
        </c:ser>
        <c:ser>
          <c:idx val="4"/>
          <c:order val="3"/>
          <c:tx>
            <c:v>5.5 mM + GTT, low HC</c:v>
          </c:tx>
          <c:spPr>
            <a:ln w="952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'Exp 3.2 modelling'!$W$100:$W$104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8.6307951545613726</c:v>
                  </c:pt>
                  <c:pt idx="2">
                    <c:v>120.06164173734547</c:v>
                  </c:pt>
                  <c:pt idx="3">
                    <c:v>134.50098026284849</c:v>
                  </c:pt>
                  <c:pt idx="4">
                    <c:v>162.20880761126026</c:v>
                  </c:pt>
                </c:numCache>
              </c:numRef>
            </c:plus>
            <c:minus>
              <c:numRef>
                <c:f>'Exp 3.2 modelling'!$W$100:$W$104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8.6307951545613726</c:v>
                  </c:pt>
                  <c:pt idx="2">
                    <c:v>120.06164173734547</c:v>
                  </c:pt>
                  <c:pt idx="3">
                    <c:v>134.50098026284849</c:v>
                  </c:pt>
                  <c:pt idx="4">
                    <c:v>162.20880761126026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>
                <a:solidFill>
                  <a:schemeClr val="tx2">
                    <a:lumMod val="75000"/>
                  </a:schemeClr>
                </a:solidFill>
                <a:round/>
              </a:ln>
              <a:effectLst/>
            </c:spPr>
          </c:errBars>
          <c:xVal>
            <c:numRef>
              <c:f>'Exp 3.2 modelling'!$T$100:$T$104</c:f>
              <c:numCache>
                <c:formatCode>General</c:formatCode>
                <c:ptCount val="5"/>
                <c:pt idx="0">
                  <c:v>0</c:v>
                </c:pt>
                <c:pt idx="1">
                  <c:v>8</c:v>
                </c:pt>
                <c:pt idx="2">
                  <c:v>24</c:v>
                </c:pt>
                <c:pt idx="3">
                  <c:v>48</c:v>
                </c:pt>
                <c:pt idx="4">
                  <c:v>72</c:v>
                </c:pt>
              </c:numCache>
            </c:numRef>
          </c:xVal>
          <c:yVal>
            <c:numRef>
              <c:f>'Exp 3.2 modelling'!$U$100:$U$104</c:f>
              <c:numCache>
                <c:formatCode>0.000</c:formatCode>
                <c:ptCount val="5"/>
                <c:pt idx="0">
                  <c:v>0</c:v>
                </c:pt>
                <c:pt idx="1">
                  <c:v>187.50499999999997</c:v>
                </c:pt>
                <c:pt idx="2">
                  <c:v>1203.26</c:v>
                </c:pt>
                <c:pt idx="3">
                  <c:v>2082.4849999999997</c:v>
                </c:pt>
                <c:pt idx="4">
                  <c:v>2578.14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BB5-2548-BA55-CE44722B8E25}"/>
            </c:ext>
          </c:extLst>
        </c:ser>
        <c:ser>
          <c:idx val="5"/>
          <c:order val="4"/>
          <c:tx>
            <c:v>5.5 mM + GTT, high HC</c:v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prstDash val="dash"/>
                <a:round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'Exp 3.2 modelling'!$W$100:$W$104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8.6307951545613726</c:v>
                  </c:pt>
                  <c:pt idx="2">
                    <c:v>120.06164173734547</c:v>
                  </c:pt>
                  <c:pt idx="3">
                    <c:v>134.50098026284849</c:v>
                  </c:pt>
                  <c:pt idx="4">
                    <c:v>162.20880761126026</c:v>
                  </c:pt>
                </c:numCache>
              </c:numRef>
            </c:plus>
            <c:minus>
              <c:numRef>
                <c:f>'Exp 3.2 modelling'!$W$100:$W$104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8.6307951545613726</c:v>
                  </c:pt>
                  <c:pt idx="2">
                    <c:v>120.06164173734547</c:v>
                  </c:pt>
                  <c:pt idx="3">
                    <c:v>134.50098026284849</c:v>
                  </c:pt>
                  <c:pt idx="4">
                    <c:v>162.20880761126026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>
                <a:solidFill>
                  <a:schemeClr val="tx2">
                    <a:lumMod val="75000"/>
                  </a:schemeClr>
                </a:solidFill>
                <a:round/>
              </a:ln>
              <a:effectLst/>
            </c:spPr>
          </c:errBars>
          <c:xVal>
            <c:numRef>
              <c:f>'Exp 3.2 modelling'!$T$105:$T$109</c:f>
              <c:numCache>
                <c:formatCode>General</c:formatCode>
                <c:ptCount val="5"/>
                <c:pt idx="0">
                  <c:v>0</c:v>
                </c:pt>
                <c:pt idx="1">
                  <c:v>8</c:v>
                </c:pt>
                <c:pt idx="2">
                  <c:v>24</c:v>
                </c:pt>
                <c:pt idx="3">
                  <c:v>48</c:v>
                </c:pt>
                <c:pt idx="4">
                  <c:v>72</c:v>
                </c:pt>
              </c:numCache>
            </c:numRef>
          </c:xVal>
          <c:yVal>
            <c:numRef>
              <c:f>'Exp 3.2 modelling'!$U$105:$U$109</c:f>
              <c:numCache>
                <c:formatCode>0.000</c:formatCode>
                <c:ptCount val="5"/>
                <c:pt idx="0">
                  <c:v>0</c:v>
                </c:pt>
                <c:pt idx="1">
                  <c:v>9.6593333333333344</c:v>
                </c:pt>
                <c:pt idx="2">
                  <c:v>27.220500000000001</c:v>
                </c:pt>
                <c:pt idx="3">
                  <c:v>63.64425</c:v>
                </c:pt>
                <c:pt idx="4">
                  <c:v>89.013000000000005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BB5-2548-BA55-CE44722B8E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1060528"/>
        <c:axId val="182523983"/>
      </c:scatterChart>
      <c:valAx>
        <c:axId val="1981060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(hours)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82523983"/>
        <c:crosses val="autoZero"/>
        <c:crossBetween val="midCat"/>
        <c:majorUnit val="8"/>
      </c:valAx>
      <c:valAx>
        <c:axId val="182523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Insulin (mU/L)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981060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Insulin,</a:t>
            </a:r>
            <a:r>
              <a:rPr lang="en-US" baseline="0"/>
              <a:t> </a:t>
            </a:r>
            <a:r>
              <a:rPr lang="en-US"/>
              <a:t>Days 1-3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SE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11 mM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'Insulin_Plate 1'!$S$62:$S$65</c:f>
                <c:numCache>
                  <c:formatCode>General</c:formatCode>
                  <c:ptCount val="4"/>
                  <c:pt idx="0">
                    <c:v>13.623776290612918</c:v>
                  </c:pt>
                  <c:pt idx="1">
                    <c:v>41.232657036019418</c:v>
                  </c:pt>
                  <c:pt idx="2">
                    <c:v>22.736819201370992</c:v>
                  </c:pt>
                  <c:pt idx="3">
                    <c:v>14.897465301044789</c:v>
                  </c:pt>
                </c:numCache>
              </c:numRef>
            </c:plus>
            <c:minus>
              <c:numRef>
                <c:f>'Insulin_Plate 1'!$S$62:$S$65</c:f>
                <c:numCache>
                  <c:formatCode>General</c:formatCode>
                  <c:ptCount val="4"/>
                  <c:pt idx="0">
                    <c:v>13.623776290612918</c:v>
                  </c:pt>
                  <c:pt idx="1">
                    <c:v>41.232657036019418</c:v>
                  </c:pt>
                  <c:pt idx="2">
                    <c:v>22.736819201370992</c:v>
                  </c:pt>
                  <c:pt idx="3">
                    <c:v>14.897465301044789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>
                <a:solidFill>
                  <a:schemeClr val="tx2">
                    <a:lumMod val="75000"/>
                  </a:schemeClr>
                </a:solidFill>
                <a:round/>
              </a:ln>
              <a:effectLst/>
            </c:spPr>
          </c:errBars>
          <c:xVal>
            <c:numRef>
              <c:f>'Insulin_Plate 1'!$P$70:$P$73</c:f>
              <c:numCache>
                <c:formatCode>General</c:formatCode>
                <c:ptCount val="4"/>
                <c:pt idx="0">
                  <c:v>0</c:v>
                </c:pt>
                <c:pt idx="1">
                  <c:v>8</c:v>
                </c:pt>
                <c:pt idx="2">
                  <c:v>24</c:v>
                </c:pt>
                <c:pt idx="3">
                  <c:v>47.9</c:v>
                </c:pt>
              </c:numCache>
            </c:numRef>
          </c:xVal>
          <c:yVal>
            <c:numRef>
              <c:f>'Insulin_Plate 1'!$Q$70:$Q$73</c:f>
              <c:numCache>
                <c:formatCode>0.000</c:formatCode>
                <c:ptCount val="4"/>
                <c:pt idx="0">
                  <c:v>131.102</c:v>
                </c:pt>
                <c:pt idx="1">
                  <c:v>537.25</c:v>
                </c:pt>
                <c:pt idx="2">
                  <c:v>1028.625</c:v>
                </c:pt>
                <c:pt idx="3">
                  <c:v>1037.26875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51-F842-90E9-C711CAA4EB59}"/>
            </c:ext>
          </c:extLst>
        </c:ser>
        <c:ser>
          <c:idx val="0"/>
          <c:order val="1"/>
          <c:tx>
            <c:v>5.5 mM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'Insulin_Plate 1'!$S$62:$S$65</c:f>
                <c:numCache>
                  <c:formatCode>General</c:formatCode>
                  <c:ptCount val="4"/>
                  <c:pt idx="0">
                    <c:v>13.623776290612918</c:v>
                  </c:pt>
                  <c:pt idx="1">
                    <c:v>41.232657036019418</c:v>
                  </c:pt>
                  <c:pt idx="2">
                    <c:v>22.736819201370992</c:v>
                  </c:pt>
                  <c:pt idx="3">
                    <c:v>14.897465301044789</c:v>
                  </c:pt>
                </c:numCache>
              </c:numRef>
            </c:plus>
            <c:minus>
              <c:numRef>
                <c:f>'Insulin_Plate 1'!$S$62:$S$65</c:f>
                <c:numCache>
                  <c:formatCode>General</c:formatCode>
                  <c:ptCount val="4"/>
                  <c:pt idx="0">
                    <c:v>13.623776290612918</c:v>
                  </c:pt>
                  <c:pt idx="1">
                    <c:v>41.232657036019418</c:v>
                  </c:pt>
                  <c:pt idx="2">
                    <c:v>22.736819201370992</c:v>
                  </c:pt>
                  <c:pt idx="3">
                    <c:v>14.897465301044789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</a:schemeClr>
                </a:solidFill>
                <a:round/>
              </a:ln>
              <a:effectLst/>
            </c:spPr>
          </c:errBars>
          <c:xVal>
            <c:numRef>
              <c:f>'Insulin_Plate 1'!$P$62:$P$65</c:f>
              <c:numCache>
                <c:formatCode>General</c:formatCode>
                <c:ptCount val="4"/>
                <c:pt idx="0">
                  <c:v>0</c:v>
                </c:pt>
                <c:pt idx="1">
                  <c:v>8</c:v>
                </c:pt>
                <c:pt idx="2">
                  <c:v>24</c:v>
                </c:pt>
                <c:pt idx="3">
                  <c:v>47.9</c:v>
                </c:pt>
              </c:numCache>
            </c:numRef>
          </c:xVal>
          <c:yVal>
            <c:numRef>
              <c:f>'Insulin_Plate 1'!$Q$62:$Q$65</c:f>
              <c:numCache>
                <c:formatCode>General</c:formatCode>
                <c:ptCount val="4"/>
                <c:pt idx="0">
                  <c:v>47.729500000000002</c:v>
                </c:pt>
                <c:pt idx="1">
                  <c:v>116.59749999999998</c:v>
                </c:pt>
                <c:pt idx="2" formatCode="0.000">
                  <c:v>87.336250000000007</c:v>
                </c:pt>
                <c:pt idx="3" formatCode="0.000">
                  <c:v>64.223749999999995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51-F842-90E9-C711CAA4EB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1060528"/>
        <c:axId val="182523983"/>
      </c:scatterChart>
      <c:valAx>
        <c:axId val="1981060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(hours)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82523983"/>
        <c:crosses val="autoZero"/>
        <c:crossBetween val="midCat"/>
        <c:majorUnit val="8"/>
      </c:valAx>
      <c:valAx>
        <c:axId val="182523983"/>
        <c:scaling>
          <c:orientation val="minMax"/>
          <c:max val="120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Glucose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981060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Insulin,</a:t>
            </a:r>
            <a:r>
              <a:rPr lang="en-US" baseline="0"/>
              <a:t> </a:t>
            </a:r>
            <a:r>
              <a:rPr lang="en-US"/>
              <a:t>Days 13-15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SE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11 mM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  <a:round/>
                </a:ln>
                <a:effectLst/>
              </c:spPr>
            </c:marker>
            <c:bubble3D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8690-D34C-8DA5-1723CBFF6392}"/>
              </c:ext>
            </c:extLst>
          </c:dPt>
          <c:dPt>
            <c:idx val="1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  <a:round/>
                </a:ln>
                <a:effectLst/>
              </c:spPr>
            </c:marker>
            <c:bubble3D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8690-D34C-8DA5-1723CBFF6392}"/>
              </c:ext>
            </c:extLst>
          </c:dPt>
          <c:errBars>
            <c:errDir val="y"/>
            <c:errBarType val="both"/>
            <c:errValType val="cust"/>
            <c:noEndCap val="0"/>
            <c:plus>
              <c:numRef>
                <c:f>Glucose!$T$73:$T$76</c:f>
                <c:numCache>
                  <c:formatCode>General</c:formatCode>
                  <c:ptCount val="4"/>
                  <c:pt idx="0">
                    <c:v>0.24090769108727111</c:v>
                  </c:pt>
                  <c:pt idx="1">
                    <c:v>0.45105589084576486</c:v>
                  </c:pt>
                  <c:pt idx="2">
                    <c:v>0.28153159976575726</c:v>
                  </c:pt>
                  <c:pt idx="3">
                    <c:v>0.3638150571833621</c:v>
                  </c:pt>
                </c:numCache>
              </c:numRef>
            </c:plus>
            <c:minus>
              <c:numRef>
                <c:f>Glucose!$T$73:$T$76</c:f>
                <c:numCache>
                  <c:formatCode>General</c:formatCode>
                  <c:ptCount val="4"/>
                  <c:pt idx="0">
                    <c:v>0.24090769108727111</c:v>
                  </c:pt>
                  <c:pt idx="1">
                    <c:v>0.45105589084576486</c:v>
                  </c:pt>
                  <c:pt idx="2">
                    <c:v>0.28153159976575726</c:v>
                  </c:pt>
                  <c:pt idx="3">
                    <c:v>0.3638150571833621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>
                <a:solidFill>
                  <a:schemeClr val="tx2">
                    <a:lumMod val="75000"/>
                  </a:schemeClr>
                </a:solidFill>
                <a:round/>
              </a:ln>
              <a:effectLst/>
            </c:spPr>
          </c:errBars>
          <c:xVal>
            <c:numRef>
              <c:f>'Insulin_Plate 1'!$P$70:$P$73</c:f>
              <c:numCache>
                <c:formatCode>General</c:formatCode>
                <c:ptCount val="4"/>
                <c:pt idx="0">
                  <c:v>0</c:v>
                </c:pt>
                <c:pt idx="1">
                  <c:v>8</c:v>
                </c:pt>
                <c:pt idx="2">
                  <c:v>24</c:v>
                </c:pt>
                <c:pt idx="3">
                  <c:v>47.9</c:v>
                </c:pt>
              </c:numCache>
            </c:numRef>
          </c:xVal>
          <c:yVal>
            <c:numRef>
              <c:f>'Insulin_Plate 1'!$Q$74:$Q$77</c:f>
              <c:numCache>
                <c:formatCode>0.000</c:formatCode>
                <c:ptCount val="4"/>
                <c:pt idx="0">
                  <c:v>9.5385000000000009</c:v>
                </c:pt>
                <c:pt idx="1">
                  <c:v>45.728124999999999</c:v>
                </c:pt>
                <c:pt idx="2">
                  <c:v>71.828125</c:v>
                </c:pt>
                <c:pt idx="3">
                  <c:v>74.418749999999989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690-D34C-8DA5-1723CBFF6392}"/>
            </c:ext>
          </c:extLst>
        </c:ser>
        <c:ser>
          <c:idx val="0"/>
          <c:order val="1"/>
          <c:tx>
            <c:v>5.5 mM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Glucose!$T$69:$T$72</c:f>
                <c:numCache>
                  <c:formatCode>General</c:formatCode>
                  <c:ptCount val="4"/>
                  <c:pt idx="0">
                    <c:v>6.6178000708526641E-2</c:v>
                  </c:pt>
                  <c:pt idx="1">
                    <c:v>0.12746282137679726</c:v>
                  </c:pt>
                  <c:pt idx="2">
                    <c:v>3.4956744103725214E-2</c:v>
                  </c:pt>
                  <c:pt idx="3">
                    <c:v>6.3150283715382796E-2</c:v>
                  </c:pt>
                </c:numCache>
              </c:numRef>
            </c:plus>
            <c:minus>
              <c:numRef>
                <c:f>Glucose!$T$69:$T$72</c:f>
                <c:numCache>
                  <c:formatCode>General</c:formatCode>
                  <c:ptCount val="4"/>
                  <c:pt idx="0">
                    <c:v>6.6178000708526641E-2</c:v>
                  </c:pt>
                  <c:pt idx="1">
                    <c:v>0.12746282137679726</c:v>
                  </c:pt>
                  <c:pt idx="2">
                    <c:v>3.4956744103725214E-2</c:v>
                  </c:pt>
                  <c:pt idx="3">
                    <c:v>6.3150283715382796E-2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</a:schemeClr>
                </a:solidFill>
                <a:round/>
              </a:ln>
              <a:effectLst/>
            </c:spPr>
          </c:errBars>
          <c:xVal>
            <c:numRef>
              <c:f>'Insulin_Plate 1'!$P$62:$P$65</c:f>
              <c:numCache>
                <c:formatCode>General</c:formatCode>
                <c:ptCount val="4"/>
                <c:pt idx="0">
                  <c:v>0</c:v>
                </c:pt>
                <c:pt idx="1">
                  <c:v>8</c:v>
                </c:pt>
                <c:pt idx="2">
                  <c:v>24</c:v>
                </c:pt>
                <c:pt idx="3">
                  <c:v>47.9</c:v>
                </c:pt>
              </c:numCache>
            </c:numRef>
          </c:xVal>
          <c:yVal>
            <c:numRef>
              <c:f>'Insulin_Plate 1'!$Q$66:$Q$69</c:f>
              <c:numCache>
                <c:formatCode>General</c:formatCode>
                <c:ptCount val="4"/>
                <c:pt idx="0">
                  <c:v>9.3759999999999994</c:v>
                </c:pt>
                <c:pt idx="1">
                  <c:v>19.765000000000001</c:v>
                </c:pt>
                <c:pt idx="2">
                  <c:v>19.6675</c:v>
                </c:pt>
                <c:pt idx="3" formatCode="0.000">
                  <c:v>11.656666666666666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690-D34C-8DA5-1723CBFF63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1060528"/>
        <c:axId val="182523983"/>
      </c:scatterChart>
      <c:valAx>
        <c:axId val="1981060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(hours)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82523983"/>
        <c:crosses val="autoZero"/>
        <c:crossBetween val="midCat"/>
        <c:majorUnit val="8"/>
      </c:valAx>
      <c:valAx>
        <c:axId val="182523983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Glucose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981060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Insulin,</a:t>
            </a:r>
            <a:r>
              <a:rPr lang="en-US" baseline="0"/>
              <a:t> </a:t>
            </a:r>
            <a:r>
              <a:rPr lang="en-US"/>
              <a:t>Days 1-3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SE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11 mM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Glucose!$T$73:$T$76</c:f>
                <c:numCache>
                  <c:formatCode>General</c:formatCode>
                  <c:ptCount val="4"/>
                  <c:pt idx="0">
                    <c:v>0.24090769108727111</c:v>
                  </c:pt>
                  <c:pt idx="1">
                    <c:v>0.45105589084576486</c:v>
                  </c:pt>
                  <c:pt idx="2">
                    <c:v>0.28153159976575726</c:v>
                  </c:pt>
                  <c:pt idx="3">
                    <c:v>0.3638150571833621</c:v>
                  </c:pt>
                </c:numCache>
              </c:numRef>
            </c:plus>
            <c:minus>
              <c:numRef>
                <c:f>Glucose!$T$73:$T$76</c:f>
                <c:numCache>
                  <c:formatCode>General</c:formatCode>
                  <c:ptCount val="4"/>
                  <c:pt idx="0">
                    <c:v>0.24090769108727111</c:v>
                  </c:pt>
                  <c:pt idx="1">
                    <c:v>0.45105589084576486</c:v>
                  </c:pt>
                  <c:pt idx="2">
                    <c:v>0.28153159976575726</c:v>
                  </c:pt>
                  <c:pt idx="3">
                    <c:v>0.3638150571833621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>
                <a:solidFill>
                  <a:schemeClr val="tx2">
                    <a:lumMod val="75000"/>
                  </a:schemeClr>
                </a:solidFill>
                <a:round/>
              </a:ln>
              <a:effectLst/>
            </c:spPr>
          </c:errBars>
          <c:xVal>
            <c:numRef>
              <c:f>'Insulin_Plate 2'!$P$69:$P$71</c:f>
              <c:numCache>
                <c:formatCode>General</c:formatCode>
                <c:ptCount val="3"/>
                <c:pt idx="0">
                  <c:v>8</c:v>
                </c:pt>
                <c:pt idx="1">
                  <c:v>24</c:v>
                </c:pt>
                <c:pt idx="2">
                  <c:v>47.9</c:v>
                </c:pt>
              </c:numCache>
            </c:numRef>
          </c:xVal>
          <c:yVal>
            <c:numRef>
              <c:f>'Insulin_Plate 2'!$Q$69:$Q$71</c:f>
              <c:numCache>
                <c:formatCode>0.000</c:formatCode>
                <c:ptCount val="3"/>
                <c:pt idx="0">
                  <c:v>508.46875</c:v>
                </c:pt>
                <c:pt idx="1">
                  <c:v>900.15875000000005</c:v>
                </c:pt>
                <c:pt idx="2">
                  <c:v>867.66374999999994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C0-0248-ADBF-5687EEA3BC70}"/>
            </c:ext>
          </c:extLst>
        </c:ser>
        <c:ser>
          <c:idx val="0"/>
          <c:order val="1"/>
          <c:tx>
            <c:v>5.5 mM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Glucose!$T$69:$T$72</c:f>
                <c:numCache>
                  <c:formatCode>General</c:formatCode>
                  <c:ptCount val="4"/>
                  <c:pt idx="0">
                    <c:v>6.6178000708526641E-2</c:v>
                  </c:pt>
                  <c:pt idx="1">
                    <c:v>0.12746282137679726</c:v>
                  </c:pt>
                  <c:pt idx="2">
                    <c:v>3.4956744103725214E-2</c:v>
                  </c:pt>
                  <c:pt idx="3">
                    <c:v>6.3150283715382796E-2</c:v>
                  </c:pt>
                </c:numCache>
              </c:numRef>
            </c:plus>
            <c:minus>
              <c:numRef>
                <c:f>Glucose!$T$69:$T$72</c:f>
                <c:numCache>
                  <c:formatCode>General</c:formatCode>
                  <c:ptCount val="4"/>
                  <c:pt idx="0">
                    <c:v>6.6178000708526641E-2</c:v>
                  </c:pt>
                  <c:pt idx="1">
                    <c:v>0.12746282137679726</c:v>
                  </c:pt>
                  <c:pt idx="2">
                    <c:v>3.4956744103725214E-2</c:v>
                  </c:pt>
                  <c:pt idx="3">
                    <c:v>6.3150283715382796E-2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</a:schemeClr>
                </a:solidFill>
                <a:round/>
              </a:ln>
              <a:effectLst/>
            </c:spPr>
          </c:errBars>
          <c:xVal>
            <c:numRef>
              <c:f>'Insulin_Plate 2'!$P$61:$P$63</c:f>
              <c:numCache>
                <c:formatCode>General</c:formatCode>
                <c:ptCount val="3"/>
                <c:pt idx="0">
                  <c:v>8</c:v>
                </c:pt>
                <c:pt idx="1">
                  <c:v>24</c:v>
                </c:pt>
                <c:pt idx="2">
                  <c:v>47.9</c:v>
                </c:pt>
              </c:numCache>
            </c:numRef>
          </c:xVal>
          <c:yVal>
            <c:numRef>
              <c:f>'Insulin_Plate 2'!$Q$61:$Q$63</c:f>
              <c:numCache>
                <c:formatCode>0.000</c:formatCode>
                <c:ptCount val="3"/>
                <c:pt idx="0" formatCode="General">
                  <c:v>129.03749999999999</c:v>
                </c:pt>
                <c:pt idx="1">
                  <c:v>97.070000000000007</c:v>
                </c:pt>
                <c:pt idx="2">
                  <c:v>81.801249999999996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4C0-0248-ADBF-5687EEA3BC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1060528"/>
        <c:axId val="182523983"/>
      </c:scatterChart>
      <c:valAx>
        <c:axId val="1981060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(hours)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82523983"/>
        <c:crosses val="autoZero"/>
        <c:crossBetween val="midCat"/>
        <c:majorUnit val="8"/>
      </c:valAx>
      <c:valAx>
        <c:axId val="182523983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Glucose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981060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Insulin,</a:t>
            </a:r>
            <a:r>
              <a:rPr lang="en-US" baseline="0"/>
              <a:t> </a:t>
            </a:r>
            <a:r>
              <a:rPr lang="en-US"/>
              <a:t>Days 13-15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SE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11 mM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  <a:round/>
                </a:ln>
                <a:effectLst/>
              </c:spPr>
            </c:marker>
            <c:bubble3D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9F0A-1641-BE26-133BA2A69451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  <a:round/>
                </a:ln>
                <a:effectLst/>
              </c:spPr>
            </c:marker>
            <c:bubble3D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9F0A-1641-BE26-133BA2A69451}"/>
              </c:ext>
            </c:extLst>
          </c:dPt>
          <c:errBars>
            <c:errDir val="y"/>
            <c:errBarType val="both"/>
            <c:errValType val="cust"/>
            <c:noEndCap val="0"/>
            <c:plus>
              <c:numRef>
                <c:f>Glucose!$T$73:$T$76</c:f>
                <c:numCache>
                  <c:formatCode>General</c:formatCode>
                  <c:ptCount val="4"/>
                  <c:pt idx="0">
                    <c:v>0.24090769108727111</c:v>
                  </c:pt>
                  <c:pt idx="1">
                    <c:v>0.45105589084576486</c:v>
                  </c:pt>
                  <c:pt idx="2">
                    <c:v>0.28153159976575726</c:v>
                  </c:pt>
                  <c:pt idx="3">
                    <c:v>0.3638150571833621</c:v>
                  </c:pt>
                </c:numCache>
              </c:numRef>
            </c:plus>
            <c:minus>
              <c:numRef>
                <c:f>Glucose!$T$73:$T$76</c:f>
                <c:numCache>
                  <c:formatCode>General</c:formatCode>
                  <c:ptCount val="4"/>
                  <c:pt idx="0">
                    <c:v>0.24090769108727111</c:v>
                  </c:pt>
                  <c:pt idx="1">
                    <c:v>0.45105589084576486</c:v>
                  </c:pt>
                  <c:pt idx="2">
                    <c:v>0.28153159976575726</c:v>
                  </c:pt>
                  <c:pt idx="3">
                    <c:v>0.3638150571833621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>
                <a:solidFill>
                  <a:schemeClr val="tx2">
                    <a:lumMod val="75000"/>
                  </a:schemeClr>
                </a:solidFill>
                <a:round/>
              </a:ln>
              <a:effectLst/>
            </c:spPr>
          </c:errBars>
          <c:xVal>
            <c:numRef>
              <c:f>'Insulin_Plate 2'!$P$69:$P$71</c:f>
              <c:numCache>
                <c:formatCode>General</c:formatCode>
                <c:ptCount val="3"/>
                <c:pt idx="0">
                  <c:v>8</c:v>
                </c:pt>
                <c:pt idx="1">
                  <c:v>24</c:v>
                </c:pt>
                <c:pt idx="2">
                  <c:v>47.9</c:v>
                </c:pt>
              </c:numCache>
            </c:numRef>
          </c:xVal>
          <c:yVal>
            <c:numRef>
              <c:f>'Insulin_Plate 2'!$Q$73:$Q$75</c:f>
              <c:numCache>
                <c:formatCode>0.000</c:formatCode>
                <c:ptCount val="3"/>
                <c:pt idx="0">
                  <c:v>38.022500000000001</c:v>
                </c:pt>
                <c:pt idx="1">
                  <c:v>51.306249999999999</c:v>
                </c:pt>
                <c:pt idx="2">
                  <c:v>56.092500000000001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F0A-1641-BE26-133BA2A69451}"/>
            </c:ext>
          </c:extLst>
        </c:ser>
        <c:ser>
          <c:idx val="0"/>
          <c:order val="1"/>
          <c:tx>
            <c:v>5.5 mM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Glucose!$T$69:$T$72</c:f>
                <c:numCache>
                  <c:formatCode>General</c:formatCode>
                  <c:ptCount val="4"/>
                  <c:pt idx="0">
                    <c:v>6.6178000708526641E-2</c:v>
                  </c:pt>
                  <c:pt idx="1">
                    <c:v>0.12746282137679726</c:v>
                  </c:pt>
                  <c:pt idx="2">
                    <c:v>3.4956744103725214E-2</c:v>
                  </c:pt>
                  <c:pt idx="3">
                    <c:v>6.3150283715382796E-2</c:v>
                  </c:pt>
                </c:numCache>
              </c:numRef>
            </c:plus>
            <c:minus>
              <c:numRef>
                <c:f>Glucose!$T$69:$T$72</c:f>
                <c:numCache>
                  <c:formatCode>General</c:formatCode>
                  <c:ptCount val="4"/>
                  <c:pt idx="0">
                    <c:v>6.6178000708526641E-2</c:v>
                  </c:pt>
                  <c:pt idx="1">
                    <c:v>0.12746282137679726</c:v>
                  </c:pt>
                  <c:pt idx="2">
                    <c:v>3.4956744103725214E-2</c:v>
                  </c:pt>
                  <c:pt idx="3">
                    <c:v>6.3150283715382796E-2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</a:schemeClr>
                </a:solidFill>
                <a:round/>
              </a:ln>
              <a:effectLst/>
            </c:spPr>
          </c:errBars>
          <c:xVal>
            <c:numRef>
              <c:f>'Insulin_Plate 2'!$P$60:$P$63</c:f>
              <c:numCache>
                <c:formatCode>General</c:formatCode>
                <c:ptCount val="4"/>
                <c:pt idx="0">
                  <c:v>0</c:v>
                </c:pt>
                <c:pt idx="1">
                  <c:v>8</c:v>
                </c:pt>
                <c:pt idx="2">
                  <c:v>24</c:v>
                </c:pt>
                <c:pt idx="3">
                  <c:v>47.9</c:v>
                </c:pt>
              </c:numCache>
            </c:numRef>
          </c:xVal>
          <c:yVal>
            <c:numRef>
              <c:f>'Insulin_Plate 2'!$Q$64:$Q$67</c:f>
              <c:numCache>
                <c:formatCode>General</c:formatCode>
                <c:ptCount val="4"/>
                <c:pt idx="0">
                  <c:v>53.104999999999997</c:v>
                </c:pt>
                <c:pt idx="1">
                  <c:v>30.669999999999998</c:v>
                </c:pt>
                <c:pt idx="2">
                  <c:v>26.576249999999998</c:v>
                </c:pt>
                <c:pt idx="3" formatCode="0.000">
                  <c:v>32.128750000000004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F0A-1641-BE26-133BA2A694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1060528"/>
        <c:axId val="182523983"/>
      </c:scatterChart>
      <c:valAx>
        <c:axId val="1981060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(hours)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82523983"/>
        <c:crosses val="autoZero"/>
        <c:crossBetween val="midCat"/>
        <c:majorUnit val="8"/>
      </c:valAx>
      <c:valAx>
        <c:axId val="182523983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Glucose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981060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Day 13, GTT + Dose</a:t>
            </a:r>
            <a:r>
              <a:rPr lang="en-US" b="1" baseline="0"/>
              <a:t> A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11 mM</c:v>
          </c:tx>
          <c:errBars>
            <c:errDir val="y"/>
            <c:errBarType val="both"/>
            <c:errValType val="cust"/>
            <c:noEndCap val="0"/>
            <c:plus>
              <c:numRef>
                <c:f>Summary_doseA_B!$F$14:$F$18</c:f>
                <c:numCache>
                  <c:formatCode>General</c:formatCode>
                  <c:ptCount val="5"/>
                  <c:pt idx="0">
                    <c:v>2.5447476772247599E-2</c:v>
                  </c:pt>
                  <c:pt idx="1">
                    <c:v>0.27223611075682069</c:v>
                  </c:pt>
                  <c:pt idx="2">
                    <c:v>0.2678716870830895</c:v>
                  </c:pt>
                  <c:pt idx="3">
                    <c:v>9.52627944162893E-3</c:v>
                  </c:pt>
                  <c:pt idx="4">
                    <c:v>0.33451509958722636</c:v>
                  </c:pt>
                </c:numCache>
              </c:numRef>
            </c:plus>
            <c:minus>
              <c:numRef>
                <c:f>Summary_doseA_B!$F$14:$F$18</c:f>
                <c:numCache>
                  <c:formatCode>General</c:formatCode>
                  <c:ptCount val="5"/>
                  <c:pt idx="0">
                    <c:v>2.5447476772247599E-2</c:v>
                  </c:pt>
                  <c:pt idx="1">
                    <c:v>0.27223611075682069</c:v>
                  </c:pt>
                  <c:pt idx="2">
                    <c:v>0.2678716870830895</c:v>
                  </c:pt>
                  <c:pt idx="3">
                    <c:v>9.52627944162893E-3</c:v>
                  </c:pt>
                  <c:pt idx="4">
                    <c:v>0.33451509958722636</c:v>
                  </c:pt>
                </c:numCache>
              </c:numRef>
            </c:minus>
          </c:errBars>
          <c:xVal>
            <c:numRef>
              <c:f>Summary_doseA_B!$C$14:$C$18</c:f>
              <c:numCache>
                <c:formatCode>General</c:formatCode>
                <c:ptCount val="5"/>
                <c:pt idx="0">
                  <c:v>0</c:v>
                </c:pt>
                <c:pt idx="1">
                  <c:v>6</c:v>
                </c:pt>
                <c:pt idx="2">
                  <c:v>24</c:v>
                </c:pt>
                <c:pt idx="3">
                  <c:v>48</c:v>
                </c:pt>
                <c:pt idx="4">
                  <c:v>72</c:v>
                </c:pt>
              </c:numCache>
            </c:numRef>
          </c:xVal>
          <c:yVal>
            <c:numRef>
              <c:f>Summary_doseA_B!$D$14:$D$18</c:f>
              <c:numCache>
                <c:formatCode>General</c:formatCode>
                <c:ptCount val="5"/>
                <c:pt idx="0">
                  <c:v>10.220833333333333</c:v>
                </c:pt>
                <c:pt idx="1">
                  <c:v>12.133000000000001</c:v>
                </c:pt>
                <c:pt idx="2">
                  <c:v>8.4828333333333337</c:v>
                </c:pt>
                <c:pt idx="3">
                  <c:v>7.6669999999999998</c:v>
                </c:pt>
                <c:pt idx="4">
                  <c:v>6.5541666666666671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2A-F54C-AA34-C13694A0615D}"/>
            </c:ext>
          </c:extLst>
        </c:ser>
        <c:ser>
          <c:idx val="1"/>
          <c:order val="1"/>
          <c:tx>
            <c:v>5.5 mM</c:v>
          </c:tx>
          <c:errBars>
            <c:errDir val="y"/>
            <c:errBarType val="both"/>
            <c:errValType val="cust"/>
            <c:noEndCap val="0"/>
            <c:plus>
              <c:numRef>
                <c:f>Summary_doseA_B!$F$4:$F$8</c:f>
                <c:numCache>
                  <c:formatCode>General</c:formatCode>
                  <c:ptCount val="5"/>
                  <c:pt idx="0">
                    <c:v>0.11938740240013539</c:v>
                  </c:pt>
                  <c:pt idx="1">
                    <c:v>0.63829651830582101</c:v>
                  </c:pt>
                  <c:pt idx="2">
                    <c:v>0.29879771430530377</c:v>
                  </c:pt>
                  <c:pt idx="3">
                    <c:v>0.19379642812899212</c:v>
                  </c:pt>
                  <c:pt idx="4">
                    <c:v>0.37113417260348619</c:v>
                  </c:pt>
                </c:numCache>
              </c:numRef>
            </c:plus>
            <c:minus>
              <c:numRef>
                <c:f>Summary_doseA_B!$F$4:$F$8</c:f>
                <c:numCache>
                  <c:formatCode>General</c:formatCode>
                  <c:ptCount val="5"/>
                  <c:pt idx="0">
                    <c:v>0.11938740240013539</c:v>
                  </c:pt>
                  <c:pt idx="1">
                    <c:v>0.63829651830582101</c:v>
                  </c:pt>
                  <c:pt idx="2">
                    <c:v>0.29879771430530377</c:v>
                  </c:pt>
                  <c:pt idx="3">
                    <c:v>0.19379642812899212</c:v>
                  </c:pt>
                  <c:pt idx="4">
                    <c:v>0.37113417260348619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0"/>
          </c:errBars>
          <c:xVal>
            <c:numRef>
              <c:f>Summary_doseA_B!$C$4:$C$8</c:f>
              <c:numCache>
                <c:formatCode>General</c:formatCode>
                <c:ptCount val="5"/>
                <c:pt idx="0">
                  <c:v>0</c:v>
                </c:pt>
                <c:pt idx="1">
                  <c:v>6</c:v>
                </c:pt>
                <c:pt idx="2">
                  <c:v>24</c:v>
                </c:pt>
                <c:pt idx="3">
                  <c:v>48</c:v>
                </c:pt>
                <c:pt idx="4">
                  <c:v>72</c:v>
                </c:pt>
              </c:numCache>
            </c:numRef>
          </c:xVal>
          <c:yVal>
            <c:numRef>
              <c:f>Summary_doseA_B!$D$4:$D$8</c:f>
              <c:numCache>
                <c:formatCode>General</c:formatCode>
                <c:ptCount val="5"/>
                <c:pt idx="0">
                  <c:v>10.096166666666667</c:v>
                </c:pt>
                <c:pt idx="1">
                  <c:v>9.7551670000000001</c:v>
                </c:pt>
                <c:pt idx="2">
                  <c:v>7.6303333333333327</c:v>
                </c:pt>
                <c:pt idx="3">
                  <c:v>6.8805000000000005</c:v>
                </c:pt>
                <c:pt idx="4">
                  <c:v>5.4303333333333335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A2A-F54C-AA34-C13694A061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2638159"/>
        <c:axId val="1412639839"/>
      </c:scatterChart>
      <c:valAx>
        <c:axId val="1412638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(hours)</a:t>
                </a: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412639839"/>
        <c:crosses val="autoZero"/>
        <c:crossBetween val="midCat"/>
      </c:valAx>
      <c:valAx>
        <c:axId val="1412639839"/>
        <c:scaling>
          <c:orientation val="minMax"/>
          <c:max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Glucose level (mM)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412638159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Day 13, GTT + Dose</a:t>
            </a:r>
            <a:r>
              <a:rPr lang="en-US" b="1" baseline="0"/>
              <a:t> B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11 mM</c:v>
          </c:tx>
          <c:spPr>
            <a:ln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Summary_doseA_B!$F$19:$F$23</c:f>
                <c:numCache>
                  <c:formatCode>General</c:formatCode>
                  <c:ptCount val="5"/>
                  <c:pt idx="0">
                    <c:v>0.6528743427394037</c:v>
                  </c:pt>
                  <c:pt idx="1">
                    <c:v>0.27987421116293315</c:v>
                  </c:pt>
                  <c:pt idx="2">
                    <c:v>0.18101478351740183</c:v>
                  </c:pt>
                  <c:pt idx="3">
                    <c:v>6.4506244314450276E-2</c:v>
                  </c:pt>
                  <c:pt idx="4">
                    <c:v>9.8875436038744338E-2</c:v>
                  </c:pt>
                </c:numCache>
              </c:numRef>
            </c:plus>
            <c:minus>
              <c:numRef>
                <c:f>Summary_doseA_B!$F$19:$F$23</c:f>
                <c:numCache>
                  <c:formatCode>General</c:formatCode>
                  <c:ptCount val="5"/>
                  <c:pt idx="0">
                    <c:v>0.6528743427394037</c:v>
                  </c:pt>
                  <c:pt idx="1">
                    <c:v>0.27987421116293315</c:v>
                  </c:pt>
                  <c:pt idx="2">
                    <c:v>0.18101478351740183</c:v>
                  </c:pt>
                  <c:pt idx="3">
                    <c:v>6.4506244314450276E-2</c:v>
                  </c:pt>
                  <c:pt idx="4">
                    <c:v>9.8875436038744338E-2</c:v>
                  </c:pt>
                </c:numCache>
              </c:numRef>
            </c:minus>
          </c:errBars>
          <c:xVal>
            <c:numRef>
              <c:f>Summary_doseA_B!$C$14:$C$18</c:f>
              <c:numCache>
                <c:formatCode>General</c:formatCode>
                <c:ptCount val="5"/>
                <c:pt idx="0">
                  <c:v>0</c:v>
                </c:pt>
                <c:pt idx="1">
                  <c:v>6</c:v>
                </c:pt>
                <c:pt idx="2">
                  <c:v>24</c:v>
                </c:pt>
                <c:pt idx="3">
                  <c:v>48</c:v>
                </c:pt>
                <c:pt idx="4">
                  <c:v>72</c:v>
                </c:pt>
              </c:numCache>
            </c:numRef>
          </c:xVal>
          <c:yVal>
            <c:numRef>
              <c:f>Summary_doseA_B!$D$19:$D$23</c:f>
              <c:numCache>
                <c:formatCode>General</c:formatCode>
                <c:ptCount val="5"/>
                <c:pt idx="0">
                  <c:v>11.166833333333335</c:v>
                </c:pt>
                <c:pt idx="1">
                  <c:v>9.2638333333333325</c:v>
                </c:pt>
                <c:pt idx="2">
                  <c:v>7.9841666666666669</c:v>
                </c:pt>
                <c:pt idx="3">
                  <c:v>7.9804999999999993</c:v>
                </c:pt>
                <c:pt idx="4">
                  <c:v>6.4148333333333332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EA-D949-AE1F-FD1CAE49B7B5}"/>
            </c:ext>
          </c:extLst>
        </c:ser>
        <c:ser>
          <c:idx val="3"/>
          <c:order val="1"/>
          <c:tx>
            <c:v>5.5 mM</c:v>
          </c:tx>
          <c:spPr>
            <a:ln>
              <a:solidFill>
                <a:schemeClr val="accent2"/>
              </a:solidFill>
            </a:ln>
          </c:spPr>
          <c:marker>
            <c:symbol val="circle"/>
            <c:size val="5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Summary_doseA_B!$F$9:$F$13</c:f>
                <c:numCache>
                  <c:formatCode>General</c:formatCode>
                  <c:ptCount val="5"/>
                  <c:pt idx="0">
                    <c:v>0.37551870299133722</c:v>
                  </c:pt>
                  <c:pt idx="1">
                    <c:v>0.52084953752570495</c:v>
                  </c:pt>
                  <c:pt idx="2">
                    <c:v>0.37613578615924009</c:v>
                  </c:pt>
                  <c:pt idx="3">
                    <c:v>0.32151182225829866</c:v>
                  </c:pt>
                  <c:pt idx="4">
                    <c:v>0.43871734340849594</c:v>
                  </c:pt>
                </c:numCache>
              </c:numRef>
            </c:plus>
            <c:minus>
              <c:numRef>
                <c:f>Summary_doseA_B!$F$9:$F$13</c:f>
                <c:numCache>
                  <c:formatCode>General</c:formatCode>
                  <c:ptCount val="5"/>
                  <c:pt idx="0">
                    <c:v>0.37551870299133722</c:v>
                  </c:pt>
                  <c:pt idx="1">
                    <c:v>0.52084953752570495</c:v>
                  </c:pt>
                  <c:pt idx="2">
                    <c:v>0.37613578615924009</c:v>
                  </c:pt>
                  <c:pt idx="3">
                    <c:v>0.32151182225829866</c:v>
                  </c:pt>
                  <c:pt idx="4">
                    <c:v>0.43871734340849594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0"/>
          </c:errBars>
          <c:xVal>
            <c:numRef>
              <c:f>Summary_doseA_B!$C$4:$C$8</c:f>
              <c:numCache>
                <c:formatCode>General</c:formatCode>
                <c:ptCount val="5"/>
                <c:pt idx="0">
                  <c:v>0</c:v>
                </c:pt>
                <c:pt idx="1">
                  <c:v>6</c:v>
                </c:pt>
                <c:pt idx="2">
                  <c:v>24</c:v>
                </c:pt>
                <c:pt idx="3">
                  <c:v>48</c:v>
                </c:pt>
                <c:pt idx="4">
                  <c:v>72</c:v>
                </c:pt>
              </c:numCache>
            </c:numRef>
          </c:xVal>
          <c:yVal>
            <c:numRef>
              <c:f>Summary_doseA_B!$D$9:$D$13</c:f>
              <c:numCache>
                <c:formatCode>General</c:formatCode>
                <c:ptCount val="5"/>
                <c:pt idx="0">
                  <c:v>9.9971666666666668</c:v>
                </c:pt>
                <c:pt idx="1">
                  <c:v>10.099833333333301</c:v>
                </c:pt>
                <c:pt idx="2">
                  <c:v>8.0813333333333333</c:v>
                </c:pt>
                <c:pt idx="3">
                  <c:v>7.0821666666666667</c:v>
                </c:pt>
                <c:pt idx="4">
                  <c:v>6.3836666666666666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EA-D949-AE1F-FD1CAE49B7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2638159"/>
        <c:axId val="1412639839"/>
      </c:scatterChart>
      <c:valAx>
        <c:axId val="1412638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(hours)</a:t>
                </a: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412639839"/>
        <c:crosses val="autoZero"/>
        <c:crossBetween val="midCat"/>
      </c:valAx>
      <c:valAx>
        <c:axId val="1412639839"/>
        <c:scaling>
          <c:orientation val="minMax"/>
          <c:max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Glucose level (mM)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412638159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spPr>
    <a:ln>
      <a:solidFill>
        <a:schemeClr val="accent1"/>
      </a:solidFill>
    </a:ln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Day 13, GTT + Dose</a:t>
            </a:r>
            <a:r>
              <a:rPr lang="en-US" b="1" baseline="0"/>
              <a:t> A, B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11 mM A</c:v>
          </c:tx>
          <c:errBars>
            <c:errDir val="y"/>
            <c:errBarType val="both"/>
            <c:errValType val="cust"/>
            <c:noEndCap val="0"/>
            <c:plus>
              <c:numRef>
                <c:f>Summary_doseA_B!$F$14:$F$18</c:f>
                <c:numCache>
                  <c:formatCode>General</c:formatCode>
                  <c:ptCount val="5"/>
                  <c:pt idx="0">
                    <c:v>2.5447476772247599E-2</c:v>
                  </c:pt>
                  <c:pt idx="1">
                    <c:v>0.27223611075682069</c:v>
                  </c:pt>
                  <c:pt idx="2">
                    <c:v>0.2678716870830895</c:v>
                  </c:pt>
                  <c:pt idx="3">
                    <c:v>9.52627944162893E-3</c:v>
                  </c:pt>
                  <c:pt idx="4">
                    <c:v>0.33451509958722636</c:v>
                  </c:pt>
                </c:numCache>
              </c:numRef>
            </c:plus>
            <c:minus>
              <c:numRef>
                <c:f>Summary_doseA_B!$F$14:$F$18</c:f>
                <c:numCache>
                  <c:formatCode>General</c:formatCode>
                  <c:ptCount val="5"/>
                  <c:pt idx="0">
                    <c:v>2.5447476772247599E-2</c:v>
                  </c:pt>
                  <c:pt idx="1">
                    <c:v>0.27223611075682069</c:v>
                  </c:pt>
                  <c:pt idx="2">
                    <c:v>0.2678716870830895</c:v>
                  </c:pt>
                  <c:pt idx="3">
                    <c:v>9.52627944162893E-3</c:v>
                  </c:pt>
                  <c:pt idx="4">
                    <c:v>0.33451509958722636</c:v>
                  </c:pt>
                </c:numCache>
              </c:numRef>
            </c:minus>
          </c:errBars>
          <c:xVal>
            <c:numRef>
              <c:f>Summary_doseA_B!$C$14:$C$18</c:f>
              <c:numCache>
                <c:formatCode>General</c:formatCode>
                <c:ptCount val="5"/>
                <c:pt idx="0">
                  <c:v>0</c:v>
                </c:pt>
                <c:pt idx="1">
                  <c:v>6</c:v>
                </c:pt>
                <c:pt idx="2">
                  <c:v>24</c:v>
                </c:pt>
                <c:pt idx="3">
                  <c:v>48</c:v>
                </c:pt>
                <c:pt idx="4">
                  <c:v>72</c:v>
                </c:pt>
              </c:numCache>
            </c:numRef>
          </c:xVal>
          <c:yVal>
            <c:numRef>
              <c:f>Summary_doseA_B!$D$14:$D$18</c:f>
              <c:numCache>
                <c:formatCode>General</c:formatCode>
                <c:ptCount val="5"/>
                <c:pt idx="0">
                  <c:v>10.220833333333333</c:v>
                </c:pt>
                <c:pt idx="1">
                  <c:v>12.133000000000001</c:v>
                </c:pt>
                <c:pt idx="2">
                  <c:v>8.4828333333333337</c:v>
                </c:pt>
                <c:pt idx="3">
                  <c:v>7.6669999999999998</c:v>
                </c:pt>
                <c:pt idx="4">
                  <c:v>6.5541666666666671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83-2445-ABED-7A62767C67DF}"/>
            </c:ext>
          </c:extLst>
        </c:ser>
        <c:ser>
          <c:idx val="1"/>
          <c:order val="1"/>
          <c:tx>
            <c:v>5.5 mM A</c:v>
          </c:tx>
          <c:errBars>
            <c:errDir val="y"/>
            <c:errBarType val="both"/>
            <c:errValType val="cust"/>
            <c:noEndCap val="0"/>
            <c:plus>
              <c:numRef>
                <c:f>Summary_doseA_B!$F$4:$F$8</c:f>
                <c:numCache>
                  <c:formatCode>General</c:formatCode>
                  <c:ptCount val="5"/>
                  <c:pt idx="0">
                    <c:v>0.11938740240013539</c:v>
                  </c:pt>
                  <c:pt idx="1">
                    <c:v>0.63829651830582101</c:v>
                  </c:pt>
                  <c:pt idx="2">
                    <c:v>0.29879771430530377</c:v>
                  </c:pt>
                  <c:pt idx="3">
                    <c:v>0.19379642812899212</c:v>
                  </c:pt>
                  <c:pt idx="4">
                    <c:v>0.37113417260348619</c:v>
                  </c:pt>
                </c:numCache>
              </c:numRef>
            </c:plus>
            <c:minus>
              <c:numRef>
                <c:f>Summary_doseA_B!$F$4:$F$8</c:f>
                <c:numCache>
                  <c:formatCode>General</c:formatCode>
                  <c:ptCount val="5"/>
                  <c:pt idx="0">
                    <c:v>0.11938740240013539</c:v>
                  </c:pt>
                  <c:pt idx="1">
                    <c:v>0.63829651830582101</c:v>
                  </c:pt>
                  <c:pt idx="2">
                    <c:v>0.29879771430530377</c:v>
                  </c:pt>
                  <c:pt idx="3">
                    <c:v>0.19379642812899212</c:v>
                  </c:pt>
                  <c:pt idx="4">
                    <c:v>0.37113417260348619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0"/>
          </c:errBars>
          <c:xVal>
            <c:numRef>
              <c:f>Summary_doseA_B!$C$4:$C$8</c:f>
              <c:numCache>
                <c:formatCode>General</c:formatCode>
                <c:ptCount val="5"/>
                <c:pt idx="0">
                  <c:v>0</c:v>
                </c:pt>
                <c:pt idx="1">
                  <c:v>6</c:v>
                </c:pt>
                <c:pt idx="2">
                  <c:v>24</c:v>
                </c:pt>
                <c:pt idx="3">
                  <c:v>48</c:v>
                </c:pt>
                <c:pt idx="4">
                  <c:v>72</c:v>
                </c:pt>
              </c:numCache>
            </c:numRef>
          </c:xVal>
          <c:yVal>
            <c:numRef>
              <c:f>Summary_doseA_B!$D$4:$D$8</c:f>
              <c:numCache>
                <c:formatCode>General</c:formatCode>
                <c:ptCount val="5"/>
                <c:pt idx="0">
                  <c:v>10.096166666666667</c:v>
                </c:pt>
                <c:pt idx="1">
                  <c:v>9.7551670000000001</c:v>
                </c:pt>
                <c:pt idx="2">
                  <c:v>7.6303333333333327</c:v>
                </c:pt>
                <c:pt idx="3">
                  <c:v>6.8805000000000005</c:v>
                </c:pt>
                <c:pt idx="4">
                  <c:v>5.4303333333333335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83-2445-ABED-7A62767C67DF}"/>
            </c:ext>
          </c:extLst>
        </c:ser>
        <c:ser>
          <c:idx val="2"/>
          <c:order val="2"/>
          <c:tx>
            <c:v>11 mM B</c:v>
          </c:tx>
          <c:spPr>
            <a:ln>
              <a:solidFill>
                <a:schemeClr val="accent1"/>
              </a:solidFill>
              <a:prstDash val="dash"/>
            </a:ln>
          </c:spPr>
          <c:marker>
            <c:symbol val="circle"/>
            <c:size val="5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Summary_doseA_B!$F$19:$F$23</c:f>
                <c:numCache>
                  <c:formatCode>General</c:formatCode>
                  <c:ptCount val="5"/>
                  <c:pt idx="0">
                    <c:v>0.6528743427394037</c:v>
                  </c:pt>
                  <c:pt idx="1">
                    <c:v>0.27987421116293315</c:v>
                  </c:pt>
                  <c:pt idx="2">
                    <c:v>0.18101478351740183</c:v>
                  </c:pt>
                  <c:pt idx="3">
                    <c:v>6.4506244314450276E-2</c:v>
                  </c:pt>
                  <c:pt idx="4">
                    <c:v>9.8875436038744338E-2</c:v>
                  </c:pt>
                </c:numCache>
              </c:numRef>
            </c:plus>
            <c:minus>
              <c:numRef>
                <c:f>Summary_doseA_B!$F$19:$F$23</c:f>
                <c:numCache>
                  <c:formatCode>General</c:formatCode>
                  <c:ptCount val="5"/>
                  <c:pt idx="0">
                    <c:v>0.6528743427394037</c:v>
                  </c:pt>
                  <c:pt idx="1">
                    <c:v>0.27987421116293315</c:v>
                  </c:pt>
                  <c:pt idx="2">
                    <c:v>0.18101478351740183</c:v>
                  </c:pt>
                  <c:pt idx="3">
                    <c:v>6.4506244314450276E-2</c:v>
                  </c:pt>
                  <c:pt idx="4">
                    <c:v>9.8875436038744338E-2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0"/>
          </c:errBars>
          <c:xVal>
            <c:numRef>
              <c:f>Summary_doseA_B!$C$19:$C$23</c:f>
              <c:numCache>
                <c:formatCode>General</c:formatCode>
                <c:ptCount val="5"/>
                <c:pt idx="0">
                  <c:v>0</c:v>
                </c:pt>
                <c:pt idx="1">
                  <c:v>6</c:v>
                </c:pt>
                <c:pt idx="2">
                  <c:v>24</c:v>
                </c:pt>
                <c:pt idx="3">
                  <c:v>48</c:v>
                </c:pt>
                <c:pt idx="4">
                  <c:v>72</c:v>
                </c:pt>
              </c:numCache>
            </c:numRef>
          </c:xVal>
          <c:yVal>
            <c:numRef>
              <c:f>Summary_doseA_B!$D$19:$D$23</c:f>
              <c:numCache>
                <c:formatCode>General</c:formatCode>
                <c:ptCount val="5"/>
                <c:pt idx="0">
                  <c:v>11.166833333333335</c:v>
                </c:pt>
                <c:pt idx="1">
                  <c:v>9.2638333333333325</c:v>
                </c:pt>
                <c:pt idx="2">
                  <c:v>7.9841666666666669</c:v>
                </c:pt>
                <c:pt idx="3">
                  <c:v>7.9804999999999993</c:v>
                </c:pt>
                <c:pt idx="4">
                  <c:v>6.4148333333333332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483-2445-ABED-7A62767C67DF}"/>
            </c:ext>
          </c:extLst>
        </c:ser>
        <c:ser>
          <c:idx val="3"/>
          <c:order val="3"/>
          <c:tx>
            <c:v>5.5 mM B</c:v>
          </c:tx>
          <c:spPr>
            <a:ln>
              <a:solidFill>
                <a:schemeClr val="accent2"/>
              </a:solidFill>
              <a:prstDash val="dash"/>
            </a:ln>
          </c:spPr>
          <c:marker>
            <c:symbol val="circle"/>
            <c:size val="5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Summary_doseA_B!$C$9:$C$13</c:f>
              <c:numCache>
                <c:formatCode>General</c:formatCode>
                <c:ptCount val="5"/>
                <c:pt idx="0">
                  <c:v>0</c:v>
                </c:pt>
                <c:pt idx="1">
                  <c:v>6</c:v>
                </c:pt>
                <c:pt idx="2">
                  <c:v>24</c:v>
                </c:pt>
                <c:pt idx="3">
                  <c:v>48</c:v>
                </c:pt>
                <c:pt idx="4">
                  <c:v>72</c:v>
                </c:pt>
              </c:numCache>
            </c:numRef>
          </c:xVal>
          <c:yVal>
            <c:numRef>
              <c:f>Summary_doseA_B!$D$9:$D$13</c:f>
              <c:numCache>
                <c:formatCode>General</c:formatCode>
                <c:ptCount val="5"/>
                <c:pt idx="0">
                  <c:v>9.9971666666666668</c:v>
                </c:pt>
                <c:pt idx="1">
                  <c:v>10.099833333333301</c:v>
                </c:pt>
                <c:pt idx="2">
                  <c:v>8.0813333333333333</c:v>
                </c:pt>
                <c:pt idx="3">
                  <c:v>7.0821666666666667</c:v>
                </c:pt>
                <c:pt idx="4">
                  <c:v>6.3836666666666666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483-2445-ABED-7A62767C67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2638159"/>
        <c:axId val="1412639839"/>
      </c:scatterChart>
      <c:valAx>
        <c:axId val="1412638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(hours)</a:t>
                </a: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412639839"/>
        <c:crosses val="autoZero"/>
        <c:crossBetween val="midCat"/>
      </c:valAx>
      <c:valAx>
        <c:axId val="1412639839"/>
        <c:scaling>
          <c:orientation val="minMax"/>
          <c:max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Glucose level (mM)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412638159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1.xml"/><Relationship Id="rId3" Type="http://schemas.openxmlformats.org/officeDocument/2006/relationships/chart" Target="../charts/chart16.xml"/><Relationship Id="rId7" Type="http://schemas.openxmlformats.org/officeDocument/2006/relationships/chart" Target="../charts/chart20.xml"/><Relationship Id="rId12" Type="http://schemas.openxmlformats.org/officeDocument/2006/relationships/chart" Target="../charts/chart25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6" Type="http://schemas.openxmlformats.org/officeDocument/2006/relationships/chart" Target="../charts/chart19.xml"/><Relationship Id="rId11" Type="http://schemas.openxmlformats.org/officeDocument/2006/relationships/chart" Target="../charts/chart24.xml"/><Relationship Id="rId5" Type="http://schemas.openxmlformats.org/officeDocument/2006/relationships/chart" Target="../charts/chart18.xml"/><Relationship Id="rId10" Type="http://schemas.openxmlformats.org/officeDocument/2006/relationships/chart" Target="../charts/chart23.xml"/><Relationship Id="rId4" Type="http://schemas.openxmlformats.org/officeDocument/2006/relationships/chart" Target="../charts/chart17.xml"/><Relationship Id="rId9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112995</xdr:colOff>
      <xdr:row>59</xdr:row>
      <xdr:rowOff>113638</xdr:rowOff>
    </xdr:from>
    <xdr:to>
      <xdr:col>38</xdr:col>
      <xdr:colOff>608023</xdr:colOff>
      <xdr:row>82</xdr:row>
      <xdr:rowOff>38606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B50209-F6A9-7441-B7FE-15A1187D0CAB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39</xdr:col>
      <xdr:colOff>84969</xdr:colOff>
      <xdr:row>59</xdr:row>
      <xdr:rowOff>45357</xdr:rowOff>
    </xdr:from>
    <xdr:to>
      <xdr:col>49</xdr:col>
      <xdr:colOff>579997</xdr:colOff>
      <xdr:row>81</xdr:row>
      <xdr:rowOff>156591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3914C1-407F-E94F-83F7-3C0AB42E0D61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50801</xdr:colOff>
      <xdr:row>58</xdr:row>
      <xdr:rowOff>118533</xdr:rowOff>
    </xdr:from>
    <xdr:to>
      <xdr:col>35</xdr:col>
      <xdr:colOff>470736</xdr:colOff>
      <xdr:row>82</xdr:row>
      <xdr:rowOff>81175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04168F-2D35-E947-BB06-0A6E3F779A1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35</xdr:col>
      <xdr:colOff>660400</xdr:colOff>
      <xdr:row>58</xdr:row>
      <xdr:rowOff>152400</xdr:rowOff>
    </xdr:from>
    <xdr:to>
      <xdr:col>46</xdr:col>
      <xdr:colOff>403004</xdr:colOff>
      <xdr:row>82</xdr:row>
      <xdr:rowOff>111306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CF8B291-683B-BC4B-87D9-7F274EE01835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114491</xdr:colOff>
      <xdr:row>55</xdr:row>
      <xdr:rowOff>133589</xdr:rowOff>
    </xdr:from>
    <xdr:to>
      <xdr:col>35</xdr:col>
      <xdr:colOff>568696</xdr:colOff>
      <xdr:row>78</xdr:row>
      <xdr:rowOff>101494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90658F-A92B-CF43-AA1A-27223AB80CAE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34</xdr:col>
      <xdr:colOff>0</xdr:colOff>
      <xdr:row>56</xdr:row>
      <xdr:rowOff>0</xdr:rowOff>
    </xdr:from>
    <xdr:to>
      <xdr:col>44</xdr:col>
      <xdr:colOff>454205</xdr:colOff>
      <xdr:row>78</xdr:row>
      <xdr:rowOff>158405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C94B9D2-0D63-0D47-B1E6-F2EC54C0DA6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4</xdr:row>
      <xdr:rowOff>0</xdr:rowOff>
    </xdr:from>
    <xdr:to>
      <xdr:col>17</xdr:col>
      <xdr:colOff>381714</xdr:colOff>
      <xdr:row>19</xdr:row>
      <xdr:rowOff>98033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71BDC3-9A67-3741-BB9B-8AF79AF3E3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29</xdr:row>
      <xdr:rowOff>0</xdr:rowOff>
    </xdr:from>
    <xdr:to>
      <xdr:col>17</xdr:col>
      <xdr:colOff>381714</xdr:colOff>
      <xdr:row>44</xdr:row>
      <xdr:rowOff>98033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FB98DEA-CD6A-9E4E-964B-A48A550359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17</xdr:row>
      <xdr:rowOff>0</xdr:rowOff>
    </xdr:from>
    <xdr:to>
      <xdr:col>26</xdr:col>
      <xdr:colOff>381714</xdr:colOff>
      <xdr:row>32</xdr:row>
      <xdr:rowOff>98033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ECF08AA-E91C-CA44-877F-8EED86C440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32</xdr:row>
      <xdr:rowOff>0</xdr:rowOff>
    </xdr:from>
    <xdr:to>
      <xdr:col>6</xdr:col>
      <xdr:colOff>292814</xdr:colOff>
      <xdr:row>47</xdr:row>
      <xdr:rowOff>98033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7B72C10-9A58-6540-8F96-318FD94FB6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49</xdr:row>
      <xdr:rowOff>25400</xdr:rowOff>
    </xdr:from>
    <xdr:to>
      <xdr:col>6</xdr:col>
      <xdr:colOff>292814</xdr:colOff>
      <xdr:row>64</xdr:row>
      <xdr:rowOff>123433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9BA6B7D-E435-0548-9227-4D2D0C6822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112995</xdr:colOff>
      <xdr:row>59</xdr:row>
      <xdr:rowOff>113638</xdr:rowOff>
    </xdr:from>
    <xdr:to>
      <xdr:col>38</xdr:col>
      <xdr:colOff>608023</xdr:colOff>
      <xdr:row>82</xdr:row>
      <xdr:rowOff>38606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8B4F31-67FE-9A4D-A529-B99F26AE6CB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39</xdr:col>
      <xdr:colOff>84969</xdr:colOff>
      <xdr:row>59</xdr:row>
      <xdr:rowOff>45357</xdr:rowOff>
    </xdr:from>
    <xdr:to>
      <xdr:col>49</xdr:col>
      <xdr:colOff>579997</xdr:colOff>
      <xdr:row>81</xdr:row>
      <xdr:rowOff>156591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E32A41-C44B-5949-9224-FF3A4941B104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115</xdr:row>
      <xdr:rowOff>0</xdr:rowOff>
    </xdr:from>
    <xdr:to>
      <xdr:col>9</xdr:col>
      <xdr:colOff>508663</xdr:colOff>
      <xdr:row>138</xdr:row>
      <xdr:rowOff>5463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BEDCE5-9662-0140-8053-F400D8392A56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115</xdr:row>
      <xdr:rowOff>0</xdr:rowOff>
    </xdr:from>
    <xdr:to>
      <xdr:col>19</xdr:col>
      <xdr:colOff>640743</xdr:colOff>
      <xdr:row>138</xdr:row>
      <xdr:rowOff>5463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8E7F507-ACDC-4A4E-8E9E-D029DFCAE1E9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141</xdr:row>
      <xdr:rowOff>0</xdr:rowOff>
    </xdr:from>
    <xdr:to>
      <xdr:col>9</xdr:col>
      <xdr:colOff>508663</xdr:colOff>
      <xdr:row>164</xdr:row>
      <xdr:rowOff>5463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5D3A99D-CF49-8548-BD08-DBDD7733AC11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141</xdr:row>
      <xdr:rowOff>0</xdr:rowOff>
    </xdr:from>
    <xdr:to>
      <xdr:col>19</xdr:col>
      <xdr:colOff>640743</xdr:colOff>
      <xdr:row>164</xdr:row>
      <xdr:rowOff>5462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14C21D1-DEE6-EA43-924E-DB11380AB562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0</xdr:colOff>
      <xdr:row>170</xdr:row>
      <xdr:rowOff>0</xdr:rowOff>
    </xdr:from>
    <xdr:to>
      <xdr:col>9</xdr:col>
      <xdr:colOff>508663</xdr:colOff>
      <xdr:row>193</xdr:row>
      <xdr:rowOff>5463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1C54CBF-80D0-924B-82B1-ED431ED09CBB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0</xdr:colOff>
      <xdr:row>170</xdr:row>
      <xdr:rowOff>0</xdr:rowOff>
    </xdr:from>
    <xdr:to>
      <xdr:col>19</xdr:col>
      <xdr:colOff>640743</xdr:colOff>
      <xdr:row>193</xdr:row>
      <xdr:rowOff>5463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2973677-B7E7-E144-B17E-9234CE8C3934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0</xdr:colOff>
      <xdr:row>196</xdr:row>
      <xdr:rowOff>0</xdr:rowOff>
    </xdr:from>
    <xdr:to>
      <xdr:col>9</xdr:col>
      <xdr:colOff>508663</xdr:colOff>
      <xdr:row>219</xdr:row>
      <xdr:rowOff>5463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5E6D21C-B8C2-A840-85D3-361162CD6EE7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0</xdr:colOff>
      <xdr:row>196</xdr:row>
      <xdr:rowOff>0</xdr:rowOff>
    </xdr:from>
    <xdr:to>
      <xdr:col>19</xdr:col>
      <xdr:colOff>640743</xdr:colOff>
      <xdr:row>219</xdr:row>
      <xdr:rowOff>5462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7E821B4-A9D1-9D4D-9722-81E0FBDD96D6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0</xdr:colOff>
      <xdr:row>225</xdr:row>
      <xdr:rowOff>0</xdr:rowOff>
    </xdr:from>
    <xdr:to>
      <xdr:col>9</xdr:col>
      <xdr:colOff>508663</xdr:colOff>
      <xdr:row>248</xdr:row>
      <xdr:rowOff>5463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35A2464-5CF5-184E-961C-52EC8D8B076D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0</xdr:colOff>
      <xdr:row>225</xdr:row>
      <xdr:rowOff>0</xdr:rowOff>
    </xdr:from>
    <xdr:to>
      <xdr:col>19</xdr:col>
      <xdr:colOff>640743</xdr:colOff>
      <xdr:row>248</xdr:row>
      <xdr:rowOff>5463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0621511-908D-FE4B-976D-29ED1C9016F6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0</xdr:colOff>
      <xdr:row>251</xdr:row>
      <xdr:rowOff>0</xdr:rowOff>
    </xdr:from>
    <xdr:to>
      <xdr:col>9</xdr:col>
      <xdr:colOff>508663</xdr:colOff>
      <xdr:row>274</xdr:row>
      <xdr:rowOff>5463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14633555-E273-A94E-9448-F71126A10C7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11</xdr:col>
      <xdr:colOff>0</xdr:colOff>
      <xdr:row>251</xdr:row>
      <xdr:rowOff>0</xdr:rowOff>
    </xdr:from>
    <xdr:to>
      <xdr:col>19</xdr:col>
      <xdr:colOff>640743</xdr:colOff>
      <xdr:row>274</xdr:row>
      <xdr:rowOff>5462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0B083BB-A016-6B4D-9A2A-2D1620B65D7B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richData/rdRichValueTypes.xml><?xml version="1.0" encoding="utf-8"?>
<rvTypesInfo xmlns="http://schemas.microsoft.com/office/spreadsheetml/2017/richdata2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8">
  <rv s="0">
    <v>12</v>
    <v>0024</v>
    <v>0</v>
  </rv>
  <rv s="0">
    <v>12</v>
    <v>0032</v>
    <v>0</v>
  </rv>
  <rv s="0">
    <v>12</v>
    <v>0632</v>
    <v>0</v>
  </rv>
  <rv s="0">
    <v>12</v>
    <v>0631</v>
    <v>0</v>
  </rv>
  <rv s="0">
    <v>12</v>
    <v>0633</v>
    <v>0</v>
  </rv>
  <rv s="0">
    <v>12</v>
    <v>0636</v>
    <v>0</v>
  </rv>
  <rv s="0">
    <v>12</v>
    <v>0634</v>
    <v>0</v>
  </rv>
  <rv s="0">
    <v>12</v>
    <v>0635</v>
    <v>0</v>
  </rv>
</rvData>
</file>

<file path=xl/richData/rdrichvaluestructure.xml><?xml version="1.0" encoding="utf-8"?>
<rvStructures xmlns="http://schemas.microsoft.com/office/spreadsheetml/2017/richdata" count="1">
  <s t="_error">
    <k n="errorType" t="i"/>
    <k n="field" t="s"/>
    <k n="subType" t="i"/>
  </s>
</rvStructur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1E2FC8-1D5C-9346-9A4F-2A43E69D3F0A}">
  <dimension ref="A1:Y136"/>
  <sheetViews>
    <sheetView topLeftCell="A59" zoomScale="89" workbookViewId="0">
      <selection activeCell="R65" sqref="R65"/>
    </sheetView>
  </sheetViews>
  <sheetFormatPr baseColWidth="10" defaultColWidth="8.83203125" defaultRowHeight="15"/>
  <cols>
    <col min="23" max="23" width="15.6640625" customWidth="1"/>
    <col min="24" max="24" width="14.1640625" customWidth="1"/>
  </cols>
  <sheetData>
    <row r="1" spans="1:22">
      <c r="A1" t="s">
        <v>0</v>
      </c>
    </row>
    <row r="2" spans="1:22">
      <c r="A2" t="s">
        <v>1</v>
      </c>
    </row>
    <row r="4" spans="1:22">
      <c r="A4" t="s">
        <v>2</v>
      </c>
    </row>
    <row r="6" spans="1:22">
      <c r="A6" t="s">
        <v>3</v>
      </c>
    </row>
    <row r="7" spans="1:22">
      <c r="A7" t="s">
        <v>4</v>
      </c>
    </row>
    <row r="8" spans="1:22">
      <c r="A8" t="s">
        <v>5</v>
      </c>
      <c r="B8" t="s">
        <v>6</v>
      </c>
      <c r="C8" t="s">
        <v>7</v>
      </c>
      <c r="D8" t="s">
        <v>8</v>
      </c>
      <c r="E8" t="s">
        <v>9</v>
      </c>
      <c r="F8" t="s">
        <v>10</v>
      </c>
      <c r="G8" t="s">
        <v>11</v>
      </c>
      <c r="H8" t="b">
        <v>0</v>
      </c>
      <c r="I8">
        <v>1</v>
      </c>
      <c r="O8">
        <v>1</v>
      </c>
      <c r="P8">
        <v>520</v>
      </c>
      <c r="Q8">
        <v>1</v>
      </c>
      <c r="R8">
        <v>12</v>
      </c>
      <c r="S8">
        <v>96</v>
      </c>
      <c r="T8">
        <v>1</v>
      </c>
      <c r="U8">
        <v>8</v>
      </c>
      <c r="V8" t="s">
        <v>12</v>
      </c>
    </row>
    <row r="9" spans="1:22">
      <c r="A9" t="s">
        <v>13</v>
      </c>
      <c r="B9" t="s">
        <v>14</v>
      </c>
      <c r="C9" t="s">
        <v>15</v>
      </c>
      <c r="D9" t="s">
        <v>16</v>
      </c>
      <c r="E9" t="s">
        <v>17</v>
      </c>
      <c r="F9" t="s">
        <v>18</v>
      </c>
      <c r="G9" t="s">
        <v>19</v>
      </c>
      <c r="H9" t="s">
        <v>20</v>
      </c>
      <c r="I9" t="s">
        <v>21</v>
      </c>
      <c r="J9" t="s">
        <v>22</v>
      </c>
      <c r="K9" t="s">
        <v>23</v>
      </c>
      <c r="L9" t="s">
        <v>24</v>
      </c>
      <c r="M9" t="s">
        <v>25</v>
      </c>
    </row>
    <row r="10" spans="1:22">
      <c r="B10" t="s">
        <v>26</v>
      </c>
      <c r="C10" t="s">
        <v>27</v>
      </c>
      <c r="D10" t="s">
        <v>28</v>
      </c>
      <c r="E10" t="s">
        <v>29</v>
      </c>
      <c r="F10" t="s">
        <v>30</v>
      </c>
      <c r="G10" t="s">
        <v>31</v>
      </c>
      <c r="H10" t="s">
        <v>32</v>
      </c>
      <c r="I10" t="s">
        <v>33</v>
      </c>
      <c r="J10" t="s">
        <v>34</v>
      </c>
      <c r="K10" t="s">
        <v>35</v>
      </c>
      <c r="L10" t="s">
        <v>35</v>
      </c>
      <c r="M10" t="s">
        <v>36</v>
      </c>
    </row>
    <row r="11" spans="1:22">
      <c r="B11" t="s">
        <v>37</v>
      </c>
      <c r="C11" t="s">
        <v>38</v>
      </c>
      <c r="D11" t="s">
        <v>39</v>
      </c>
      <c r="E11" t="s">
        <v>40</v>
      </c>
      <c r="F11" t="s">
        <v>41</v>
      </c>
      <c r="G11" t="s">
        <v>42</v>
      </c>
      <c r="H11" t="s">
        <v>43</v>
      </c>
      <c r="I11" t="s">
        <v>44</v>
      </c>
      <c r="J11" t="s">
        <v>45</v>
      </c>
      <c r="K11" t="s">
        <v>46</v>
      </c>
      <c r="L11" t="s">
        <v>47</v>
      </c>
      <c r="M11" t="s">
        <v>48</v>
      </c>
    </row>
    <row r="12" spans="1:22">
      <c r="B12" t="s">
        <v>49</v>
      </c>
      <c r="C12" t="s">
        <v>50</v>
      </c>
      <c r="D12" t="s">
        <v>51</v>
      </c>
      <c r="E12" t="s">
        <v>52</v>
      </c>
      <c r="F12" t="s">
        <v>53</v>
      </c>
      <c r="G12" t="s">
        <v>54</v>
      </c>
      <c r="H12" t="s">
        <v>55</v>
      </c>
      <c r="I12" t="s">
        <v>56</v>
      </c>
      <c r="J12" t="s">
        <v>57</v>
      </c>
      <c r="K12" t="s">
        <v>58</v>
      </c>
      <c r="L12" t="s">
        <v>59</v>
      </c>
      <c r="M12" t="s">
        <v>60</v>
      </c>
    </row>
    <row r="13" spans="1:22">
      <c r="B13" t="s">
        <v>61</v>
      </c>
      <c r="C13" t="s">
        <v>62</v>
      </c>
      <c r="D13" t="s">
        <v>63</v>
      </c>
      <c r="E13" t="s">
        <v>64</v>
      </c>
      <c r="F13" t="s">
        <v>65</v>
      </c>
      <c r="G13" t="s">
        <v>66</v>
      </c>
      <c r="H13" t="s">
        <v>67</v>
      </c>
      <c r="I13" t="s">
        <v>68</v>
      </c>
      <c r="J13" t="s">
        <v>69</v>
      </c>
      <c r="K13" t="s">
        <v>23</v>
      </c>
      <c r="L13" t="s">
        <v>70</v>
      </c>
      <c r="M13" t="s">
        <v>71</v>
      </c>
    </row>
    <row r="14" spans="1:22">
      <c r="B14" t="s">
        <v>72</v>
      </c>
      <c r="C14" t="s">
        <v>73</v>
      </c>
      <c r="D14" t="s">
        <v>74</v>
      </c>
      <c r="E14" t="s">
        <v>75</v>
      </c>
      <c r="F14" t="s">
        <v>76</v>
      </c>
      <c r="G14" t="s">
        <v>77</v>
      </c>
      <c r="H14" t="s">
        <v>78</v>
      </c>
      <c r="I14" t="s">
        <v>79</v>
      </c>
      <c r="J14" t="s">
        <v>80</v>
      </c>
      <c r="K14" t="s">
        <v>81</v>
      </c>
      <c r="L14" t="s">
        <v>46</v>
      </c>
      <c r="M14" t="s">
        <v>82</v>
      </c>
    </row>
    <row r="15" spans="1:22">
      <c r="B15" t="s">
        <v>83</v>
      </c>
      <c r="C15" t="s">
        <v>84</v>
      </c>
      <c r="D15" t="s">
        <v>85</v>
      </c>
      <c r="E15" t="s">
        <v>86</v>
      </c>
      <c r="F15" t="s">
        <v>87</v>
      </c>
      <c r="G15" t="s">
        <v>88</v>
      </c>
      <c r="H15" t="s">
        <v>89</v>
      </c>
      <c r="I15" t="s">
        <v>90</v>
      </c>
      <c r="J15" t="s">
        <v>91</v>
      </c>
      <c r="K15" t="s">
        <v>23</v>
      </c>
      <c r="L15" t="s">
        <v>92</v>
      </c>
      <c r="M15" t="s">
        <v>93</v>
      </c>
    </row>
    <row r="16" spans="1:22">
      <c r="B16" t="s">
        <v>94</v>
      </c>
      <c r="C16" t="s">
        <v>95</v>
      </c>
      <c r="D16" t="s">
        <v>96</v>
      </c>
      <c r="E16" t="s">
        <v>97</v>
      </c>
      <c r="F16" t="s">
        <v>98</v>
      </c>
      <c r="G16" t="s">
        <v>99</v>
      </c>
      <c r="H16" t="s">
        <v>100</v>
      </c>
      <c r="I16" t="s">
        <v>101</v>
      </c>
      <c r="J16" t="s">
        <v>102</v>
      </c>
      <c r="K16" t="s">
        <v>46</v>
      </c>
      <c r="L16" t="s">
        <v>81</v>
      </c>
      <c r="M16" t="e" vm="1">
        <f>_FV(0,"0024")</f>
        <v>#VALUE!</v>
      </c>
    </row>
    <row r="18" spans="1:3">
      <c r="A18" t="s">
        <v>4</v>
      </c>
    </row>
    <row r="19" spans="1:3">
      <c r="A19" t="s">
        <v>103</v>
      </c>
      <c r="B19" t="s">
        <v>104</v>
      </c>
      <c r="C19">
        <v>0</v>
      </c>
    </row>
    <row r="21" spans="1:3">
      <c r="A21" t="s">
        <v>105</v>
      </c>
    </row>
    <row r="23" spans="1:3">
      <c r="A23" t="s">
        <v>105</v>
      </c>
    </row>
    <row r="25" spans="1:3">
      <c r="A25" t="s">
        <v>4</v>
      </c>
    </row>
    <row r="26" spans="1:3">
      <c r="A26" t="s">
        <v>103</v>
      </c>
      <c r="B26" t="s">
        <v>106</v>
      </c>
      <c r="C26">
        <v>0</v>
      </c>
    </row>
    <row r="28" spans="1:3">
      <c r="A28" t="s">
        <v>105</v>
      </c>
    </row>
    <row r="30" spans="1:3">
      <c r="A30" t="s">
        <v>105</v>
      </c>
    </row>
    <row r="32" spans="1:3">
      <c r="A32" t="s">
        <v>4</v>
      </c>
    </row>
    <row r="33" spans="1:8">
      <c r="A33" t="s">
        <v>103</v>
      </c>
      <c r="B33" t="s">
        <v>107</v>
      </c>
      <c r="C33">
        <v>0</v>
      </c>
    </row>
    <row r="35" spans="1:8">
      <c r="A35" t="s">
        <v>105</v>
      </c>
    </row>
    <row r="37" spans="1:8">
      <c r="A37" t="s">
        <v>105</v>
      </c>
    </row>
    <row r="39" spans="1:8">
      <c r="A39" t="s">
        <v>4</v>
      </c>
    </row>
    <row r="40" spans="1:8">
      <c r="A40" t="s">
        <v>103</v>
      </c>
      <c r="B40" t="s">
        <v>108</v>
      </c>
      <c r="C40">
        <v>0</v>
      </c>
    </row>
    <row r="41" spans="1:8">
      <c r="A41" t="s">
        <v>109</v>
      </c>
      <c r="B41" t="s">
        <v>110</v>
      </c>
      <c r="C41" t="s">
        <v>111</v>
      </c>
      <c r="D41" t="s">
        <v>112</v>
      </c>
      <c r="E41" t="s">
        <v>113</v>
      </c>
      <c r="F41" t="s">
        <v>114</v>
      </c>
      <c r="G41" t="s">
        <v>115</v>
      </c>
      <c r="H41" t="s">
        <v>116</v>
      </c>
    </row>
    <row r="42" spans="1:8">
      <c r="C42" t="s">
        <v>117</v>
      </c>
      <c r="D42" t="s">
        <v>118</v>
      </c>
      <c r="E42" t="s">
        <v>119</v>
      </c>
    </row>
    <row r="43" spans="1:8">
      <c r="A43" t="s">
        <v>120</v>
      </c>
      <c r="B43" t="s">
        <v>121</v>
      </c>
      <c r="C43" t="s">
        <v>122</v>
      </c>
      <c r="D43" t="s">
        <v>123</v>
      </c>
      <c r="E43" t="s">
        <v>124</v>
      </c>
      <c r="F43" t="s">
        <v>125</v>
      </c>
      <c r="G43" t="s">
        <v>126</v>
      </c>
      <c r="H43" t="s">
        <v>127</v>
      </c>
    </row>
    <row r="44" spans="1:8">
      <c r="C44" t="s">
        <v>128</v>
      </c>
      <c r="D44" t="s">
        <v>129</v>
      </c>
      <c r="E44" t="s">
        <v>130</v>
      </c>
    </row>
    <row r="45" spans="1:8">
      <c r="A45" t="s">
        <v>131</v>
      </c>
      <c r="B45" t="s">
        <v>132</v>
      </c>
      <c r="C45" t="s">
        <v>133</v>
      </c>
      <c r="D45" t="s">
        <v>134</v>
      </c>
      <c r="E45" t="s">
        <v>135</v>
      </c>
      <c r="F45" t="s">
        <v>136</v>
      </c>
      <c r="G45" t="s">
        <v>137</v>
      </c>
      <c r="H45" t="s">
        <v>138</v>
      </c>
    </row>
    <row r="46" spans="1:8">
      <c r="C46" t="s">
        <v>139</v>
      </c>
      <c r="D46" t="s">
        <v>140</v>
      </c>
      <c r="E46" t="s">
        <v>141</v>
      </c>
    </row>
    <row r="47" spans="1:8">
      <c r="A47" t="s">
        <v>142</v>
      </c>
      <c r="B47" t="s">
        <v>143</v>
      </c>
      <c r="C47" t="s">
        <v>144</v>
      </c>
      <c r="D47" t="s">
        <v>145</v>
      </c>
      <c r="E47" t="s">
        <v>146</v>
      </c>
      <c r="F47" t="s">
        <v>147</v>
      </c>
      <c r="G47" t="s">
        <v>148</v>
      </c>
      <c r="H47" t="s">
        <v>149</v>
      </c>
    </row>
    <row r="48" spans="1:8">
      <c r="C48" t="s">
        <v>150</v>
      </c>
      <c r="D48" t="s">
        <v>151</v>
      </c>
      <c r="E48" t="s">
        <v>152</v>
      </c>
    </row>
    <row r="49" spans="1:24">
      <c r="A49" t="s">
        <v>153</v>
      </c>
      <c r="B49" t="s">
        <v>154</v>
      </c>
      <c r="C49" t="s">
        <v>155</v>
      </c>
      <c r="D49" t="s">
        <v>156</v>
      </c>
      <c r="E49" t="s">
        <v>157</v>
      </c>
      <c r="F49" t="s">
        <v>158</v>
      </c>
      <c r="G49" t="s">
        <v>159</v>
      </c>
      <c r="H49" t="s">
        <v>160</v>
      </c>
    </row>
    <row r="50" spans="1:24">
      <c r="C50" t="s">
        <v>161</v>
      </c>
      <c r="D50" t="s">
        <v>162</v>
      </c>
      <c r="E50" t="s">
        <v>163</v>
      </c>
    </row>
    <row r="51" spans="1:24">
      <c r="A51" t="s">
        <v>164</v>
      </c>
      <c r="B51" t="s">
        <v>165</v>
      </c>
      <c r="C51" t="s">
        <v>166</v>
      </c>
      <c r="D51" t="s">
        <v>167</v>
      </c>
      <c r="E51" t="s">
        <v>168</v>
      </c>
      <c r="F51" t="s">
        <v>169</v>
      </c>
      <c r="G51" t="s">
        <v>170</v>
      </c>
      <c r="H51" t="s">
        <v>171</v>
      </c>
    </row>
    <row r="52" spans="1:24">
      <c r="C52" t="s">
        <v>172</v>
      </c>
      <c r="D52" t="s">
        <v>173</v>
      </c>
      <c r="E52" t="s">
        <v>174</v>
      </c>
    </row>
    <row r="53" spans="1:24">
      <c r="A53" t="s">
        <v>175</v>
      </c>
      <c r="B53" t="s">
        <v>176</v>
      </c>
      <c r="C53" t="s">
        <v>177</v>
      </c>
      <c r="D53" t="s">
        <v>178</v>
      </c>
      <c r="E53" t="s">
        <v>179</v>
      </c>
      <c r="F53" t="s">
        <v>180</v>
      </c>
      <c r="G53" t="s">
        <v>181</v>
      </c>
      <c r="H53" t="s">
        <v>182</v>
      </c>
    </row>
    <row r="54" spans="1:24">
      <c r="C54" t="s">
        <v>183</v>
      </c>
      <c r="D54" t="s">
        <v>184</v>
      </c>
      <c r="E54" t="s">
        <v>180</v>
      </c>
    </row>
    <row r="56" spans="1:24">
      <c r="A56" t="s">
        <v>180</v>
      </c>
    </row>
    <row r="58" spans="1:24">
      <c r="A58" t="s">
        <v>114</v>
      </c>
    </row>
    <row r="60" spans="1:24">
      <c r="A60" t="s">
        <v>4</v>
      </c>
    </row>
    <row r="61" spans="1:24">
      <c r="A61" t="s">
        <v>103</v>
      </c>
      <c r="B61" t="s">
        <v>185</v>
      </c>
      <c r="C61">
        <v>0</v>
      </c>
      <c r="P61" s="1" t="s">
        <v>186</v>
      </c>
      <c r="W61" s="2" t="s">
        <v>187</v>
      </c>
    </row>
    <row r="63" spans="1:24">
      <c r="A63" t="s">
        <v>105</v>
      </c>
      <c r="P63" s="318" t="s">
        <v>188</v>
      </c>
      <c r="Q63" s="318" t="s">
        <v>189</v>
      </c>
      <c r="R63" s="318" t="s">
        <v>190</v>
      </c>
      <c r="S63" s="318" t="s">
        <v>191</v>
      </c>
      <c r="T63" s="318" t="s">
        <v>192</v>
      </c>
      <c r="U63" s="319" t="s">
        <v>193</v>
      </c>
      <c r="V63" s="320"/>
      <c r="W63" s="306" t="s">
        <v>194</v>
      </c>
      <c r="X63" s="306" t="s">
        <v>195</v>
      </c>
    </row>
    <row r="64" spans="1:24" ht="16" thickBot="1">
      <c r="A64" t="s">
        <v>103</v>
      </c>
      <c r="B64" t="s">
        <v>185</v>
      </c>
      <c r="C64" s="1" t="s">
        <v>196</v>
      </c>
      <c r="E64" s="1" t="s">
        <v>197</v>
      </c>
      <c r="F64" s="1" t="s">
        <v>198</v>
      </c>
      <c r="G64" s="1" t="s">
        <v>199</v>
      </c>
      <c r="H64" s="1" t="s">
        <v>191</v>
      </c>
      <c r="P64" s="318"/>
      <c r="Q64" s="318"/>
      <c r="R64" s="318"/>
      <c r="S64" s="306"/>
      <c r="T64" s="318"/>
      <c r="U64" s="321"/>
      <c r="V64" s="322"/>
      <c r="W64" s="307"/>
      <c r="X64" s="307"/>
    </row>
    <row r="65" spans="1:25">
      <c r="A65" s="3" t="s">
        <v>200</v>
      </c>
      <c r="B65" s="4" t="s">
        <v>201</v>
      </c>
      <c r="C65" s="4" t="s">
        <v>202</v>
      </c>
      <c r="D65" s="4"/>
      <c r="E65" s="4">
        <v>1.0369999999999999</v>
      </c>
      <c r="F65" s="4">
        <f>E65*5.5</f>
        <v>5.7035</v>
      </c>
      <c r="G65" s="4">
        <f>AVERAGE(F65:F66)</f>
        <v>5.7694999999999999</v>
      </c>
      <c r="H65" s="5">
        <f>_xlfn.STDEV.P(F65:F66)</f>
        <v>6.5999999999999837E-2</v>
      </c>
      <c r="P65" s="294">
        <v>1</v>
      </c>
      <c r="Q65" s="6">
        <v>0</v>
      </c>
      <c r="R65" s="7">
        <f>AVERAGE(F65:F66)</f>
        <v>5.7694999999999999</v>
      </c>
      <c r="S65" s="8">
        <f>STDEV(F65:F66)</f>
        <v>9.333809511662404E-2</v>
      </c>
      <c r="T65" s="9">
        <f>S65/SQRT(2)</f>
        <v>6.5999999999999837E-2</v>
      </c>
      <c r="U65" s="308" t="s">
        <v>203</v>
      </c>
      <c r="V65" s="309"/>
      <c r="W65" s="10">
        <f>T65/R65*100</f>
        <v>1.1439466158245921</v>
      </c>
      <c r="X65" s="11">
        <v>0.53459999999999996</v>
      </c>
      <c r="Y65" s="12"/>
    </row>
    <row r="66" spans="1:25">
      <c r="A66" s="13" t="s">
        <v>204</v>
      </c>
      <c r="B66" t="s">
        <v>205</v>
      </c>
      <c r="C66" t="s">
        <v>27</v>
      </c>
      <c r="E66">
        <v>1.0609999999999999</v>
      </c>
      <c r="F66">
        <f t="shared" ref="F66:F125" si="0">E66*5.5</f>
        <v>5.8354999999999997</v>
      </c>
      <c r="H66" s="14"/>
      <c r="I66" s="1"/>
      <c r="P66" s="295"/>
      <c r="Q66" s="15">
        <v>8</v>
      </c>
      <c r="R66" s="16">
        <f>AVERAGE(F69:F72)</f>
        <v>4.588375000000001</v>
      </c>
      <c r="S66" s="17">
        <f>STDEV(F69:F72)</f>
        <v>0.11994330257806537</v>
      </c>
      <c r="T66" s="18">
        <f>S66/2</f>
        <v>5.9971651289032687E-2</v>
      </c>
      <c r="U66" s="310"/>
      <c r="V66" s="311"/>
      <c r="W66" s="11">
        <f t="shared" ref="W66:W80" si="1">T66/R66*100</f>
        <v>1.307034653641707</v>
      </c>
      <c r="X66" s="11">
        <v>0.42515999999999998</v>
      </c>
    </row>
    <row r="67" spans="1:25">
      <c r="A67" s="13" t="s">
        <v>206</v>
      </c>
      <c r="B67" s="2" t="s">
        <v>207</v>
      </c>
      <c r="C67" s="2" t="s">
        <v>208</v>
      </c>
      <c r="D67" s="2"/>
      <c r="E67" s="2">
        <v>0.53800000000000003</v>
      </c>
      <c r="F67" s="2">
        <f t="shared" si="0"/>
        <v>2.9590000000000001</v>
      </c>
      <c r="H67" s="14"/>
      <c r="I67" s="2" t="s">
        <v>209</v>
      </c>
      <c r="P67" s="295"/>
      <c r="Q67" s="15">
        <v>24</v>
      </c>
      <c r="R67" s="16">
        <f>AVERAGE(F73:F75)</f>
        <v>3.3109999999999999</v>
      </c>
      <c r="S67" s="17">
        <f>STDEV(F73:F75)</f>
        <v>0.31866793061116139</v>
      </c>
      <c r="T67" s="18">
        <f>S67/SQRT(3)</f>
        <v>0.18398301552045501</v>
      </c>
      <c r="U67" s="310"/>
      <c r="V67" s="311"/>
      <c r="W67" s="17">
        <f t="shared" si="1"/>
        <v>5.5567204929161891</v>
      </c>
      <c r="X67" s="17">
        <v>0.18398</v>
      </c>
    </row>
    <row r="68" spans="1:25">
      <c r="A68" s="19" t="s">
        <v>210</v>
      </c>
      <c r="B68" s="20" t="s">
        <v>211</v>
      </c>
      <c r="C68" s="20" t="s">
        <v>169</v>
      </c>
      <c r="D68" s="20"/>
      <c r="E68" s="20">
        <v>0.38100000000000001</v>
      </c>
      <c r="F68" s="20">
        <f t="shared" si="0"/>
        <v>2.0954999999999999</v>
      </c>
      <c r="G68" s="21"/>
      <c r="H68" s="22"/>
      <c r="I68" s="1"/>
      <c r="P68" s="296"/>
      <c r="Q68" s="23">
        <v>47.9</v>
      </c>
      <c r="R68" s="24">
        <f>AVERAGE(F76:F78)</f>
        <v>2.0423333333333336</v>
      </c>
      <c r="S68" s="25">
        <f>STDEV(F76:F78)</f>
        <v>0.32780799766529872</v>
      </c>
      <c r="T68" s="18">
        <f>S68/SQRT(3)</f>
        <v>0.18926003569457245</v>
      </c>
      <c r="U68" s="312"/>
      <c r="V68" s="313"/>
      <c r="W68" s="17">
        <f t="shared" si="1"/>
        <v>9.2668533880156243</v>
      </c>
      <c r="X68" s="17">
        <v>0.18926000000000001</v>
      </c>
    </row>
    <row r="69" spans="1:25" ht="15" customHeight="1">
      <c r="A69" s="26" t="s">
        <v>212</v>
      </c>
      <c r="B69" s="27" t="s">
        <v>213</v>
      </c>
      <c r="C69" s="27" t="s">
        <v>214</v>
      </c>
      <c r="D69" s="27"/>
      <c r="E69" s="27">
        <v>0.83099999999999996</v>
      </c>
      <c r="F69" s="27">
        <f t="shared" si="0"/>
        <v>4.5705</v>
      </c>
      <c r="G69" s="27">
        <f>AVERAGE(F69:F72)</f>
        <v>4.588375000000001</v>
      </c>
      <c r="H69" s="28">
        <f>_xlfn.STDEV.P(F69:F72)</f>
        <v>0.10387394704640816</v>
      </c>
      <c r="P69" s="303">
        <v>7</v>
      </c>
      <c r="Q69" s="8">
        <v>144</v>
      </c>
      <c r="R69" s="29">
        <f>AVERAGE(F79:F81)</f>
        <v>5.1846666666666659</v>
      </c>
      <c r="S69" s="30">
        <f>STDEV(F79:F81)</f>
        <v>0.11462365957049729</v>
      </c>
      <c r="T69" s="9">
        <f>S69/SQRT(3)</f>
        <v>6.6178000708526641E-2</v>
      </c>
      <c r="U69" s="314" t="s">
        <v>215</v>
      </c>
      <c r="V69" s="315"/>
      <c r="W69" s="11">
        <f t="shared" si="1"/>
        <v>1.2764176554299855</v>
      </c>
      <c r="X69" s="11">
        <v>0.48041</v>
      </c>
    </row>
    <row r="70" spans="1:25">
      <c r="A70" s="13" t="s">
        <v>216</v>
      </c>
      <c r="B70" t="s">
        <v>217</v>
      </c>
      <c r="C70" t="s">
        <v>218</v>
      </c>
      <c r="E70">
        <v>0.81</v>
      </c>
      <c r="F70">
        <f t="shared" si="0"/>
        <v>4.4550000000000001</v>
      </c>
      <c r="H70" s="14"/>
      <c r="I70" s="1"/>
      <c r="P70" s="304"/>
      <c r="Q70" s="17">
        <v>152</v>
      </c>
      <c r="R70" s="16">
        <f>AVERAGE(F82:F85)</f>
        <v>4.9087499999999995</v>
      </c>
      <c r="S70" s="31">
        <f>STDEV(F82:F85)</f>
        <v>0.25492564275359453</v>
      </c>
      <c r="T70" s="18">
        <f t="shared" ref="T70:T80" si="2">S70/2</f>
        <v>0.12746282137679726</v>
      </c>
      <c r="U70" s="310"/>
      <c r="V70" s="311"/>
      <c r="W70" s="11">
        <f t="shared" si="1"/>
        <v>2.5966452024812279</v>
      </c>
      <c r="X70" s="11">
        <v>0.45484000000000002</v>
      </c>
    </row>
    <row r="71" spans="1:25">
      <c r="A71" s="13" t="s">
        <v>210</v>
      </c>
      <c r="B71" t="s">
        <v>219</v>
      </c>
      <c r="C71" t="s">
        <v>220</v>
      </c>
      <c r="E71">
        <v>0.86299999999999999</v>
      </c>
      <c r="F71">
        <f t="shared" si="0"/>
        <v>4.7465000000000002</v>
      </c>
      <c r="H71" s="14"/>
      <c r="I71" s="1"/>
      <c r="P71" s="304"/>
      <c r="Q71" s="17">
        <v>168</v>
      </c>
      <c r="R71" s="16">
        <f>AVERAGE(F86:F89)</f>
        <v>4.4893749999999999</v>
      </c>
      <c r="S71" s="31">
        <f>STDEV(F86:F89)</f>
        <v>6.9913488207450428E-2</v>
      </c>
      <c r="T71" s="18">
        <f t="shared" si="2"/>
        <v>3.4956744103725214E-2</v>
      </c>
      <c r="U71" s="310"/>
      <c r="V71" s="311"/>
      <c r="W71" s="11">
        <f t="shared" si="1"/>
        <v>0.77865502667353947</v>
      </c>
      <c r="X71" s="11">
        <v>0.41599000000000003</v>
      </c>
    </row>
    <row r="72" spans="1:25">
      <c r="A72" s="32"/>
      <c r="B72" s="21" t="s">
        <v>221</v>
      </c>
      <c r="C72" s="21" t="s">
        <v>222</v>
      </c>
      <c r="D72" s="21"/>
      <c r="E72" s="21">
        <v>0.83299999999999996</v>
      </c>
      <c r="F72" s="21">
        <f t="shared" si="0"/>
        <v>4.5815000000000001</v>
      </c>
      <c r="G72" s="21"/>
      <c r="H72" s="22"/>
      <c r="P72" s="305"/>
      <c r="Q72" s="25">
        <v>191.9</v>
      </c>
      <c r="R72" s="16">
        <f>AVERAGE(F90:F93)</f>
        <v>3.6740000000000004</v>
      </c>
      <c r="S72" s="33">
        <f>STDEV(F90:F93)</f>
        <v>0.12630056743076559</v>
      </c>
      <c r="T72" s="18">
        <f t="shared" si="2"/>
        <v>6.3150283715382796E-2</v>
      </c>
      <c r="U72" s="316"/>
      <c r="V72" s="317"/>
      <c r="W72" s="11">
        <f t="shared" si="1"/>
        <v>1.7188427794061729</v>
      </c>
      <c r="X72" s="11">
        <v>0.34043000000000001</v>
      </c>
    </row>
    <row r="73" spans="1:25" ht="15" customHeight="1">
      <c r="A73" s="13" t="s">
        <v>223</v>
      </c>
      <c r="B73" t="s">
        <v>224</v>
      </c>
      <c r="C73" t="s">
        <v>225</v>
      </c>
      <c r="E73">
        <v>0.59</v>
      </c>
      <c r="F73">
        <f t="shared" si="0"/>
        <v>3.2449999999999997</v>
      </c>
      <c r="H73" s="14"/>
      <c r="I73" s="1"/>
      <c r="P73" s="294">
        <v>1</v>
      </c>
      <c r="Q73" s="6">
        <v>0</v>
      </c>
      <c r="R73" s="29">
        <f>AVERAGE(F94:F97)</f>
        <v>9.5191249999999989</v>
      </c>
      <c r="S73" s="29">
        <f>STDEV(F94:F97)</f>
        <v>0.48181538217454223</v>
      </c>
      <c r="T73" s="8">
        <f t="shared" si="2"/>
        <v>0.24090769108727111</v>
      </c>
      <c r="U73" s="297" t="s">
        <v>226</v>
      </c>
      <c r="V73" s="298"/>
      <c r="W73" s="34">
        <f t="shared" si="1"/>
        <v>2.5307755816555737</v>
      </c>
      <c r="X73" s="34">
        <v>0.88204212299999996</v>
      </c>
    </row>
    <row r="74" spans="1:25">
      <c r="A74" s="13" t="s">
        <v>210</v>
      </c>
      <c r="B74" t="s">
        <v>227</v>
      </c>
      <c r="C74" t="s">
        <v>228</v>
      </c>
      <c r="E74">
        <v>0.55100000000000005</v>
      </c>
      <c r="F74">
        <f t="shared" si="0"/>
        <v>3.0305000000000004</v>
      </c>
      <c r="H74" s="14"/>
      <c r="I74" s="1"/>
      <c r="P74" s="295"/>
      <c r="Q74" s="15">
        <v>8</v>
      </c>
      <c r="R74" s="16">
        <f>AVERAGE(F98:F101)</f>
        <v>8.6404999999999994</v>
      </c>
      <c r="S74" s="16">
        <f>STDEV(F98:F101)</f>
        <v>0.90211178169152972</v>
      </c>
      <c r="T74" s="17">
        <f t="shared" si="2"/>
        <v>0.45105589084576486</v>
      </c>
      <c r="U74" s="299"/>
      <c r="V74" s="300"/>
      <c r="W74" s="17">
        <f t="shared" si="1"/>
        <v>5.2202521942684443</v>
      </c>
      <c r="X74" s="17">
        <v>0.45105589099999999</v>
      </c>
    </row>
    <row r="75" spans="1:25">
      <c r="A75" s="32"/>
      <c r="B75" s="21" t="s">
        <v>229</v>
      </c>
      <c r="C75" s="21" t="s">
        <v>230</v>
      </c>
      <c r="D75" s="21"/>
      <c r="E75" s="21">
        <v>0.66500000000000004</v>
      </c>
      <c r="F75" s="21">
        <f t="shared" si="0"/>
        <v>3.6575000000000002</v>
      </c>
      <c r="G75" s="21"/>
      <c r="H75" s="22"/>
      <c r="P75" s="295"/>
      <c r="Q75" s="15">
        <v>24</v>
      </c>
      <c r="R75" s="16">
        <f>AVERAGE(F102:F105)</f>
        <v>7.6394999999999991</v>
      </c>
      <c r="S75" s="16">
        <f>STDEV(F102:F105)</f>
        <v>0.56306319953151451</v>
      </c>
      <c r="T75" s="17">
        <f t="shared" si="2"/>
        <v>0.28153159976575726</v>
      </c>
      <c r="U75" s="299"/>
      <c r="V75" s="300"/>
      <c r="W75" s="11">
        <f t="shared" si="1"/>
        <v>3.6852097619707744</v>
      </c>
      <c r="X75" s="11">
        <v>0.70787606999999997</v>
      </c>
    </row>
    <row r="76" spans="1:25">
      <c r="A76" s="26" t="s">
        <v>231</v>
      </c>
      <c r="B76" s="27" t="s">
        <v>232</v>
      </c>
      <c r="C76" s="27" t="s">
        <v>233</v>
      </c>
      <c r="D76" s="27"/>
      <c r="E76" s="27">
        <v>0.44</v>
      </c>
      <c r="F76" s="27">
        <f t="shared" si="0"/>
        <v>2.42</v>
      </c>
      <c r="G76" s="27">
        <f>AVERAGE(F76:F78)</f>
        <v>2.0423333333333336</v>
      </c>
      <c r="H76" s="28">
        <f>_xlfn.STDEV.P(F76:F78)</f>
        <v>0.26765410929447969</v>
      </c>
      <c r="P76" s="296"/>
      <c r="Q76" s="23">
        <v>47.9</v>
      </c>
      <c r="R76" s="16">
        <f>AVERAGE(F106:F109)</f>
        <v>6.1792499999999997</v>
      </c>
      <c r="S76" s="16">
        <f>STDEV(F106:F109)</f>
        <v>0.7276301143667242</v>
      </c>
      <c r="T76" s="25">
        <f t="shared" si="2"/>
        <v>0.3638150571833621</v>
      </c>
      <c r="U76" s="301"/>
      <c r="V76" s="302"/>
      <c r="W76" s="17">
        <f t="shared" si="1"/>
        <v>5.8876895607616158</v>
      </c>
      <c r="X76" s="17">
        <v>0.363815057</v>
      </c>
    </row>
    <row r="77" spans="1:25" ht="15" customHeight="1">
      <c r="A77" s="13" t="s">
        <v>210</v>
      </c>
      <c r="B77" t="s">
        <v>234</v>
      </c>
      <c r="C77" t="s">
        <v>235</v>
      </c>
      <c r="E77">
        <v>0.34100000000000003</v>
      </c>
      <c r="F77">
        <f t="shared" si="0"/>
        <v>1.8755000000000002</v>
      </c>
      <c r="H77" s="14"/>
      <c r="I77" s="1"/>
      <c r="P77" s="303">
        <v>7</v>
      </c>
      <c r="Q77" s="7">
        <v>144</v>
      </c>
      <c r="R77" s="30">
        <f>AVERAGE(F110:F113)</f>
        <v>10.85975</v>
      </c>
      <c r="S77" s="29">
        <f>STDEV(F110:F113)</f>
        <v>1.4059108850374107</v>
      </c>
      <c r="T77" s="17">
        <f t="shared" si="2"/>
        <v>0.70295544251870534</v>
      </c>
      <c r="U77" s="297" t="s">
        <v>226</v>
      </c>
      <c r="V77" s="298"/>
      <c r="W77" s="17">
        <f t="shared" si="1"/>
        <v>6.4730352219775344</v>
      </c>
      <c r="X77" s="17">
        <v>0.70295544300000001</v>
      </c>
    </row>
    <row r="78" spans="1:25" ht="16" thickBot="1">
      <c r="A78" s="35"/>
      <c r="B78" s="36" t="s">
        <v>236</v>
      </c>
      <c r="C78" s="36" t="s">
        <v>53</v>
      </c>
      <c r="D78" s="36"/>
      <c r="E78" s="36">
        <v>0.33300000000000002</v>
      </c>
      <c r="F78" s="36">
        <f t="shared" si="0"/>
        <v>1.8315000000000001</v>
      </c>
      <c r="G78" s="36"/>
      <c r="H78" s="37"/>
      <c r="P78" s="304"/>
      <c r="Q78" s="38">
        <v>152</v>
      </c>
      <c r="R78" s="31">
        <f>AVERAGE(F114:F117)</f>
        <v>9.593375</v>
      </c>
      <c r="S78" s="16">
        <f>STDEV(F114:F117)</f>
        <v>0.144569115535327</v>
      </c>
      <c r="T78" s="17">
        <f t="shared" si="2"/>
        <v>7.2284557767663501E-2</v>
      </c>
      <c r="U78" s="299"/>
      <c r="V78" s="300"/>
      <c r="W78" s="11">
        <f t="shared" si="1"/>
        <v>0.75348412594799541</v>
      </c>
      <c r="X78" s="11">
        <v>0.88892212800000003</v>
      </c>
    </row>
    <row r="79" spans="1:25">
      <c r="A79" s="3" t="s">
        <v>237</v>
      </c>
      <c r="B79" s="4" t="s">
        <v>238</v>
      </c>
      <c r="C79" s="4" t="s">
        <v>239</v>
      </c>
      <c r="D79" s="4"/>
      <c r="E79" s="4">
        <v>0.92</v>
      </c>
      <c r="F79" s="4">
        <f t="shared" si="0"/>
        <v>5.0600000000000005</v>
      </c>
      <c r="G79" s="4">
        <f>AVERAGE(F79:F81)</f>
        <v>5.1846666666666659</v>
      </c>
      <c r="H79" s="5">
        <f>_xlfn.STDEV.P(F79:F81)</f>
        <v>9.3589826132734671E-2</v>
      </c>
      <c r="P79" s="304"/>
      <c r="Q79" s="38">
        <v>168</v>
      </c>
      <c r="R79" s="31">
        <f>AVERAGE(F118:F121)</f>
        <v>9.1506249999999998</v>
      </c>
      <c r="S79" s="16">
        <f>STDEV(F118:F121)</f>
        <v>0.20892158616731477</v>
      </c>
      <c r="T79" s="17">
        <f t="shared" si="2"/>
        <v>0.10446079308365738</v>
      </c>
      <c r="U79" s="299"/>
      <c r="V79" s="300"/>
      <c r="W79" s="11">
        <f t="shared" si="1"/>
        <v>1.1415700357479122</v>
      </c>
      <c r="X79" s="11">
        <v>0.84789691300000003</v>
      </c>
    </row>
    <row r="80" spans="1:25">
      <c r="A80" s="13" t="s">
        <v>240</v>
      </c>
      <c r="B80" t="s">
        <v>241</v>
      </c>
      <c r="C80" t="s">
        <v>242</v>
      </c>
      <c r="E80">
        <v>0.94699999999999995</v>
      </c>
      <c r="F80">
        <f t="shared" si="0"/>
        <v>5.2084999999999999</v>
      </c>
      <c r="H80" s="14"/>
      <c r="I80" s="1"/>
      <c r="P80" s="305"/>
      <c r="Q80" s="39">
        <v>191.9</v>
      </c>
      <c r="R80" s="33">
        <f>AVERAGE(F122:F125)</f>
        <v>8.5786250000000006</v>
      </c>
      <c r="S80" s="24">
        <f>STDEV(F122:F125)</f>
        <v>0.25590765749908001</v>
      </c>
      <c r="T80" s="25">
        <f t="shared" si="2"/>
        <v>0.12795382874954001</v>
      </c>
      <c r="U80" s="301"/>
      <c r="V80" s="302"/>
      <c r="W80" s="40">
        <f t="shared" si="1"/>
        <v>1.4915423946091593</v>
      </c>
      <c r="X80" s="40">
        <v>0.79489539300000001</v>
      </c>
    </row>
    <row r="81" spans="1:24">
      <c r="A81" s="19" t="s">
        <v>210</v>
      </c>
      <c r="B81" s="21" t="s">
        <v>243</v>
      </c>
      <c r="C81" s="21" t="s">
        <v>244</v>
      </c>
      <c r="D81" s="21"/>
      <c r="E81" s="21">
        <v>0.96099999999999997</v>
      </c>
      <c r="F81" s="21">
        <f t="shared" si="0"/>
        <v>5.2854999999999999</v>
      </c>
      <c r="G81" s="21"/>
      <c r="H81" s="22"/>
      <c r="I81" s="1"/>
      <c r="V81" t="s">
        <v>190</v>
      </c>
      <c r="X81">
        <f>AVERAGE(X65:X80)</f>
        <v>0.54150806362500004</v>
      </c>
    </row>
    <row r="82" spans="1:24">
      <c r="A82" s="26" t="s">
        <v>245</v>
      </c>
      <c r="B82" s="27" t="s">
        <v>246</v>
      </c>
      <c r="C82" s="27" t="s">
        <v>247</v>
      </c>
      <c r="D82" s="27"/>
      <c r="E82" s="27">
        <v>0.84199999999999997</v>
      </c>
      <c r="F82" s="27">
        <f t="shared" si="0"/>
        <v>4.6310000000000002</v>
      </c>
      <c r="G82" s="27">
        <f>AVERAGE(F82:F85)</f>
        <v>4.9087499999999995</v>
      </c>
      <c r="H82" s="28">
        <f>_xlfn.STDEV.P(F82:F85)</f>
        <v>0.22077208270068926</v>
      </c>
    </row>
    <row r="83" spans="1:24">
      <c r="A83" s="13" t="s">
        <v>216</v>
      </c>
      <c r="B83" t="s">
        <v>248</v>
      </c>
      <c r="C83" t="s">
        <v>249</v>
      </c>
      <c r="E83">
        <v>0.871</v>
      </c>
      <c r="F83">
        <f t="shared" si="0"/>
        <v>4.7904999999999998</v>
      </c>
      <c r="H83" s="14"/>
      <c r="I83" s="1"/>
    </row>
    <row r="84" spans="1:24">
      <c r="A84" s="13" t="s">
        <v>210</v>
      </c>
      <c r="B84" t="s">
        <v>250</v>
      </c>
      <c r="C84" t="s">
        <v>242</v>
      </c>
      <c r="E84">
        <v>0.94899999999999995</v>
      </c>
      <c r="F84">
        <f t="shared" si="0"/>
        <v>5.2195</v>
      </c>
      <c r="H84" s="14"/>
      <c r="I84" s="1"/>
      <c r="P84" s="41" t="s">
        <v>251</v>
      </c>
    </row>
    <row r="85" spans="1:24">
      <c r="A85" s="32"/>
      <c r="B85" s="21" t="s">
        <v>252</v>
      </c>
      <c r="C85" s="21" t="s">
        <v>55</v>
      </c>
      <c r="D85" s="21"/>
      <c r="E85" s="21">
        <v>0.90800000000000003</v>
      </c>
      <c r="F85" s="21">
        <f t="shared" si="0"/>
        <v>4.9939999999999998</v>
      </c>
      <c r="G85" s="21"/>
      <c r="H85" s="22"/>
    </row>
    <row r="86" spans="1:24">
      <c r="A86" s="26" t="s">
        <v>253</v>
      </c>
      <c r="B86" s="27" t="s">
        <v>254</v>
      </c>
      <c r="C86" s="27" t="s">
        <v>152</v>
      </c>
      <c r="D86" s="27"/>
      <c r="E86" s="27">
        <v>0.8</v>
      </c>
      <c r="F86" s="27">
        <f t="shared" si="0"/>
        <v>4.4000000000000004</v>
      </c>
      <c r="G86" s="27">
        <f>AVERAGE(F86:F89)</f>
        <v>4.4893749999999999</v>
      </c>
      <c r="H86" s="28">
        <f>_xlfn.STDEV.P(F86:F89)</f>
        <v>6.0546856854835851E-2</v>
      </c>
      <c r="P86" t="s">
        <v>255</v>
      </c>
    </row>
    <row r="87" spans="1:24">
      <c r="A87" s="13" t="s">
        <v>223</v>
      </c>
      <c r="B87" t="s">
        <v>256</v>
      </c>
      <c r="C87" t="s">
        <v>257</v>
      </c>
      <c r="E87">
        <v>0.81599999999999995</v>
      </c>
      <c r="F87">
        <f t="shared" si="0"/>
        <v>4.4879999999999995</v>
      </c>
      <c r="H87" s="14"/>
      <c r="I87" s="1"/>
    </row>
    <row r="88" spans="1:24">
      <c r="A88" s="13" t="s">
        <v>210</v>
      </c>
      <c r="B88" t="s">
        <v>258</v>
      </c>
      <c r="C88" t="s">
        <v>259</v>
      </c>
      <c r="E88">
        <v>0.81799999999999995</v>
      </c>
      <c r="F88">
        <f t="shared" si="0"/>
        <v>4.4989999999999997</v>
      </c>
      <c r="H88" s="14"/>
      <c r="I88" s="1"/>
    </row>
    <row r="89" spans="1:24">
      <c r="A89" s="32"/>
      <c r="B89" s="21" t="s">
        <v>260</v>
      </c>
      <c r="C89" s="21" t="s">
        <v>214</v>
      </c>
      <c r="D89" s="21"/>
      <c r="E89" s="21">
        <v>0.83099999999999996</v>
      </c>
      <c r="F89" s="21">
        <f t="shared" si="0"/>
        <v>4.5705</v>
      </c>
      <c r="G89" s="21"/>
      <c r="H89" s="22"/>
    </row>
    <row r="90" spans="1:24">
      <c r="A90" s="26" t="s">
        <v>261</v>
      </c>
      <c r="B90" s="27" t="s">
        <v>262</v>
      </c>
      <c r="C90" s="27" t="s">
        <v>263</v>
      </c>
      <c r="D90" s="27"/>
      <c r="E90" s="27">
        <v>0.68400000000000005</v>
      </c>
      <c r="F90" s="27">
        <f t="shared" si="0"/>
        <v>3.7620000000000005</v>
      </c>
      <c r="G90" s="27">
        <f>AVERAGE(F90:F93)</f>
        <v>3.6740000000000004</v>
      </c>
      <c r="H90" s="28">
        <f>_xlfn.STDEV.P(F90:F93)</f>
        <v>0.10937949990743248</v>
      </c>
    </row>
    <row r="91" spans="1:24">
      <c r="A91" s="13" t="s">
        <v>264</v>
      </c>
      <c r="B91" s="42" t="s">
        <v>265</v>
      </c>
      <c r="C91" t="s">
        <v>266</v>
      </c>
      <c r="E91">
        <v>0.67500000000000004</v>
      </c>
      <c r="F91">
        <f t="shared" si="0"/>
        <v>3.7125000000000004</v>
      </c>
      <c r="H91" s="14"/>
      <c r="I91" s="1"/>
      <c r="J91" s="2"/>
    </row>
    <row r="92" spans="1:24">
      <c r="A92" s="13" t="s">
        <v>210</v>
      </c>
      <c r="B92" t="s">
        <v>267</v>
      </c>
      <c r="C92" t="s">
        <v>268</v>
      </c>
      <c r="E92">
        <v>0.67900000000000005</v>
      </c>
      <c r="F92">
        <f t="shared" si="0"/>
        <v>3.7345000000000002</v>
      </c>
      <c r="H92" s="14"/>
      <c r="I92" s="1"/>
    </row>
    <row r="93" spans="1:24" ht="16" thickBot="1">
      <c r="A93" s="35"/>
      <c r="B93" s="36" t="s">
        <v>269</v>
      </c>
      <c r="C93" s="36" t="s">
        <v>270</v>
      </c>
      <c r="D93" s="36"/>
      <c r="E93" s="36">
        <v>0.63400000000000001</v>
      </c>
      <c r="F93" s="36">
        <f t="shared" si="0"/>
        <v>3.4870000000000001</v>
      </c>
      <c r="G93" s="36"/>
      <c r="H93" s="37"/>
    </row>
    <row r="94" spans="1:24">
      <c r="A94" s="43" t="s">
        <v>271</v>
      </c>
      <c r="B94" s="4" t="s">
        <v>272</v>
      </c>
      <c r="C94" s="4" t="s">
        <v>273</v>
      </c>
      <c r="D94" s="4"/>
      <c r="E94" s="4">
        <v>1.7410000000000001</v>
      </c>
      <c r="F94" s="4">
        <f t="shared" si="0"/>
        <v>9.5754999999999999</v>
      </c>
      <c r="G94" s="4">
        <f>AVERAGE(F94:F97)</f>
        <v>9.5191249999999989</v>
      </c>
      <c r="H94" s="5">
        <f>_xlfn.STDEV.P(F94:F97)</f>
        <v>0.41726436089726154</v>
      </c>
    </row>
    <row r="95" spans="1:24">
      <c r="A95" s="44" t="s">
        <v>204</v>
      </c>
      <c r="B95" t="s">
        <v>274</v>
      </c>
      <c r="C95" t="s">
        <v>275</v>
      </c>
      <c r="E95">
        <v>1.8080000000000001</v>
      </c>
      <c r="F95">
        <f t="shared" si="0"/>
        <v>9.9440000000000008</v>
      </c>
      <c r="H95" s="14"/>
      <c r="I95" s="1"/>
    </row>
    <row r="96" spans="1:24">
      <c r="A96" s="44" t="s">
        <v>206</v>
      </c>
      <c r="B96" t="s">
        <v>276</v>
      </c>
      <c r="C96" t="s">
        <v>277</v>
      </c>
      <c r="E96">
        <v>1.6060000000000001</v>
      </c>
      <c r="F96">
        <f t="shared" si="0"/>
        <v>8.8330000000000002</v>
      </c>
      <c r="H96" s="14"/>
      <c r="I96" s="1"/>
    </row>
    <row r="97" spans="1:9">
      <c r="A97" s="45" t="s">
        <v>278</v>
      </c>
      <c r="B97" s="21" t="s">
        <v>279</v>
      </c>
      <c r="C97" s="21" t="s">
        <v>280</v>
      </c>
      <c r="D97" s="21"/>
      <c r="E97" s="21">
        <v>1.768</v>
      </c>
      <c r="F97" s="21">
        <f t="shared" si="0"/>
        <v>9.7240000000000002</v>
      </c>
      <c r="G97" s="21"/>
      <c r="H97" s="22"/>
      <c r="I97" s="1"/>
    </row>
    <row r="98" spans="1:9">
      <c r="A98" s="46" t="s">
        <v>281</v>
      </c>
      <c r="B98" s="27" t="s">
        <v>282</v>
      </c>
      <c r="C98" s="27" t="s">
        <v>283</v>
      </c>
      <c r="D98" s="27"/>
      <c r="E98" s="27">
        <v>1.6879999999999999</v>
      </c>
      <c r="F98" s="27">
        <f t="shared" si="0"/>
        <v>9.2839999999999989</v>
      </c>
      <c r="G98" s="27">
        <f>AVERAGE(F98:F101)</f>
        <v>8.6404999999999994</v>
      </c>
      <c r="H98" s="28">
        <f>_xlfn.STDEV.P(F98:F101)</f>
        <v>0.78125171999810639</v>
      </c>
    </row>
    <row r="99" spans="1:9">
      <c r="A99" s="44" t="s">
        <v>216</v>
      </c>
      <c r="B99" t="s">
        <v>284</v>
      </c>
      <c r="C99" t="s">
        <v>285</v>
      </c>
      <c r="E99">
        <v>1.63</v>
      </c>
      <c r="F99">
        <f t="shared" si="0"/>
        <v>8.9649999999999999</v>
      </c>
      <c r="H99" s="14"/>
      <c r="I99" s="1"/>
    </row>
    <row r="100" spans="1:9">
      <c r="A100" s="44" t="s">
        <v>278</v>
      </c>
      <c r="B100" t="s">
        <v>286</v>
      </c>
      <c r="C100" t="s">
        <v>287</v>
      </c>
      <c r="E100">
        <v>1.6379999999999999</v>
      </c>
      <c r="F100">
        <f t="shared" si="0"/>
        <v>9.0090000000000003</v>
      </c>
      <c r="H100" s="14"/>
      <c r="I100" s="1"/>
    </row>
    <row r="101" spans="1:9">
      <c r="A101" s="47"/>
      <c r="B101" s="21" t="s">
        <v>288</v>
      </c>
      <c r="C101" s="21" t="s">
        <v>289</v>
      </c>
      <c r="D101" s="21"/>
      <c r="E101" s="21">
        <v>1.3280000000000001</v>
      </c>
      <c r="F101" s="21">
        <f t="shared" si="0"/>
        <v>7.3040000000000003</v>
      </c>
      <c r="G101" s="21"/>
      <c r="H101" s="22"/>
    </row>
    <row r="102" spans="1:9">
      <c r="A102" s="48" t="s">
        <v>290</v>
      </c>
      <c r="B102" t="s">
        <v>291</v>
      </c>
      <c r="C102" t="s">
        <v>292</v>
      </c>
      <c r="E102">
        <v>1.363</v>
      </c>
      <c r="F102">
        <f t="shared" si="0"/>
        <v>7.4965000000000002</v>
      </c>
      <c r="G102">
        <f>AVERAGE(F102:F105)</f>
        <v>7.6394999999999991</v>
      </c>
      <c r="H102" s="14">
        <f>_xlfn.STDEV.P(F102:F105)</f>
        <v>0.48762703473043784</v>
      </c>
    </row>
    <row r="103" spans="1:9">
      <c r="A103" s="44" t="s">
        <v>223</v>
      </c>
      <c r="B103" t="s">
        <v>293</v>
      </c>
      <c r="C103" t="s">
        <v>294</v>
      </c>
      <c r="E103">
        <v>1.31</v>
      </c>
      <c r="F103">
        <f t="shared" si="0"/>
        <v>7.2050000000000001</v>
      </c>
      <c r="H103" s="14"/>
      <c r="I103" s="1"/>
    </row>
    <row r="104" spans="1:9">
      <c r="A104" s="44" t="s">
        <v>278</v>
      </c>
      <c r="B104" t="s">
        <v>295</v>
      </c>
      <c r="C104" t="s">
        <v>86</v>
      </c>
      <c r="E104">
        <v>1.5389999999999999</v>
      </c>
      <c r="F104">
        <f t="shared" si="0"/>
        <v>8.4644999999999992</v>
      </c>
      <c r="H104" s="14"/>
      <c r="I104" s="1"/>
    </row>
    <row r="105" spans="1:9">
      <c r="A105" s="48"/>
      <c r="B105" t="s">
        <v>296</v>
      </c>
      <c r="C105" t="s">
        <v>297</v>
      </c>
      <c r="E105">
        <v>1.3440000000000001</v>
      </c>
      <c r="F105">
        <f t="shared" si="0"/>
        <v>7.3920000000000003</v>
      </c>
      <c r="H105" s="14"/>
    </row>
    <row r="106" spans="1:9">
      <c r="A106" s="46" t="s">
        <v>298</v>
      </c>
      <c r="B106" s="27" t="s">
        <v>299</v>
      </c>
      <c r="C106" s="27" t="s">
        <v>300</v>
      </c>
      <c r="D106" s="27"/>
      <c r="E106" s="27">
        <v>1.0549999999999999</v>
      </c>
      <c r="F106" s="27">
        <f t="shared" si="0"/>
        <v>5.8024999999999993</v>
      </c>
      <c r="G106" s="27">
        <f>AVERAGE(F106:F109)</f>
        <v>6.1792499999999997</v>
      </c>
      <c r="H106" s="28">
        <f>_xlfn.STDEV.P(F106:F109)</f>
        <v>0.63014616360015963</v>
      </c>
    </row>
    <row r="107" spans="1:9">
      <c r="A107" s="44" t="s">
        <v>264</v>
      </c>
      <c r="B107" t="s">
        <v>301</v>
      </c>
      <c r="C107" t="s">
        <v>302</v>
      </c>
      <c r="E107">
        <v>0.997</v>
      </c>
      <c r="F107">
        <f t="shared" si="0"/>
        <v>5.4835000000000003</v>
      </c>
      <c r="H107" s="14"/>
      <c r="I107" s="1"/>
    </row>
    <row r="108" spans="1:9">
      <c r="A108" s="44" t="s">
        <v>278</v>
      </c>
      <c r="B108" t="s">
        <v>303</v>
      </c>
      <c r="C108" t="s">
        <v>304</v>
      </c>
      <c r="E108">
        <v>1.3009999999999999</v>
      </c>
      <c r="F108">
        <f t="shared" si="0"/>
        <v>7.1555</v>
      </c>
      <c r="H108" s="14"/>
      <c r="I108" s="1"/>
    </row>
    <row r="109" spans="1:9" ht="16" thickBot="1">
      <c r="A109" s="49"/>
      <c r="B109" s="36" t="s">
        <v>305</v>
      </c>
      <c r="C109" s="36" t="s">
        <v>306</v>
      </c>
      <c r="D109" s="36"/>
      <c r="E109" s="36">
        <v>1.141</v>
      </c>
      <c r="F109" s="36">
        <f t="shared" si="0"/>
        <v>6.2755000000000001</v>
      </c>
      <c r="G109" s="36"/>
      <c r="H109" s="37"/>
    </row>
    <row r="110" spans="1:9">
      <c r="A110" s="43" t="s">
        <v>307</v>
      </c>
      <c r="B110" s="4" t="s">
        <v>308</v>
      </c>
      <c r="C110" s="4" t="s">
        <v>309</v>
      </c>
      <c r="D110" s="4" t="s">
        <v>310</v>
      </c>
      <c r="E110" s="4">
        <v>2.355</v>
      </c>
      <c r="F110" s="4">
        <f t="shared" si="0"/>
        <v>12.952500000000001</v>
      </c>
      <c r="G110" s="4">
        <f>AVERAGE(F110:F113)</f>
        <v>10.85975</v>
      </c>
      <c r="H110" s="5">
        <f>_xlfn.STDEV.P(F110:F113)</f>
        <v>1.2175545418994611</v>
      </c>
    </row>
    <row r="111" spans="1:9">
      <c r="A111" s="44" t="s">
        <v>240</v>
      </c>
      <c r="B111" t="s">
        <v>311</v>
      </c>
      <c r="C111" t="s">
        <v>312</v>
      </c>
      <c r="E111">
        <v>1.8109999999999999</v>
      </c>
      <c r="F111">
        <f t="shared" si="0"/>
        <v>9.9604999999999997</v>
      </c>
      <c r="H111" s="14"/>
      <c r="I111" s="1"/>
    </row>
    <row r="112" spans="1:9">
      <c r="A112" s="44" t="s">
        <v>206</v>
      </c>
      <c r="B112" t="s">
        <v>313</v>
      </c>
      <c r="C112" t="s">
        <v>314</v>
      </c>
      <c r="E112">
        <v>1.8440000000000001</v>
      </c>
      <c r="F112">
        <f t="shared" si="0"/>
        <v>10.142000000000001</v>
      </c>
      <c r="H112" s="14"/>
      <c r="I112" s="1"/>
    </row>
    <row r="113" spans="1:9">
      <c r="A113" s="45" t="s">
        <v>278</v>
      </c>
      <c r="B113" s="21" t="s">
        <v>315</v>
      </c>
      <c r="C113" s="21" t="s">
        <v>316</v>
      </c>
      <c r="D113" s="21"/>
      <c r="E113" s="21">
        <v>1.8879999999999999</v>
      </c>
      <c r="F113" s="21">
        <f t="shared" si="0"/>
        <v>10.384</v>
      </c>
      <c r="G113" s="21"/>
      <c r="H113" s="22"/>
      <c r="I113" s="1"/>
    </row>
    <row r="114" spans="1:9">
      <c r="A114" s="46" t="s">
        <v>317</v>
      </c>
      <c r="B114" s="27" t="s">
        <v>318</v>
      </c>
      <c r="C114" s="27" t="s">
        <v>319</v>
      </c>
      <c r="D114" s="27"/>
      <c r="E114" s="27">
        <v>1.7450000000000001</v>
      </c>
      <c r="F114" s="27">
        <f t="shared" si="0"/>
        <v>9.5975000000000001</v>
      </c>
      <c r="G114" s="27">
        <f>AVERAGE(F114:F117)</f>
        <v>9.593375</v>
      </c>
      <c r="H114" s="28">
        <f>_xlfn.STDEV.P(F114:F117)</f>
        <v>0.12520052665624071</v>
      </c>
    </row>
    <row r="115" spans="1:9">
      <c r="A115" s="44" t="s">
        <v>216</v>
      </c>
      <c r="B115" t="s">
        <v>320</v>
      </c>
      <c r="C115" t="s">
        <v>321</v>
      </c>
      <c r="E115">
        <v>1.748</v>
      </c>
      <c r="F115">
        <f t="shared" si="0"/>
        <v>9.6140000000000008</v>
      </c>
      <c r="H115" s="14"/>
      <c r="I115" s="1"/>
    </row>
    <row r="116" spans="1:9">
      <c r="A116" s="44" t="s">
        <v>278</v>
      </c>
      <c r="B116" t="s">
        <v>322</v>
      </c>
      <c r="C116" t="s">
        <v>323</v>
      </c>
      <c r="E116">
        <v>1.71</v>
      </c>
      <c r="F116">
        <f t="shared" si="0"/>
        <v>9.4049999999999994</v>
      </c>
      <c r="H116" s="14"/>
      <c r="I116" s="1"/>
    </row>
    <row r="117" spans="1:9">
      <c r="A117" s="47"/>
      <c r="B117" s="21" t="s">
        <v>324</v>
      </c>
      <c r="C117" s="21" t="s">
        <v>144</v>
      </c>
      <c r="D117" s="21"/>
      <c r="E117" s="21">
        <v>1.774</v>
      </c>
      <c r="F117" s="21">
        <f t="shared" si="0"/>
        <v>9.7569999999999997</v>
      </c>
      <c r="G117" s="21"/>
      <c r="H117" s="22"/>
    </row>
    <row r="118" spans="1:9">
      <c r="A118" s="46" t="s">
        <v>325</v>
      </c>
      <c r="B118" s="27" t="s">
        <v>326</v>
      </c>
      <c r="C118" s="27" t="s">
        <v>327</v>
      </c>
      <c r="D118" s="27"/>
      <c r="E118" s="27">
        <v>1.627</v>
      </c>
      <c r="F118" s="27">
        <f t="shared" si="0"/>
        <v>8.9484999999999992</v>
      </c>
      <c r="G118" s="27">
        <f>AVERAGE(F118:F121)</f>
        <v>9.1506249999999998</v>
      </c>
      <c r="H118" s="28">
        <f>_xlfn.STDEV.P(F118:F121)</f>
        <v>0.18093140101983415</v>
      </c>
    </row>
    <row r="119" spans="1:9">
      <c r="A119" s="44" t="s">
        <v>223</v>
      </c>
      <c r="B119" t="s">
        <v>328</v>
      </c>
      <c r="C119" t="s">
        <v>329</v>
      </c>
      <c r="E119">
        <v>1.704</v>
      </c>
      <c r="F119">
        <f t="shared" si="0"/>
        <v>9.3719999999999999</v>
      </c>
      <c r="H119" s="14"/>
      <c r="I119" s="1"/>
    </row>
    <row r="120" spans="1:9">
      <c r="A120" s="44" t="s">
        <v>278</v>
      </c>
      <c r="B120" t="s">
        <v>330</v>
      </c>
      <c r="C120" t="s">
        <v>331</v>
      </c>
      <c r="E120">
        <v>1.6359999999999999</v>
      </c>
      <c r="F120">
        <f t="shared" si="0"/>
        <v>8.9979999999999993</v>
      </c>
      <c r="H120" s="14"/>
      <c r="I120" s="1"/>
    </row>
    <row r="121" spans="1:9">
      <c r="A121" s="47"/>
      <c r="B121" s="21" t="s">
        <v>332</v>
      </c>
      <c r="C121" s="21" t="s">
        <v>283</v>
      </c>
      <c r="D121" s="21"/>
      <c r="E121" s="21">
        <v>1.6879999999999999</v>
      </c>
      <c r="F121" s="21">
        <f t="shared" si="0"/>
        <v>9.2839999999999989</v>
      </c>
      <c r="G121" s="21"/>
      <c r="H121" s="22"/>
    </row>
    <row r="122" spans="1:9">
      <c r="A122" s="48" t="s">
        <v>333</v>
      </c>
      <c r="B122" t="s">
        <v>334</v>
      </c>
      <c r="C122" t="s">
        <v>335</v>
      </c>
      <c r="E122">
        <v>1.4990000000000001</v>
      </c>
      <c r="F122">
        <f t="shared" si="0"/>
        <v>8.2445000000000004</v>
      </c>
      <c r="G122">
        <f>AVERAGE(F122:F125)</f>
        <v>8.5786250000000006</v>
      </c>
      <c r="H122" s="14">
        <f>_xlfn.STDEV.P(F122:F125)</f>
        <v>0.22162253241717059</v>
      </c>
    </row>
    <row r="123" spans="1:9">
      <c r="A123" s="44" t="s">
        <v>264</v>
      </c>
      <c r="B123" t="s">
        <v>336</v>
      </c>
      <c r="C123" t="s">
        <v>337</v>
      </c>
      <c r="E123">
        <v>1.609</v>
      </c>
      <c r="F123">
        <f t="shared" si="0"/>
        <v>8.849499999999999</v>
      </c>
      <c r="H123" s="14"/>
      <c r="I123" s="1"/>
    </row>
    <row r="124" spans="1:9">
      <c r="A124" s="44" t="s">
        <v>278</v>
      </c>
      <c r="B124" t="s">
        <v>338</v>
      </c>
      <c r="C124" t="s">
        <v>339</v>
      </c>
      <c r="E124">
        <v>1.5529999999999999</v>
      </c>
      <c r="F124">
        <f t="shared" si="0"/>
        <v>8.5414999999999992</v>
      </c>
      <c r="H124" s="14"/>
      <c r="I124" s="1"/>
    </row>
    <row r="125" spans="1:9" ht="16" thickBot="1">
      <c r="A125" s="49"/>
      <c r="B125" s="36" t="s">
        <v>340</v>
      </c>
      <c r="C125" s="36" t="s">
        <v>341</v>
      </c>
      <c r="D125" s="36"/>
      <c r="E125" s="36">
        <v>1.5780000000000001</v>
      </c>
      <c r="F125" s="36">
        <f t="shared" si="0"/>
        <v>8.6790000000000003</v>
      </c>
      <c r="G125" s="36"/>
      <c r="H125" s="37"/>
    </row>
    <row r="127" spans="1:9">
      <c r="A127" t="s">
        <v>105</v>
      </c>
    </row>
    <row r="129" spans="1:3">
      <c r="A129" t="s">
        <v>342</v>
      </c>
    </row>
    <row r="131" spans="1:3">
      <c r="A131" t="s">
        <v>4</v>
      </c>
    </row>
    <row r="132" spans="1:3">
      <c r="A132" t="s">
        <v>103</v>
      </c>
      <c r="B132" t="s">
        <v>343</v>
      </c>
      <c r="C132">
        <v>0</v>
      </c>
    </row>
    <row r="134" spans="1:3">
      <c r="A134" t="s">
        <v>4</v>
      </c>
    </row>
    <row r="135" spans="1:3">
      <c r="A135" t="s">
        <v>344</v>
      </c>
    </row>
    <row r="136" spans="1:3">
      <c r="A136" t="s">
        <v>345</v>
      </c>
    </row>
  </sheetData>
  <mergeCells count="16">
    <mergeCell ref="X63:X64"/>
    <mergeCell ref="P65:P68"/>
    <mergeCell ref="U65:V68"/>
    <mergeCell ref="P69:P72"/>
    <mergeCell ref="U69:V72"/>
    <mergeCell ref="P63:P64"/>
    <mergeCell ref="Q63:Q64"/>
    <mergeCell ref="R63:R64"/>
    <mergeCell ref="S63:S64"/>
    <mergeCell ref="T63:T64"/>
    <mergeCell ref="U63:V64"/>
    <mergeCell ref="P73:P76"/>
    <mergeCell ref="U73:V76"/>
    <mergeCell ref="P77:P80"/>
    <mergeCell ref="U77:V80"/>
    <mergeCell ref="W63:W64"/>
  </mergeCells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85A4E-1B18-EA49-AE99-FF220C61C299}">
  <dimension ref="A1:V134"/>
  <sheetViews>
    <sheetView topLeftCell="A61" zoomScale="75" workbookViewId="0">
      <selection activeCell="Q62" sqref="Q62"/>
    </sheetView>
  </sheetViews>
  <sheetFormatPr baseColWidth="10" defaultColWidth="8.83203125" defaultRowHeight="15"/>
  <cols>
    <col min="22" max="22" width="12.1640625" customWidth="1"/>
  </cols>
  <sheetData>
    <row r="1" spans="1:22">
      <c r="A1" t="s">
        <v>346</v>
      </c>
    </row>
    <row r="2" spans="1:22">
      <c r="A2" t="s">
        <v>1</v>
      </c>
    </row>
    <row r="4" spans="1:22">
      <c r="A4" t="s">
        <v>2</v>
      </c>
    </row>
    <row r="6" spans="1:22">
      <c r="A6" t="s">
        <v>3</v>
      </c>
    </row>
    <row r="7" spans="1:22">
      <c r="A7" t="s">
        <v>4</v>
      </c>
    </row>
    <row r="8" spans="1:22">
      <c r="A8" t="s">
        <v>5</v>
      </c>
      <c r="B8" t="s">
        <v>6</v>
      </c>
      <c r="C8" t="s">
        <v>7</v>
      </c>
      <c r="D8" t="s">
        <v>8</v>
      </c>
      <c r="E8" t="s">
        <v>9</v>
      </c>
      <c r="F8" t="s">
        <v>10</v>
      </c>
      <c r="G8" t="s">
        <v>11</v>
      </c>
      <c r="H8" t="b">
        <v>0</v>
      </c>
      <c r="I8">
        <v>1</v>
      </c>
      <c r="O8">
        <v>1</v>
      </c>
      <c r="P8">
        <v>450</v>
      </c>
      <c r="Q8">
        <v>1</v>
      </c>
      <c r="R8">
        <v>12</v>
      </c>
      <c r="S8">
        <v>96</v>
      </c>
      <c r="T8">
        <v>1</v>
      </c>
      <c r="U8">
        <v>8</v>
      </c>
      <c r="V8" t="s">
        <v>12</v>
      </c>
    </row>
    <row r="9" spans="1:22">
      <c r="A9" t="s">
        <v>13</v>
      </c>
      <c r="B9" t="e" vm="2">
        <f>_FV(0,"0032")</f>
        <v>#VALUE!</v>
      </c>
      <c r="C9" t="s">
        <v>347</v>
      </c>
      <c r="D9" t="s">
        <v>348</v>
      </c>
      <c r="E9" t="s">
        <v>349</v>
      </c>
      <c r="F9" t="s">
        <v>350</v>
      </c>
      <c r="G9" t="s">
        <v>351</v>
      </c>
      <c r="H9" t="s">
        <v>352</v>
      </c>
      <c r="I9" t="s">
        <v>353</v>
      </c>
      <c r="J9" t="s">
        <v>354</v>
      </c>
      <c r="K9" t="e" vm="3">
        <f>_FV(0,"0632")</f>
        <v>#VALUE!</v>
      </c>
      <c r="L9" t="e" vm="4">
        <f>_FV(0,"0631")</f>
        <v>#VALUE!</v>
      </c>
      <c r="M9" t="s">
        <v>355</v>
      </c>
    </row>
    <row r="10" spans="1:22">
      <c r="B10" t="s">
        <v>356</v>
      </c>
      <c r="C10" t="s">
        <v>357</v>
      </c>
      <c r="D10" t="s">
        <v>358</v>
      </c>
      <c r="E10" t="s">
        <v>359</v>
      </c>
      <c r="F10" t="s">
        <v>360</v>
      </c>
      <c r="G10" t="s">
        <v>361</v>
      </c>
      <c r="H10" t="s">
        <v>362</v>
      </c>
      <c r="I10" t="s">
        <v>363</v>
      </c>
      <c r="J10" t="s">
        <v>364</v>
      </c>
      <c r="K10" t="e" vm="5">
        <f>_FV(0,"0633")</f>
        <v>#VALUE!</v>
      </c>
      <c r="L10" t="e" vm="3">
        <f>_FV(0,"0632")</f>
        <v>#VALUE!</v>
      </c>
      <c r="M10" t="s">
        <v>365</v>
      </c>
    </row>
    <row r="11" spans="1:22">
      <c r="B11" t="s">
        <v>366</v>
      </c>
      <c r="C11" t="s">
        <v>367</v>
      </c>
      <c r="D11" t="s">
        <v>368</v>
      </c>
      <c r="E11" t="s">
        <v>369</v>
      </c>
      <c r="F11" t="s">
        <v>370</v>
      </c>
      <c r="G11" t="s">
        <v>371</v>
      </c>
      <c r="H11" t="s">
        <v>372</v>
      </c>
      <c r="I11" t="s">
        <v>373</v>
      </c>
      <c r="J11" t="s">
        <v>374</v>
      </c>
      <c r="K11" t="e" vm="6">
        <f>_FV(0,"0636")</f>
        <v>#VALUE!</v>
      </c>
      <c r="L11" t="e" vm="5">
        <f>_FV(0,"0633")</f>
        <v>#VALUE!</v>
      </c>
      <c r="M11" t="s">
        <v>375</v>
      </c>
    </row>
    <row r="12" spans="1:22">
      <c r="B12" t="s">
        <v>376</v>
      </c>
      <c r="C12" t="s">
        <v>377</v>
      </c>
      <c r="D12" t="s">
        <v>378</v>
      </c>
      <c r="E12" t="s">
        <v>379</v>
      </c>
      <c r="F12" t="s">
        <v>380</v>
      </c>
      <c r="G12" t="s">
        <v>381</v>
      </c>
      <c r="H12" t="s">
        <v>382</v>
      </c>
      <c r="I12" t="s">
        <v>383</v>
      </c>
      <c r="J12" t="s">
        <v>384</v>
      </c>
      <c r="K12" t="e" vm="7">
        <f>_FV(0,"0634")</f>
        <v>#VALUE!</v>
      </c>
      <c r="L12" t="e" vm="3">
        <f>_FV(0,"0632")</f>
        <v>#VALUE!</v>
      </c>
      <c r="M12" t="s">
        <v>385</v>
      </c>
    </row>
    <row r="13" spans="1:22">
      <c r="B13" t="s">
        <v>386</v>
      </c>
      <c r="C13" t="s">
        <v>387</v>
      </c>
      <c r="D13" t="s">
        <v>388</v>
      </c>
      <c r="E13" t="s">
        <v>389</v>
      </c>
      <c r="F13" t="s">
        <v>390</v>
      </c>
      <c r="G13" t="s">
        <v>391</v>
      </c>
      <c r="H13" t="s">
        <v>392</v>
      </c>
      <c r="I13" t="s">
        <v>393</v>
      </c>
      <c r="J13" t="s">
        <v>394</v>
      </c>
      <c r="K13" t="e" vm="8">
        <f>_FV(0,"0635")</f>
        <v>#VALUE!</v>
      </c>
      <c r="L13" t="e" vm="3">
        <f>_FV(0,"0632")</f>
        <v>#VALUE!</v>
      </c>
      <c r="M13" t="s">
        <v>395</v>
      </c>
    </row>
    <row r="14" spans="1:22">
      <c r="B14" t="s">
        <v>396</v>
      </c>
      <c r="C14" t="s">
        <v>397</v>
      </c>
      <c r="D14" t="s">
        <v>398</v>
      </c>
      <c r="E14" t="s">
        <v>399</v>
      </c>
      <c r="F14" t="s">
        <v>400</v>
      </c>
      <c r="G14" t="s">
        <v>401</v>
      </c>
      <c r="H14" t="s">
        <v>402</v>
      </c>
      <c r="I14" t="s">
        <v>403</v>
      </c>
      <c r="J14" t="s">
        <v>404</v>
      </c>
      <c r="K14" t="e" vm="8">
        <f>_FV(0,"0635")</f>
        <v>#VALUE!</v>
      </c>
      <c r="L14" t="e" vm="5">
        <f>_FV(0,"0633")</f>
        <v>#VALUE!</v>
      </c>
      <c r="M14" t="s">
        <v>405</v>
      </c>
    </row>
    <row r="15" spans="1:22">
      <c r="B15" t="s">
        <v>406</v>
      </c>
      <c r="C15" t="s">
        <v>407</v>
      </c>
      <c r="D15" t="s">
        <v>408</v>
      </c>
      <c r="E15" t="s">
        <v>409</v>
      </c>
      <c r="F15" t="s">
        <v>410</v>
      </c>
      <c r="G15" t="s">
        <v>411</v>
      </c>
      <c r="H15" t="s">
        <v>412</v>
      </c>
      <c r="I15" t="s">
        <v>413</v>
      </c>
      <c r="J15" t="s">
        <v>414</v>
      </c>
      <c r="K15" t="e" vm="6">
        <f>_FV(0,"0636")</f>
        <v>#VALUE!</v>
      </c>
      <c r="L15" t="e" vm="7">
        <f>_FV(0,"0634")</f>
        <v>#VALUE!</v>
      </c>
      <c r="M15" t="s">
        <v>415</v>
      </c>
    </row>
    <row r="16" spans="1:22">
      <c r="B16" t="s">
        <v>416</v>
      </c>
      <c r="C16" t="s">
        <v>417</v>
      </c>
      <c r="D16" t="s">
        <v>418</v>
      </c>
      <c r="E16" t="s">
        <v>419</v>
      </c>
      <c r="F16" t="s">
        <v>420</v>
      </c>
      <c r="G16" t="s">
        <v>421</v>
      </c>
      <c r="H16" t="s">
        <v>422</v>
      </c>
      <c r="I16" t="s">
        <v>423</v>
      </c>
      <c r="J16" t="s">
        <v>424</v>
      </c>
      <c r="K16" t="e" vm="5">
        <f>_FV(0,"0633")</f>
        <v>#VALUE!</v>
      </c>
      <c r="L16" t="e" vm="3">
        <f>_FV(0,"0632")</f>
        <v>#VALUE!</v>
      </c>
      <c r="M16" t="s">
        <v>425</v>
      </c>
    </row>
    <row r="18" spans="1:3">
      <c r="A18" t="s">
        <v>4</v>
      </c>
    </row>
    <row r="19" spans="1:3">
      <c r="A19" t="s">
        <v>103</v>
      </c>
      <c r="B19" t="s">
        <v>106</v>
      </c>
      <c r="C19">
        <v>0</v>
      </c>
    </row>
    <row r="21" spans="1:3">
      <c r="A21" t="s">
        <v>105</v>
      </c>
    </row>
    <row r="23" spans="1:3">
      <c r="A23" t="s">
        <v>105</v>
      </c>
    </row>
    <row r="25" spans="1:3">
      <c r="A25" t="s">
        <v>4</v>
      </c>
    </row>
    <row r="26" spans="1:3">
      <c r="A26" t="s">
        <v>103</v>
      </c>
      <c r="B26" t="s">
        <v>107</v>
      </c>
      <c r="C26">
        <v>0</v>
      </c>
    </row>
    <row r="28" spans="1:3">
      <c r="A28" t="s">
        <v>105</v>
      </c>
    </row>
    <row r="30" spans="1:3">
      <c r="A30" t="s">
        <v>105</v>
      </c>
    </row>
    <row r="32" spans="1:3">
      <c r="A32" t="s">
        <v>4</v>
      </c>
    </row>
    <row r="33" spans="1:8">
      <c r="A33" t="s">
        <v>103</v>
      </c>
      <c r="B33" t="s">
        <v>108</v>
      </c>
      <c r="C33">
        <v>0</v>
      </c>
    </row>
    <row r="34" spans="1:8">
      <c r="A34" t="s">
        <v>109</v>
      </c>
      <c r="B34" t="s">
        <v>426</v>
      </c>
      <c r="C34" t="s">
        <v>427</v>
      </c>
      <c r="D34" t="s">
        <v>123</v>
      </c>
      <c r="E34" t="s">
        <v>428</v>
      </c>
      <c r="F34" t="s">
        <v>429</v>
      </c>
      <c r="G34" t="s">
        <v>170</v>
      </c>
      <c r="H34" t="s">
        <v>430</v>
      </c>
    </row>
    <row r="35" spans="1:8">
      <c r="C35" t="s">
        <v>431</v>
      </c>
      <c r="D35" t="s">
        <v>129</v>
      </c>
      <c r="E35" t="s">
        <v>432</v>
      </c>
    </row>
    <row r="36" spans="1:8">
      <c r="C36" t="s">
        <v>433</v>
      </c>
      <c r="D36" t="s">
        <v>134</v>
      </c>
      <c r="E36" t="s">
        <v>428</v>
      </c>
    </row>
    <row r="37" spans="1:8">
      <c r="C37" t="s">
        <v>434</v>
      </c>
      <c r="D37" t="s">
        <v>140</v>
      </c>
      <c r="E37" t="s">
        <v>435</v>
      </c>
    </row>
    <row r="38" spans="1:8">
      <c r="A38" t="s">
        <v>120</v>
      </c>
      <c r="B38" t="s">
        <v>436</v>
      </c>
      <c r="C38" t="s">
        <v>437</v>
      </c>
      <c r="D38" t="s">
        <v>145</v>
      </c>
      <c r="E38" t="s">
        <v>53</v>
      </c>
      <c r="F38" t="s">
        <v>438</v>
      </c>
      <c r="G38" t="s">
        <v>439</v>
      </c>
      <c r="H38" t="s">
        <v>440</v>
      </c>
    </row>
    <row r="39" spans="1:8">
      <c r="C39" t="s">
        <v>441</v>
      </c>
      <c r="D39" t="s">
        <v>151</v>
      </c>
      <c r="E39" t="s">
        <v>438</v>
      </c>
    </row>
    <row r="40" spans="1:8">
      <c r="A40" t="s">
        <v>131</v>
      </c>
      <c r="B40" t="s">
        <v>442</v>
      </c>
      <c r="C40" t="s">
        <v>443</v>
      </c>
      <c r="D40" t="s">
        <v>156</v>
      </c>
      <c r="E40" t="s">
        <v>444</v>
      </c>
      <c r="F40" t="s">
        <v>445</v>
      </c>
      <c r="G40" t="s">
        <v>159</v>
      </c>
      <c r="H40" t="s">
        <v>446</v>
      </c>
    </row>
    <row r="41" spans="1:8">
      <c r="C41" t="s">
        <v>447</v>
      </c>
      <c r="D41" t="s">
        <v>162</v>
      </c>
      <c r="E41" t="s">
        <v>448</v>
      </c>
    </row>
    <row r="42" spans="1:8">
      <c r="A42" t="s">
        <v>142</v>
      </c>
      <c r="B42" t="s">
        <v>449</v>
      </c>
      <c r="C42" t="s">
        <v>450</v>
      </c>
      <c r="D42" t="s">
        <v>167</v>
      </c>
      <c r="E42" t="s">
        <v>451</v>
      </c>
      <c r="F42" t="s">
        <v>452</v>
      </c>
      <c r="G42" t="s">
        <v>453</v>
      </c>
      <c r="H42" t="s">
        <v>454</v>
      </c>
    </row>
    <row r="43" spans="1:8">
      <c r="C43" t="s">
        <v>455</v>
      </c>
      <c r="D43" t="s">
        <v>173</v>
      </c>
      <c r="E43" t="s">
        <v>456</v>
      </c>
    </row>
    <row r="44" spans="1:8">
      <c r="A44" t="s">
        <v>153</v>
      </c>
      <c r="B44" t="s">
        <v>457</v>
      </c>
      <c r="C44" t="s">
        <v>458</v>
      </c>
      <c r="D44" t="s">
        <v>178</v>
      </c>
      <c r="E44" t="s">
        <v>406</v>
      </c>
      <c r="F44" t="s">
        <v>459</v>
      </c>
      <c r="G44" t="s">
        <v>435</v>
      </c>
      <c r="H44" t="s">
        <v>460</v>
      </c>
    </row>
    <row r="45" spans="1:8">
      <c r="C45" t="s">
        <v>461</v>
      </c>
      <c r="D45" t="s">
        <v>184</v>
      </c>
      <c r="E45" t="s">
        <v>462</v>
      </c>
    </row>
    <row r="46" spans="1:8">
      <c r="C46" t="s">
        <v>463</v>
      </c>
      <c r="D46" t="s">
        <v>464</v>
      </c>
      <c r="E46" t="s">
        <v>465</v>
      </c>
    </row>
    <row r="47" spans="1:8">
      <c r="C47" t="s">
        <v>466</v>
      </c>
      <c r="D47" t="s">
        <v>467</v>
      </c>
      <c r="E47" t="s">
        <v>468</v>
      </c>
    </row>
    <row r="48" spans="1:8">
      <c r="A48" s="1" t="s">
        <v>469</v>
      </c>
    </row>
    <row r="49" spans="1:22">
      <c r="A49" t="s">
        <v>429</v>
      </c>
    </row>
    <row r="50" spans="1:22">
      <c r="A50" s="1" t="s">
        <v>470</v>
      </c>
    </row>
    <row r="51" spans="1:22">
      <c r="A51" t="s">
        <v>459</v>
      </c>
    </row>
    <row r="53" spans="1:22">
      <c r="A53" t="s">
        <v>4</v>
      </c>
    </row>
    <row r="54" spans="1:22">
      <c r="A54" t="s">
        <v>103</v>
      </c>
      <c r="B54" t="s">
        <v>185</v>
      </c>
      <c r="C54">
        <v>0</v>
      </c>
    </row>
    <row r="56" spans="1:22">
      <c r="A56" t="s">
        <v>105</v>
      </c>
    </row>
    <row r="58" spans="1:22">
      <c r="A58" t="s">
        <v>4</v>
      </c>
    </row>
    <row r="59" spans="1:22" ht="16" thickBot="1">
      <c r="A59" t="s">
        <v>103</v>
      </c>
      <c r="B59" t="s">
        <v>471</v>
      </c>
      <c r="C59" t="s">
        <v>10</v>
      </c>
      <c r="D59" t="s">
        <v>105</v>
      </c>
      <c r="E59" s="1" t="s">
        <v>472</v>
      </c>
      <c r="F59" s="1" t="s">
        <v>473</v>
      </c>
      <c r="G59" s="1" t="s">
        <v>472</v>
      </c>
      <c r="H59" s="1" t="s">
        <v>474</v>
      </c>
      <c r="I59" s="1" t="s">
        <v>191</v>
      </c>
      <c r="J59" s="1" t="s">
        <v>475</v>
      </c>
      <c r="K59" s="1" t="s">
        <v>476</v>
      </c>
      <c r="L59" s="1" t="s">
        <v>191</v>
      </c>
    </row>
    <row r="60" spans="1:22">
      <c r="A60" s="50" t="s">
        <v>200</v>
      </c>
      <c r="B60" s="4" t="s">
        <v>201</v>
      </c>
      <c r="C60" s="4" t="s">
        <v>477</v>
      </c>
      <c r="D60" s="4"/>
      <c r="E60" s="4" t="s">
        <v>478</v>
      </c>
      <c r="F60" s="4">
        <v>1</v>
      </c>
      <c r="G60" s="4">
        <f>E60*F60</f>
        <v>36.31</v>
      </c>
      <c r="H60" s="4">
        <f>AVERAGE(G60:G63)</f>
        <v>47.729500000000002</v>
      </c>
      <c r="I60" s="4">
        <f>_xlfn.STDEV.P(G60:G63)</f>
        <v>23.597072726293828</v>
      </c>
      <c r="J60" s="4">
        <f t="shared" ref="J60:J123" si="0">(G60*6)/1000</f>
        <v>0.21786000000000003</v>
      </c>
      <c r="K60" s="4">
        <f>AVERAGE(J60:J63)</f>
        <v>0.28637699999999999</v>
      </c>
      <c r="L60" s="5">
        <f>_xlfn.STDEV.P(J60:J63)</f>
        <v>0.14158243635776302</v>
      </c>
      <c r="O60" s="318" t="s">
        <v>188</v>
      </c>
      <c r="P60" s="318" t="s">
        <v>189</v>
      </c>
      <c r="Q60" s="318" t="s">
        <v>190</v>
      </c>
      <c r="R60" s="318" t="s">
        <v>191</v>
      </c>
      <c r="S60" s="318" t="s">
        <v>192</v>
      </c>
      <c r="T60" s="319" t="s">
        <v>193</v>
      </c>
      <c r="U60" s="320"/>
      <c r="V60" s="306" t="s">
        <v>194</v>
      </c>
    </row>
    <row r="61" spans="1:22" ht="15" customHeight="1">
      <c r="A61" s="13" t="s">
        <v>204</v>
      </c>
      <c r="B61" t="s">
        <v>205</v>
      </c>
      <c r="C61" t="s">
        <v>479</v>
      </c>
      <c r="E61" t="s">
        <v>480</v>
      </c>
      <c r="F61">
        <v>1</v>
      </c>
      <c r="G61">
        <f>E61*F61</f>
        <v>68.793000000000006</v>
      </c>
      <c r="J61">
        <f t="shared" si="0"/>
        <v>0.41275800000000001</v>
      </c>
      <c r="L61" s="14"/>
      <c r="O61" s="318"/>
      <c r="P61" s="318"/>
      <c r="Q61" s="306"/>
      <c r="R61" s="306"/>
      <c r="S61" s="306"/>
      <c r="T61" s="321"/>
      <c r="U61" s="322"/>
      <c r="V61" s="323"/>
    </row>
    <row r="62" spans="1:22">
      <c r="A62" s="13" t="s">
        <v>206</v>
      </c>
      <c r="B62" t="s">
        <v>207</v>
      </c>
      <c r="C62" t="s">
        <v>481</v>
      </c>
      <c r="E62" t="s">
        <v>482</v>
      </c>
      <c r="F62">
        <v>1</v>
      </c>
      <c r="G62">
        <f>E62*F62</f>
        <v>71.251000000000005</v>
      </c>
      <c r="J62">
        <f t="shared" si="0"/>
        <v>0.42750600000000005</v>
      </c>
      <c r="L62" s="14"/>
      <c r="O62" s="294">
        <v>1</v>
      </c>
      <c r="P62" s="6">
        <v>0</v>
      </c>
      <c r="Q62" s="8">
        <v>47.729500000000002</v>
      </c>
      <c r="R62" s="7">
        <v>27.247552581225836</v>
      </c>
      <c r="S62" s="8">
        <f t="shared" ref="S62:S68" si="1">R62/2</f>
        <v>13.623776290612918</v>
      </c>
      <c r="T62" s="324" t="s">
        <v>203</v>
      </c>
      <c r="U62" s="324"/>
      <c r="V62" s="8">
        <f>S62/Q62*100</f>
        <v>28.543723044684981</v>
      </c>
    </row>
    <row r="63" spans="1:22">
      <c r="A63" s="19" t="s">
        <v>210</v>
      </c>
      <c r="B63" s="21" t="s">
        <v>211</v>
      </c>
      <c r="C63" s="21" t="s">
        <v>483</v>
      </c>
      <c r="D63" s="21"/>
      <c r="E63" s="21" t="s">
        <v>484</v>
      </c>
      <c r="F63" s="21">
        <v>1</v>
      </c>
      <c r="G63" s="21">
        <f>E63*F63</f>
        <v>14.564</v>
      </c>
      <c r="H63" s="21"/>
      <c r="I63" s="21"/>
      <c r="J63" s="21">
        <f t="shared" si="0"/>
        <v>8.7384000000000003E-2</v>
      </c>
      <c r="K63" s="21"/>
      <c r="L63" s="22"/>
      <c r="O63" s="295"/>
      <c r="P63" s="15">
        <v>8</v>
      </c>
      <c r="Q63" s="38">
        <v>116.59749999999998</v>
      </c>
      <c r="R63" s="38">
        <v>82.465314072038836</v>
      </c>
      <c r="S63" s="17">
        <f t="shared" si="1"/>
        <v>41.232657036019418</v>
      </c>
      <c r="T63" s="310"/>
      <c r="U63" s="325"/>
      <c r="V63" s="17">
        <f t="shared" ref="V63:V77" si="2">S63/Q63*100</f>
        <v>35.363242810540044</v>
      </c>
    </row>
    <row r="64" spans="1:22">
      <c r="A64" s="26" t="s">
        <v>212</v>
      </c>
      <c r="B64" s="27" t="s">
        <v>213</v>
      </c>
      <c r="C64" s="27" t="s">
        <v>485</v>
      </c>
      <c r="D64" s="27"/>
      <c r="E64" s="27" t="s">
        <v>486</v>
      </c>
      <c r="F64" s="27" t="s">
        <v>182</v>
      </c>
      <c r="G64" s="27">
        <f t="shared" ref="G64:G123" si="3">E64/F64</f>
        <v>48.094999999999999</v>
      </c>
      <c r="H64" s="27">
        <f>AVERAGE(G64:G67)</f>
        <v>116.59749999999998</v>
      </c>
      <c r="I64" s="27">
        <f>_xlfn.STDEV.P(G64:G67)</f>
        <v>71.417056917447979</v>
      </c>
      <c r="J64" s="27">
        <f t="shared" si="0"/>
        <v>0.28856999999999999</v>
      </c>
      <c r="K64" s="27">
        <f>AVERAGE(J64:J67)</f>
        <v>0.69958500000000001</v>
      </c>
      <c r="L64" s="28">
        <f>_xlfn.STDEV.P(J64:J67)</f>
        <v>0.42850234150468747</v>
      </c>
      <c r="O64" s="295"/>
      <c r="P64" s="15">
        <v>24</v>
      </c>
      <c r="Q64" s="16">
        <v>87.336250000000007</v>
      </c>
      <c r="R64" s="16">
        <v>45.473638402741983</v>
      </c>
      <c r="S64" s="17">
        <f t="shared" si="1"/>
        <v>22.736819201370992</v>
      </c>
      <c r="T64" s="310"/>
      <c r="U64" s="325"/>
      <c r="V64" s="17">
        <f t="shared" si="2"/>
        <v>26.03365635846626</v>
      </c>
    </row>
    <row r="65" spans="1:22" ht="15" customHeight="1">
      <c r="A65" s="13" t="s">
        <v>216</v>
      </c>
      <c r="B65" t="s">
        <v>217</v>
      </c>
      <c r="C65" t="s">
        <v>487</v>
      </c>
      <c r="E65" t="s">
        <v>488</v>
      </c>
      <c r="F65" t="s">
        <v>182</v>
      </c>
      <c r="G65">
        <f t="shared" si="3"/>
        <v>115.235</v>
      </c>
      <c r="J65">
        <f t="shared" si="0"/>
        <v>0.69140999999999997</v>
      </c>
      <c r="L65" s="14"/>
      <c r="O65" s="296"/>
      <c r="P65" s="23">
        <v>47.9</v>
      </c>
      <c r="Q65" s="16">
        <f>AVERAGE(G72:G75)</f>
        <v>64.223749999999995</v>
      </c>
      <c r="R65" s="16">
        <f>STDEV(G72:G75)</f>
        <v>29.794930602089579</v>
      </c>
      <c r="S65" s="25">
        <f t="shared" si="1"/>
        <v>14.897465301044789</v>
      </c>
      <c r="T65" s="312"/>
      <c r="U65" s="326"/>
      <c r="V65" s="17">
        <f t="shared" si="2"/>
        <v>23.196193465882622</v>
      </c>
    </row>
    <row r="66" spans="1:22">
      <c r="A66" s="13" t="s">
        <v>210</v>
      </c>
      <c r="B66" t="s">
        <v>219</v>
      </c>
      <c r="C66" t="s">
        <v>335</v>
      </c>
      <c r="E66" t="s">
        <v>489</v>
      </c>
      <c r="F66" t="s">
        <v>182</v>
      </c>
      <c r="G66">
        <f t="shared" si="3"/>
        <v>232.97499999999999</v>
      </c>
      <c r="J66">
        <f t="shared" si="0"/>
        <v>1.3978499999999998</v>
      </c>
      <c r="L66" s="14"/>
      <c r="O66" s="303">
        <v>7</v>
      </c>
      <c r="P66" s="8">
        <v>144</v>
      </c>
      <c r="Q66" s="51">
        <f>AVERAGE(G76:G79)</f>
        <v>9.3759999999999994</v>
      </c>
      <c r="R66" s="30">
        <f>STDEV(G76:G79)</f>
        <v>9.4042348616638289</v>
      </c>
      <c r="S66" s="9">
        <f t="shared" si="1"/>
        <v>4.7021174308319145</v>
      </c>
      <c r="T66" s="314" t="s">
        <v>215</v>
      </c>
      <c r="U66" s="327"/>
      <c r="V66" s="17">
        <f t="shared" si="2"/>
        <v>50.150569868087821</v>
      </c>
    </row>
    <row r="67" spans="1:22">
      <c r="A67" s="32"/>
      <c r="B67" s="21" t="s">
        <v>221</v>
      </c>
      <c r="C67" s="21" t="s">
        <v>490</v>
      </c>
      <c r="D67" s="21"/>
      <c r="E67" s="21" t="s">
        <v>491</v>
      </c>
      <c r="F67" s="21" t="s">
        <v>182</v>
      </c>
      <c r="G67" s="21">
        <f t="shared" si="3"/>
        <v>70.084999999999994</v>
      </c>
      <c r="H67" s="21"/>
      <c r="I67" s="21"/>
      <c r="J67" s="21">
        <f t="shared" si="0"/>
        <v>0.42050999999999999</v>
      </c>
      <c r="K67" s="21"/>
      <c r="L67" s="22"/>
      <c r="O67" s="304"/>
      <c r="P67" s="17">
        <v>152</v>
      </c>
      <c r="Q67" s="38">
        <f>AVERAGE(G80:G83)</f>
        <v>19.765000000000001</v>
      </c>
      <c r="R67" s="31">
        <f>STDEV(G80:G83)</f>
        <v>16.403625107477513</v>
      </c>
      <c r="S67" s="18">
        <f t="shared" si="1"/>
        <v>8.2018125537387565</v>
      </c>
      <c r="T67" s="310"/>
      <c r="U67" s="325"/>
      <c r="V67" s="17">
        <f t="shared" si="2"/>
        <v>41.496648387243894</v>
      </c>
    </row>
    <row r="68" spans="1:22">
      <c r="A68" s="26" t="s">
        <v>492</v>
      </c>
      <c r="B68" s="27" t="s">
        <v>493</v>
      </c>
      <c r="C68" s="27" t="s">
        <v>349</v>
      </c>
      <c r="D68" s="27"/>
      <c r="E68" s="27" t="s">
        <v>494</v>
      </c>
      <c r="F68" s="27" t="s">
        <v>182</v>
      </c>
      <c r="G68" s="27">
        <f t="shared" si="3"/>
        <v>34.35</v>
      </c>
      <c r="H68" s="27">
        <f>AVERAGE(G68:G71)</f>
        <v>87.336250000000007</v>
      </c>
      <c r="I68" s="27">
        <f>_xlfn.STDEV.P(G68:G71)</f>
        <v>39.381326059282188</v>
      </c>
      <c r="J68" s="27">
        <f t="shared" si="0"/>
        <v>0.20610000000000003</v>
      </c>
      <c r="K68" s="27">
        <f>AVERAGE(J68:J71)</f>
        <v>0.52401750000000002</v>
      </c>
      <c r="L68" s="28">
        <f>_xlfn.STDEV.P(J68:J71)</f>
        <v>0.23628795635569305</v>
      </c>
      <c r="O68" s="304"/>
      <c r="P68" s="17">
        <v>168</v>
      </c>
      <c r="Q68" s="38">
        <f>AVERAGE(G84:G87)</f>
        <v>19.6675</v>
      </c>
      <c r="R68" s="31">
        <f>STDEV(G84:G87)</f>
        <v>13.097174313568553</v>
      </c>
      <c r="S68" s="18">
        <f t="shared" si="1"/>
        <v>6.5485871567842766</v>
      </c>
      <c r="T68" s="310"/>
      <c r="U68" s="325"/>
      <c r="V68" s="17">
        <f t="shared" si="2"/>
        <v>33.296489928990859</v>
      </c>
    </row>
    <row r="69" spans="1:22" ht="15" customHeight="1">
      <c r="A69" s="13" t="s">
        <v>223</v>
      </c>
      <c r="B69" t="s">
        <v>224</v>
      </c>
      <c r="C69" t="s">
        <v>495</v>
      </c>
      <c r="E69" t="s">
        <v>496</v>
      </c>
      <c r="F69" t="s">
        <v>182</v>
      </c>
      <c r="G69">
        <f t="shared" si="3"/>
        <v>112.62499999999999</v>
      </c>
      <c r="J69">
        <f t="shared" si="0"/>
        <v>0.67574999999999985</v>
      </c>
      <c r="L69" s="14"/>
      <c r="O69" s="305"/>
      <c r="P69" s="25">
        <v>191.9</v>
      </c>
      <c r="Q69" s="16">
        <f>AVERAGE(G88,G90:G91)</f>
        <v>11.656666666666666</v>
      </c>
      <c r="R69" s="33">
        <f>STDEV(G88,G90:G91)</f>
        <v>6.101602931470822</v>
      </c>
      <c r="S69" s="18">
        <f>R69/SQRT(3)</f>
        <v>3.5227620949728888</v>
      </c>
      <c r="T69" s="316"/>
      <c r="U69" s="328"/>
      <c r="V69" s="17">
        <f t="shared" si="2"/>
        <v>30.22100739181775</v>
      </c>
    </row>
    <row r="70" spans="1:22">
      <c r="A70" s="13" t="s">
        <v>210</v>
      </c>
      <c r="B70" t="s">
        <v>227</v>
      </c>
      <c r="C70" t="s">
        <v>497</v>
      </c>
      <c r="E70" t="s">
        <v>498</v>
      </c>
      <c r="F70" t="s">
        <v>182</v>
      </c>
      <c r="G70">
        <f t="shared" si="3"/>
        <v>135.63</v>
      </c>
      <c r="J70">
        <f t="shared" si="0"/>
        <v>0.81377999999999995</v>
      </c>
      <c r="L70" s="14"/>
      <c r="O70" s="294">
        <v>1</v>
      </c>
      <c r="P70" s="6">
        <v>0</v>
      </c>
      <c r="Q70" s="29">
        <f>AVERAGE(G92:G95)</f>
        <v>131.102</v>
      </c>
      <c r="R70" s="29">
        <f>STDEV(G92:G95)</f>
        <v>86.827705417107495</v>
      </c>
      <c r="S70" s="8">
        <f t="shared" ref="S70:S77" si="4">R70/2</f>
        <v>43.413852708553748</v>
      </c>
      <c r="T70" s="297" t="s">
        <v>226</v>
      </c>
      <c r="U70" s="297"/>
      <c r="V70" s="17">
        <f t="shared" si="2"/>
        <v>33.114561721830135</v>
      </c>
    </row>
    <row r="71" spans="1:22">
      <c r="A71" s="32"/>
      <c r="B71" s="21" t="s">
        <v>229</v>
      </c>
      <c r="C71" s="21" t="s">
        <v>499</v>
      </c>
      <c r="D71" s="21"/>
      <c r="E71" s="21" t="s">
        <v>500</v>
      </c>
      <c r="F71" s="21" t="s">
        <v>182</v>
      </c>
      <c r="G71" s="21">
        <f t="shared" si="3"/>
        <v>66.739999999999995</v>
      </c>
      <c r="H71" s="21"/>
      <c r="I71" s="21"/>
      <c r="J71" s="21">
        <f t="shared" si="0"/>
        <v>0.40043999999999996</v>
      </c>
      <c r="K71" s="21"/>
      <c r="L71" s="22"/>
      <c r="O71" s="295"/>
      <c r="P71" s="15">
        <v>8</v>
      </c>
      <c r="Q71" s="16">
        <f>AVERAGE(G96:G99)</f>
        <v>537.25</v>
      </c>
      <c r="R71" s="16">
        <f>STDEV(G96:G99)</f>
        <v>84.113090415027855</v>
      </c>
      <c r="S71" s="17">
        <f t="shared" si="4"/>
        <v>42.056545207513928</v>
      </c>
      <c r="T71" s="299"/>
      <c r="U71" s="299"/>
      <c r="V71" s="17">
        <f t="shared" si="2"/>
        <v>7.8281145104725782</v>
      </c>
    </row>
    <row r="72" spans="1:22">
      <c r="A72" s="26" t="s">
        <v>231</v>
      </c>
      <c r="B72" s="27" t="s">
        <v>232</v>
      </c>
      <c r="C72" s="27" t="s">
        <v>501</v>
      </c>
      <c r="D72" s="27"/>
      <c r="E72" s="27" t="s">
        <v>502</v>
      </c>
      <c r="F72" s="27" t="s">
        <v>182</v>
      </c>
      <c r="G72" s="27">
        <f t="shared" si="3"/>
        <v>26.92</v>
      </c>
      <c r="H72" s="27">
        <f>AVERAGE(G72:G75)</f>
        <v>64.223749999999995</v>
      </c>
      <c r="I72" s="27">
        <f>_xlfn.STDEV.P(G72:G75)</f>
        <v>25.803166805403958</v>
      </c>
      <c r="J72" s="27">
        <f t="shared" si="0"/>
        <v>0.16152</v>
      </c>
      <c r="K72" s="27">
        <f>AVERAGE(J72:J75)</f>
        <v>0.38534250000000003</v>
      </c>
      <c r="L72" s="28">
        <f>_xlfn.STDEV.P(J72:J75)</f>
        <v>0.1548190008324235</v>
      </c>
      <c r="O72" s="295"/>
      <c r="P72" s="15">
        <v>24</v>
      </c>
      <c r="Q72" s="16">
        <f>AVERAGE(G100:G103)</f>
        <v>1028.625</v>
      </c>
      <c r="R72" s="16">
        <f>STDEV(G100:G103)</f>
        <v>142.23456601977287</v>
      </c>
      <c r="S72" s="17">
        <f t="shared" si="4"/>
        <v>71.117283009886435</v>
      </c>
      <c r="T72" s="299"/>
      <c r="U72" s="299"/>
      <c r="V72" s="17">
        <f t="shared" si="2"/>
        <v>6.9138201978258778</v>
      </c>
    </row>
    <row r="73" spans="1:22" ht="15" customHeight="1">
      <c r="A73" s="13" t="s">
        <v>264</v>
      </c>
      <c r="B73" t="s">
        <v>503</v>
      </c>
      <c r="C73" t="s">
        <v>504</v>
      </c>
      <c r="E73" t="s">
        <v>505</v>
      </c>
      <c r="F73" t="s">
        <v>182</v>
      </c>
      <c r="G73">
        <f t="shared" si="3"/>
        <v>86.88</v>
      </c>
      <c r="J73">
        <f t="shared" si="0"/>
        <v>0.52127999999999997</v>
      </c>
      <c r="L73" s="14"/>
      <c r="O73" s="296"/>
      <c r="P73" s="23">
        <v>47.9</v>
      </c>
      <c r="Q73" s="16">
        <f>AVERAGE(G104:G107)</f>
        <v>1037.26875</v>
      </c>
      <c r="R73" s="16">
        <f>STDEV(G104:G107)</f>
        <v>313.29162823624392</v>
      </c>
      <c r="S73" s="25">
        <f t="shared" si="4"/>
        <v>156.64581411812196</v>
      </c>
      <c r="T73" s="301"/>
      <c r="U73" s="301"/>
      <c r="V73" s="17">
        <f t="shared" si="2"/>
        <v>15.101757776672823</v>
      </c>
    </row>
    <row r="74" spans="1:22">
      <c r="A74" s="13" t="s">
        <v>210</v>
      </c>
      <c r="B74" t="s">
        <v>234</v>
      </c>
      <c r="C74" t="s">
        <v>506</v>
      </c>
      <c r="E74" t="s">
        <v>507</v>
      </c>
      <c r="F74" t="s">
        <v>182</v>
      </c>
      <c r="G74">
        <f t="shared" si="3"/>
        <v>89.589999999999989</v>
      </c>
      <c r="J74">
        <f t="shared" si="0"/>
        <v>0.53754000000000002</v>
      </c>
      <c r="L74" s="14"/>
      <c r="O74" s="303">
        <v>7</v>
      </c>
      <c r="P74" s="7">
        <v>144</v>
      </c>
      <c r="Q74" s="30">
        <f>AVERAGE(G108:G111)</f>
        <v>9.5385000000000009</v>
      </c>
      <c r="R74" s="29">
        <f>STDEV(G108:G111)</f>
        <v>6.9849414457101915</v>
      </c>
      <c r="S74" s="17">
        <f t="shared" si="4"/>
        <v>3.4924707228550957</v>
      </c>
      <c r="T74" s="297" t="s">
        <v>226</v>
      </c>
      <c r="U74" s="297"/>
      <c r="V74" s="17">
        <f t="shared" si="2"/>
        <v>36.614464778058348</v>
      </c>
    </row>
    <row r="75" spans="1:22" ht="16" thickBot="1">
      <c r="A75" s="35"/>
      <c r="B75" s="36" t="s">
        <v>236</v>
      </c>
      <c r="C75" s="36" t="s">
        <v>508</v>
      </c>
      <c r="D75" s="36"/>
      <c r="E75" s="36" t="s">
        <v>509</v>
      </c>
      <c r="F75" s="36" t="s">
        <v>182</v>
      </c>
      <c r="G75" s="36">
        <f t="shared" si="3"/>
        <v>53.505000000000003</v>
      </c>
      <c r="H75" s="36"/>
      <c r="I75" s="36"/>
      <c r="J75" s="36">
        <f t="shared" si="0"/>
        <v>0.32103000000000004</v>
      </c>
      <c r="K75" s="36"/>
      <c r="L75" s="37"/>
      <c r="O75" s="304"/>
      <c r="P75" s="38">
        <v>152</v>
      </c>
      <c r="Q75" s="31">
        <f>AVERAGE(G112:G115)</f>
        <v>45.728124999999999</v>
      </c>
      <c r="R75" s="16">
        <f>STDEV(G112:G115)</f>
        <v>6.6602159546444648</v>
      </c>
      <c r="S75" s="17">
        <f t="shared" si="4"/>
        <v>3.3301079773222324</v>
      </c>
      <c r="T75" s="299"/>
      <c r="U75" s="299"/>
      <c r="V75" s="17">
        <f t="shared" si="2"/>
        <v>7.282406565592253</v>
      </c>
    </row>
    <row r="76" spans="1:22">
      <c r="A76" s="3" t="s">
        <v>237</v>
      </c>
      <c r="B76" s="4" t="s">
        <v>238</v>
      </c>
      <c r="C76" s="4" t="s">
        <v>510</v>
      </c>
      <c r="D76" s="4"/>
      <c r="E76" s="4" t="s">
        <v>511</v>
      </c>
      <c r="F76" s="4">
        <v>1</v>
      </c>
      <c r="G76" s="4">
        <f t="shared" si="3"/>
        <v>16.529</v>
      </c>
      <c r="H76" s="4">
        <f>AVERAGE(G76:G79)</f>
        <v>9.3759999999999994</v>
      </c>
      <c r="I76" s="4">
        <f>_xlfn.STDEV.P(G76:G79)</f>
        <v>8.144306293356113</v>
      </c>
      <c r="J76" s="4">
        <f t="shared" si="0"/>
        <v>9.9174000000000012E-2</v>
      </c>
      <c r="K76" s="4">
        <f>AVERAGE(J76:J79)</f>
        <v>5.6256E-2</v>
      </c>
      <c r="L76" s="5">
        <f>_xlfn.STDEV.P(J76:J79)</f>
        <v>4.8865837760136678E-2</v>
      </c>
      <c r="O76" s="304"/>
      <c r="P76" s="38">
        <v>168</v>
      </c>
      <c r="Q76" s="31">
        <f>AVERAGE(G116:G119)</f>
        <v>71.828125</v>
      </c>
      <c r="R76" s="16">
        <f>STDEV(G116:G119)</f>
        <v>8.1982173811851737</v>
      </c>
      <c r="S76" s="17">
        <f t="shared" si="4"/>
        <v>4.0991086905925869</v>
      </c>
      <c r="T76" s="299"/>
      <c r="U76" s="299"/>
      <c r="V76" s="17">
        <f t="shared" si="2"/>
        <v>5.7068295888171754</v>
      </c>
    </row>
    <row r="77" spans="1:22">
      <c r="A77" s="13" t="s">
        <v>240</v>
      </c>
      <c r="B77" t="s">
        <v>241</v>
      </c>
      <c r="C77" t="s">
        <v>512</v>
      </c>
      <c r="E77" t="s">
        <v>513</v>
      </c>
      <c r="F77">
        <v>1</v>
      </c>
      <c r="G77">
        <f t="shared" si="3"/>
        <v>18.452999999999999</v>
      </c>
      <c r="J77">
        <f t="shared" si="0"/>
        <v>0.11071799999999998</v>
      </c>
      <c r="L77" s="14"/>
      <c r="O77" s="305"/>
      <c r="P77" s="39">
        <v>191.9</v>
      </c>
      <c r="Q77" s="33">
        <f>AVERAGE(G120:G123)</f>
        <v>74.418749999999989</v>
      </c>
      <c r="R77" s="24">
        <f>STDEV(G120:G123)</f>
        <v>8.5073099694713559</v>
      </c>
      <c r="S77" s="25">
        <f t="shared" si="4"/>
        <v>4.2536549847356779</v>
      </c>
      <c r="T77" s="301"/>
      <c r="U77" s="301"/>
      <c r="V77" s="25">
        <f t="shared" si="2"/>
        <v>5.7158377219930179</v>
      </c>
    </row>
    <row r="78" spans="1:22">
      <c r="A78" s="13" t="s">
        <v>206</v>
      </c>
      <c r="B78" t="s">
        <v>514</v>
      </c>
      <c r="C78" t="s">
        <v>453</v>
      </c>
      <c r="D78" t="s">
        <v>310</v>
      </c>
      <c r="E78" t="s">
        <v>515</v>
      </c>
      <c r="F78">
        <v>1</v>
      </c>
      <c r="G78">
        <f t="shared" si="3"/>
        <v>1.095</v>
      </c>
      <c r="J78">
        <f t="shared" si="0"/>
        <v>6.5700000000000003E-3</v>
      </c>
      <c r="L78" s="14"/>
    </row>
    <row r="79" spans="1:22">
      <c r="A79" s="19" t="s">
        <v>210</v>
      </c>
      <c r="B79" s="21" t="s">
        <v>243</v>
      </c>
      <c r="C79" s="21" t="s">
        <v>516</v>
      </c>
      <c r="D79" s="21" t="s">
        <v>310</v>
      </c>
      <c r="E79" s="21" t="s">
        <v>517</v>
      </c>
      <c r="F79" s="21">
        <v>1</v>
      </c>
      <c r="G79" s="21">
        <f t="shared" si="3"/>
        <v>1.427</v>
      </c>
      <c r="H79" s="21"/>
      <c r="I79" s="21"/>
      <c r="J79" s="21">
        <f t="shared" si="0"/>
        <v>8.5620000000000019E-3</v>
      </c>
      <c r="K79" s="21"/>
      <c r="L79" s="22"/>
    </row>
    <row r="80" spans="1:22">
      <c r="A80" s="26" t="s">
        <v>245</v>
      </c>
      <c r="B80" s="27" t="s">
        <v>246</v>
      </c>
      <c r="C80" s="27" t="s">
        <v>353</v>
      </c>
      <c r="D80" s="27"/>
      <c r="E80" s="27" t="s">
        <v>518</v>
      </c>
      <c r="F80" s="27" t="s">
        <v>182</v>
      </c>
      <c r="G80" s="27">
        <f t="shared" si="3"/>
        <v>20.099999999999998</v>
      </c>
      <c r="H80" s="27">
        <f>AVERAGE(G80:G83)</f>
        <v>19.765000000000001</v>
      </c>
      <c r="I80" s="27">
        <f>_xlfn.STDEV.P(G80:G83)</f>
        <v>14.205956057231768</v>
      </c>
      <c r="J80" s="27">
        <f t="shared" si="0"/>
        <v>0.1206</v>
      </c>
      <c r="K80" s="27">
        <f>AVERAGE(J80:J83)</f>
        <v>0.11859</v>
      </c>
      <c r="L80" s="28">
        <f>_xlfn.STDEV.P(J80:J83)</f>
        <v>8.5235736343390628E-2</v>
      </c>
    </row>
    <row r="81" spans="1:12">
      <c r="A81" s="13" t="s">
        <v>216</v>
      </c>
      <c r="B81" t="s">
        <v>248</v>
      </c>
      <c r="C81" t="s">
        <v>519</v>
      </c>
      <c r="E81" t="s">
        <v>520</v>
      </c>
      <c r="F81" t="s">
        <v>182</v>
      </c>
      <c r="G81">
        <f t="shared" si="3"/>
        <v>42.805</v>
      </c>
      <c r="J81">
        <f t="shared" si="0"/>
        <v>0.25683</v>
      </c>
      <c r="L81" s="14"/>
    </row>
    <row r="82" spans="1:12">
      <c r="A82" s="13" t="s">
        <v>210</v>
      </c>
      <c r="B82" t="s">
        <v>250</v>
      </c>
      <c r="C82" t="s">
        <v>372</v>
      </c>
      <c r="D82" t="s">
        <v>310</v>
      </c>
      <c r="E82" t="s">
        <v>521</v>
      </c>
      <c r="F82" t="s">
        <v>182</v>
      </c>
      <c r="G82">
        <f t="shared" si="3"/>
        <v>6.835</v>
      </c>
      <c r="J82">
        <f t="shared" si="0"/>
        <v>4.1009999999999998E-2</v>
      </c>
      <c r="L82" s="14"/>
    </row>
    <row r="83" spans="1:12">
      <c r="A83" s="32"/>
      <c r="B83" s="21" t="s">
        <v>252</v>
      </c>
      <c r="C83" s="21" t="s">
        <v>522</v>
      </c>
      <c r="D83" s="21" t="s">
        <v>310</v>
      </c>
      <c r="E83" s="21" t="s">
        <v>523</v>
      </c>
      <c r="F83" s="21" t="s">
        <v>182</v>
      </c>
      <c r="G83" s="21">
        <f t="shared" si="3"/>
        <v>9.32</v>
      </c>
      <c r="H83" s="21"/>
      <c r="I83" s="21"/>
      <c r="J83" s="21">
        <f t="shared" si="0"/>
        <v>5.5920000000000004E-2</v>
      </c>
      <c r="K83" s="21"/>
      <c r="L83" s="22"/>
    </row>
    <row r="84" spans="1:12">
      <c r="A84" s="26" t="s">
        <v>253</v>
      </c>
      <c r="B84" s="27" t="s">
        <v>254</v>
      </c>
      <c r="C84" s="27" t="s">
        <v>353</v>
      </c>
      <c r="D84" s="27"/>
      <c r="E84" s="27" t="s">
        <v>524</v>
      </c>
      <c r="F84" s="27" t="s">
        <v>182</v>
      </c>
      <c r="G84" s="27">
        <f t="shared" si="3"/>
        <v>20.024999999999999</v>
      </c>
      <c r="H84" s="27">
        <f>AVERAGE(G84:G87)</f>
        <v>19.6675</v>
      </c>
      <c r="I84" s="27">
        <f>_xlfn.STDEV.P(G84:G87)</f>
        <v>11.342485673343385</v>
      </c>
      <c r="J84" s="27">
        <f t="shared" si="0"/>
        <v>0.12014999999999999</v>
      </c>
      <c r="K84" s="27">
        <f>AVERAGE(J84:J87)</f>
        <v>0.118005</v>
      </c>
      <c r="L84" s="28">
        <f>_xlfn.STDEV.P(J84:J87)</f>
        <v>6.8054914040060324E-2</v>
      </c>
    </row>
    <row r="85" spans="1:12">
      <c r="A85" s="13" t="s">
        <v>223</v>
      </c>
      <c r="B85" t="s">
        <v>256</v>
      </c>
      <c r="C85" t="s">
        <v>525</v>
      </c>
      <c r="E85" t="s">
        <v>526</v>
      </c>
      <c r="F85" t="s">
        <v>182</v>
      </c>
      <c r="G85">
        <f t="shared" si="3"/>
        <v>38.01</v>
      </c>
      <c r="J85">
        <f t="shared" si="0"/>
        <v>0.22806000000000001</v>
      </c>
      <c r="L85" s="14"/>
    </row>
    <row r="86" spans="1:12">
      <c r="A86" s="13" t="s">
        <v>210</v>
      </c>
      <c r="B86" t="s">
        <v>258</v>
      </c>
      <c r="C86" t="s">
        <v>527</v>
      </c>
      <c r="D86" t="s">
        <v>310</v>
      </c>
      <c r="E86" t="s">
        <v>528</v>
      </c>
      <c r="F86" t="s">
        <v>182</v>
      </c>
      <c r="G86">
        <f t="shared" si="3"/>
        <v>9.0549999999999997</v>
      </c>
      <c r="J86">
        <f t="shared" si="0"/>
        <v>5.4329999999999996E-2</v>
      </c>
      <c r="L86" s="14"/>
    </row>
    <row r="87" spans="1:12">
      <c r="A87" s="32"/>
      <c r="B87" s="21" t="s">
        <v>260</v>
      </c>
      <c r="C87" s="21" t="s">
        <v>529</v>
      </c>
      <c r="D87" s="21" t="s">
        <v>310</v>
      </c>
      <c r="E87" s="21" t="s">
        <v>530</v>
      </c>
      <c r="F87" s="21" t="s">
        <v>182</v>
      </c>
      <c r="G87" s="21">
        <f t="shared" si="3"/>
        <v>11.579999999999998</v>
      </c>
      <c r="H87" s="21"/>
      <c r="I87" s="21"/>
      <c r="J87" s="21">
        <f t="shared" si="0"/>
        <v>6.9479999999999986E-2</v>
      </c>
      <c r="K87" s="21"/>
      <c r="L87" s="22"/>
    </row>
    <row r="88" spans="1:12">
      <c r="A88" s="26" t="s">
        <v>261</v>
      </c>
      <c r="B88" s="27" t="s">
        <v>262</v>
      </c>
      <c r="C88" s="27" t="s">
        <v>531</v>
      </c>
      <c r="D88" s="27" t="s">
        <v>310</v>
      </c>
      <c r="E88" s="27" t="s">
        <v>532</v>
      </c>
      <c r="F88" s="27" t="s">
        <v>182</v>
      </c>
      <c r="G88" s="27">
        <f t="shared" si="3"/>
        <v>14.03</v>
      </c>
      <c r="H88" s="27">
        <f>AVERAGE(G88,G90:G91)</f>
        <v>11.656666666666666</v>
      </c>
      <c r="I88" s="27">
        <f>_xlfn.STDEV.P(G88,G90:G91)</f>
        <v>4.9819379317245165</v>
      </c>
      <c r="J88" s="27">
        <f t="shared" si="0"/>
        <v>8.4179999999999991E-2</v>
      </c>
      <c r="K88" s="27">
        <f>AVERAGE(J88,J90:J91)</f>
        <v>6.9939999999999988E-2</v>
      </c>
      <c r="L88" s="28">
        <f>_xlfn.STDEV.P(J88,J90:J91)</f>
        <v>2.9891627590347098E-2</v>
      </c>
    </row>
    <row r="89" spans="1:12">
      <c r="A89" s="13" t="s">
        <v>264</v>
      </c>
      <c r="B89" s="2" t="s">
        <v>265</v>
      </c>
      <c r="C89" s="2" t="s">
        <v>533</v>
      </c>
      <c r="D89" s="2"/>
      <c r="E89" s="2" t="s">
        <v>534</v>
      </c>
      <c r="F89" s="2" t="s">
        <v>182</v>
      </c>
      <c r="G89" s="2">
        <f t="shared" si="3"/>
        <v>136.21</v>
      </c>
      <c r="J89" s="2">
        <f t="shared" si="0"/>
        <v>0.81725999999999999</v>
      </c>
      <c r="K89" s="2" t="s">
        <v>535</v>
      </c>
      <c r="L89" s="14"/>
    </row>
    <row r="90" spans="1:12">
      <c r="A90" s="13" t="s">
        <v>210</v>
      </c>
      <c r="B90" t="s">
        <v>267</v>
      </c>
      <c r="C90" t="s">
        <v>536</v>
      </c>
      <c r="D90" t="s">
        <v>310</v>
      </c>
      <c r="E90" t="s">
        <v>537</v>
      </c>
      <c r="F90" t="s">
        <v>182</v>
      </c>
      <c r="G90">
        <f t="shared" si="3"/>
        <v>4.7249999999999996</v>
      </c>
      <c r="J90">
        <f t="shared" si="0"/>
        <v>2.8349999999999997E-2</v>
      </c>
      <c r="L90" s="14"/>
    </row>
    <row r="91" spans="1:12" ht="16" thickBot="1">
      <c r="A91" s="52"/>
      <c r="B91" s="36" t="s">
        <v>269</v>
      </c>
      <c r="C91" s="36" t="s">
        <v>428</v>
      </c>
      <c r="D91" s="36" t="s">
        <v>310</v>
      </c>
      <c r="E91" s="36" t="s">
        <v>538</v>
      </c>
      <c r="F91" s="36" t="s">
        <v>182</v>
      </c>
      <c r="G91" s="36">
        <f t="shared" si="3"/>
        <v>16.215</v>
      </c>
      <c r="H91" s="36"/>
      <c r="I91" s="36"/>
      <c r="J91" s="36">
        <f t="shared" si="0"/>
        <v>9.7289999999999988E-2</v>
      </c>
      <c r="K91" s="36"/>
      <c r="L91" s="37"/>
    </row>
    <row r="92" spans="1:12">
      <c r="A92" s="43" t="s">
        <v>271</v>
      </c>
      <c r="B92" s="4" t="s">
        <v>272</v>
      </c>
      <c r="C92" s="4" t="s">
        <v>539</v>
      </c>
      <c r="D92" s="4"/>
      <c r="E92" s="4" t="s">
        <v>540</v>
      </c>
      <c r="F92" s="4">
        <v>1</v>
      </c>
      <c r="G92" s="4">
        <f t="shared" si="3"/>
        <v>112.087</v>
      </c>
      <c r="H92" s="4">
        <f>AVERAGE(G92:G95)</f>
        <v>131.102</v>
      </c>
      <c r="I92" s="4">
        <f>_xlfn.STDEV.P(G92:G95)</f>
        <v>75.194998643526802</v>
      </c>
      <c r="J92" s="4">
        <f t="shared" si="0"/>
        <v>0.67252200000000006</v>
      </c>
      <c r="K92" s="4">
        <f>AVERAGE(J92:J95)</f>
        <v>0.78661200000000009</v>
      </c>
      <c r="L92" s="5">
        <f>_xlfn.STDEV.P(J92:J95)</f>
        <v>0.45116999186116086</v>
      </c>
    </row>
    <row r="93" spans="1:12">
      <c r="A93" s="44" t="s">
        <v>204</v>
      </c>
      <c r="B93" t="s">
        <v>274</v>
      </c>
      <c r="C93" t="s">
        <v>541</v>
      </c>
      <c r="D93" t="s">
        <v>310</v>
      </c>
      <c r="E93" t="s">
        <v>542</v>
      </c>
      <c r="F93">
        <v>1</v>
      </c>
      <c r="G93">
        <f t="shared" si="3"/>
        <v>258.041</v>
      </c>
      <c r="J93">
        <f t="shared" si="0"/>
        <v>1.548246</v>
      </c>
      <c r="L93" s="14"/>
    </row>
    <row r="94" spans="1:12">
      <c r="A94" s="44" t="s">
        <v>206</v>
      </c>
      <c r="B94" t="s">
        <v>276</v>
      </c>
      <c r="C94" t="s">
        <v>543</v>
      </c>
      <c r="E94" t="s">
        <v>544</v>
      </c>
      <c r="F94">
        <v>1</v>
      </c>
      <c r="G94">
        <f t="shared" si="3"/>
        <v>89.754999999999995</v>
      </c>
      <c r="J94">
        <f t="shared" si="0"/>
        <v>0.53852999999999995</v>
      </c>
      <c r="L94" s="14"/>
    </row>
    <row r="95" spans="1:12">
      <c r="A95" s="45" t="s">
        <v>278</v>
      </c>
      <c r="B95" s="21" t="s">
        <v>279</v>
      </c>
      <c r="C95" s="21" t="s">
        <v>545</v>
      </c>
      <c r="D95" s="21"/>
      <c r="E95" s="21" t="s">
        <v>546</v>
      </c>
      <c r="F95" s="21">
        <v>1</v>
      </c>
      <c r="G95" s="21">
        <f t="shared" si="3"/>
        <v>64.525000000000006</v>
      </c>
      <c r="H95" s="21"/>
      <c r="I95" s="21"/>
      <c r="J95" s="21">
        <f t="shared" si="0"/>
        <v>0.38715000000000005</v>
      </c>
      <c r="K95" s="21"/>
      <c r="L95" s="22"/>
    </row>
    <row r="96" spans="1:12">
      <c r="A96" s="46" t="s">
        <v>281</v>
      </c>
      <c r="B96" s="27" t="s">
        <v>282</v>
      </c>
      <c r="C96" s="27" t="s">
        <v>547</v>
      </c>
      <c r="D96" s="27"/>
      <c r="E96" s="27" t="s">
        <v>548</v>
      </c>
      <c r="F96" s="27">
        <v>0.08</v>
      </c>
      <c r="G96" s="27">
        <f t="shared" si="3"/>
        <v>463.53749999999997</v>
      </c>
      <c r="H96" s="27">
        <f>AVERAGE(G96:G99)</f>
        <v>537.25</v>
      </c>
      <c r="I96" s="27">
        <f>_xlfn.STDEV.P(G96:G99)</f>
        <v>72.84407309023149</v>
      </c>
      <c r="J96" s="27">
        <f t="shared" si="0"/>
        <v>2.7812250000000001</v>
      </c>
      <c r="K96" s="27">
        <f>AVERAGE(J96:J99)</f>
        <v>3.2235</v>
      </c>
      <c r="L96" s="28">
        <f>_xlfn.STDEV.P(J96:J99)</f>
        <v>0.43706443854138805</v>
      </c>
    </row>
    <row r="97" spans="1:19">
      <c r="A97" s="44" t="s">
        <v>216</v>
      </c>
      <c r="B97" t="s">
        <v>284</v>
      </c>
      <c r="C97" t="s">
        <v>549</v>
      </c>
      <c r="E97" t="s">
        <v>550</v>
      </c>
      <c r="F97">
        <v>0.08</v>
      </c>
      <c r="G97">
        <f t="shared" si="3"/>
        <v>658.33749999999998</v>
      </c>
      <c r="J97">
        <f t="shared" si="0"/>
        <v>3.9500249999999997</v>
      </c>
      <c r="L97" s="14"/>
    </row>
    <row r="98" spans="1:19">
      <c r="A98" s="44" t="s">
        <v>278</v>
      </c>
      <c r="B98" t="s">
        <v>286</v>
      </c>
      <c r="C98" t="s">
        <v>551</v>
      </c>
      <c r="E98" t="s">
        <v>552</v>
      </c>
      <c r="F98">
        <v>0.08</v>
      </c>
      <c r="G98">
        <f t="shared" si="3"/>
        <v>515.44999999999993</v>
      </c>
      <c r="J98">
        <f t="shared" si="0"/>
        <v>3.0926999999999998</v>
      </c>
      <c r="L98" s="14"/>
    </row>
    <row r="99" spans="1:19">
      <c r="A99" s="47"/>
      <c r="B99" s="21" t="s">
        <v>288</v>
      </c>
      <c r="C99" s="21" t="s">
        <v>553</v>
      </c>
      <c r="D99" s="21"/>
      <c r="E99" s="21" t="s">
        <v>554</v>
      </c>
      <c r="F99" s="21">
        <v>0.08</v>
      </c>
      <c r="G99" s="21">
        <f t="shared" si="3"/>
        <v>511.67499999999995</v>
      </c>
      <c r="H99" s="21"/>
      <c r="I99" s="21"/>
      <c r="J99" s="21">
        <f t="shared" si="0"/>
        <v>3.0700499999999997</v>
      </c>
      <c r="K99" s="21"/>
      <c r="L99" s="22"/>
    </row>
    <row r="100" spans="1:19">
      <c r="A100" s="46" t="s">
        <v>290</v>
      </c>
      <c r="B100" s="27" t="s">
        <v>291</v>
      </c>
      <c r="C100" s="27" t="s">
        <v>555</v>
      </c>
      <c r="D100" s="27"/>
      <c r="E100" s="27" t="s">
        <v>556</v>
      </c>
      <c r="F100" s="27">
        <v>0.08</v>
      </c>
      <c r="G100" s="27">
        <f t="shared" si="3"/>
        <v>951.47499999999991</v>
      </c>
      <c r="H100" s="27">
        <f>AVERAGE(G100:G103)</f>
        <v>1028.625</v>
      </c>
      <c r="I100" s="27">
        <f>_xlfn.STDEV.P(G100:G103)</f>
        <v>123.17874746937818</v>
      </c>
      <c r="J100" s="27">
        <f t="shared" si="0"/>
        <v>5.7088499999999991</v>
      </c>
      <c r="K100" s="27">
        <f>AVERAGE(J100:J103)</f>
        <v>6.1717499999999994</v>
      </c>
      <c r="L100" s="28">
        <f>_xlfn.STDEV.P(J100:J103)</f>
        <v>0.73907248481627674</v>
      </c>
    </row>
    <row r="101" spans="1:19">
      <c r="A101" s="44" t="s">
        <v>223</v>
      </c>
      <c r="B101" t="s">
        <v>293</v>
      </c>
      <c r="C101" t="s">
        <v>557</v>
      </c>
      <c r="E101" t="s">
        <v>558</v>
      </c>
      <c r="F101">
        <v>0.08</v>
      </c>
      <c r="G101">
        <f t="shared" si="3"/>
        <v>1024.4124999999999</v>
      </c>
      <c r="J101">
        <f t="shared" si="0"/>
        <v>6.1464749999999997</v>
      </c>
      <c r="L101" s="14"/>
    </row>
    <row r="102" spans="1:19">
      <c r="A102" s="44" t="s">
        <v>278</v>
      </c>
      <c r="B102" t="s">
        <v>295</v>
      </c>
      <c r="C102" t="s">
        <v>559</v>
      </c>
      <c r="E102" t="s">
        <v>560</v>
      </c>
      <c r="F102">
        <v>0.08</v>
      </c>
      <c r="G102">
        <f t="shared" si="3"/>
        <v>1229.6374999999998</v>
      </c>
      <c r="J102">
        <f t="shared" si="0"/>
        <v>7.3778249999999987</v>
      </c>
      <c r="L102" s="14"/>
    </row>
    <row r="103" spans="1:19">
      <c r="A103" s="47"/>
      <c r="B103" s="21" t="s">
        <v>296</v>
      </c>
      <c r="C103" s="21" t="s">
        <v>561</v>
      </c>
      <c r="D103" s="21"/>
      <c r="E103" s="21" t="s">
        <v>562</v>
      </c>
      <c r="F103" s="21">
        <v>0.08</v>
      </c>
      <c r="G103" s="21">
        <f t="shared" si="3"/>
        <v>908.97500000000002</v>
      </c>
      <c r="H103" s="21"/>
      <c r="I103" s="21"/>
      <c r="J103" s="21">
        <f t="shared" si="0"/>
        <v>5.4538500000000001</v>
      </c>
      <c r="K103" s="21"/>
      <c r="L103" s="22"/>
    </row>
    <row r="104" spans="1:19">
      <c r="A104" s="46" t="s">
        <v>298</v>
      </c>
      <c r="B104" s="27" t="s">
        <v>299</v>
      </c>
      <c r="C104" s="27" t="s">
        <v>563</v>
      </c>
      <c r="D104" s="27"/>
      <c r="E104" s="27" t="s">
        <v>564</v>
      </c>
      <c r="F104" s="27">
        <v>0.08</v>
      </c>
      <c r="G104" s="27">
        <f t="shared" si="3"/>
        <v>828.7</v>
      </c>
      <c r="H104" s="27">
        <f>AVERAGE(G104:G107)</f>
        <v>1037.26875</v>
      </c>
      <c r="I104" s="27">
        <f>_xlfn.STDEV.P(G104:G107)</f>
        <v>271.31850884557736</v>
      </c>
      <c r="J104" s="27">
        <f t="shared" si="0"/>
        <v>4.9722000000000008</v>
      </c>
      <c r="K104" s="27">
        <f>AVERAGE(J104:J107)</f>
        <v>6.2236124999999998</v>
      </c>
      <c r="L104" s="28">
        <f>_xlfn.STDEV.P(J104:J107)</f>
        <v>1.6279110530734646</v>
      </c>
    </row>
    <row r="105" spans="1:19">
      <c r="A105" s="44" t="s">
        <v>264</v>
      </c>
      <c r="B105" t="s">
        <v>301</v>
      </c>
      <c r="C105" t="s">
        <v>565</v>
      </c>
      <c r="E105" t="s">
        <v>566</v>
      </c>
      <c r="F105">
        <v>0.08</v>
      </c>
      <c r="G105">
        <f t="shared" si="3"/>
        <v>907.77499999999998</v>
      </c>
      <c r="J105">
        <f t="shared" si="0"/>
        <v>5.44665</v>
      </c>
      <c r="L105" s="14"/>
    </row>
    <row r="106" spans="1:19">
      <c r="A106" s="44" t="s">
        <v>278</v>
      </c>
      <c r="B106" t="s">
        <v>303</v>
      </c>
      <c r="C106" t="s">
        <v>567</v>
      </c>
      <c r="E106" t="s">
        <v>568</v>
      </c>
      <c r="F106">
        <v>0.08</v>
      </c>
      <c r="G106">
        <f t="shared" si="3"/>
        <v>1503.825</v>
      </c>
      <c r="J106">
        <f t="shared" si="0"/>
        <v>9.0229500000000016</v>
      </c>
      <c r="L106" s="14"/>
    </row>
    <row r="107" spans="1:19" ht="16" thickBot="1">
      <c r="A107" s="49"/>
      <c r="B107" s="36" t="s">
        <v>305</v>
      </c>
      <c r="C107" s="36" t="s">
        <v>561</v>
      </c>
      <c r="D107" s="36"/>
      <c r="E107" s="36" t="s">
        <v>569</v>
      </c>
      <c r="F107" s="36">
        <v>0.08</v>
      </c>
      <c r="G107" s="36">
        <f t="shared" si="3"/>
        <v>908.77499999999998</v>
      </c>
      <c r="H107" s="36"/>
      <c r="I107" s="36"/>
      <c r="J107" s="36">
        <f t="shared" si="0"/>
        <v>5.4526499999999993</v>
      </c>
      <c r="K107" s="36"/>
      <c r="L107" s="37"/>
    </row>
    <row r="108" spans="1:19">
      <c r="A108" s="43" t="s">
        <v>307</v>
      </c>
      <c r="B108" s="4" t="s">
        <v>308</v>
      </c>
      <c r="C108" s="4" t="s">
        <v>570</v>
      </c>
      <c r="D108" s="4"/>
      <c r="E108" s="4" t="s">
        <v>571</v>
      </c>
      <c r="F108" s="4">
        <v>1</v>
      </c>
      <c r="G108" s="4">
        <f t="shared" si="3"/>
        <v>19.821000000000002</v>
      </c>
      <c r="H108" s="4">
        <f>AVERAGE(G108:G111)</f>
        <v>9.5385000000000009</v>
      </c>
      <c r="I108" s="4">
        <f>_xlfn.STDEV.P(G108:G111)</f>
        <v>6.0491367359318291</v>
      </c>
      <c r="J108" s="4">
        <f t="shared" si="0"/>
        <v>0.11892600000000002</v>
      </c>
      <c r="K108" s="4">
        <f>AVERAGE(J108:J111)</f>
        <v>5.7231000000000004E-2</v>
      </c>
      <c r="L108" s="5">
        <f>_xlfn.STDEV.P(J108:J111)</f>
        <v>3.6294820415590984E-2</v>
      </c>
    </row>
    <row r="109" spans="1:19">
      <c r="A109" s="44" t="s">
        <v>240</v>
      </c>
      <c r="B109" t="s">
        <v>311</v>
      </c>
      <c r="C109" t="s">
        <v>572</v>
      </c>
      <c r="E109" t="s">
        <v>573</v>
      </c>
      <c r="F109">
        <v>1</v>
      </c>
      <c r="G109">
        <f t="shared" si="3"/>
        <v>7.8280000000000003</v>
      </c>
      <c r="J109">
        <f t="shared" si="0"/>
        <v>4.6968000000000003E-2</v>
      </c>
      <c r="L109" s="14"/>
    </row>
    <row r="110" spans="1:19">
      <c r="A110" s="44" t="s">
        <v>206</v>
      </c>
      <c r="B110" t="s">
        <v>313</v>
      </c>
      <c r="C110" t="s">
        <v>574</v>
      </c>
      <c r="E110" t="s">
        <v>575</v>
      </c>
      <c r="F110">
        <v>1</v>
      </c>
      <c r="G110">
        <f t="shared" si="3"/>
        <v>5.95</v>
      </c>
      <c r="J110">
        <f t="shared" si="0"/>
        <v>3.5700000000000003E-2</v>
      </c>
      <c r="L110" s="14"/>
      <c r="S110" t="s">
        <v>105</v>
      </c>
    </row>
    <row r="111" spans="1:19">
      <c r="A111" s="45" t="s">
        <v>278</v>
      </c>
      <c r="B111" s="21" t="s">
        <v>315</v>
      </c>
      <c r="C111" s="21" t="s">
        <v>576</v>
      </c>
      <c r="D111" s="21"/>
      <c r="E111" s="21" t="s">
        <v>577</v>
      </c>
      <c r="F111" s="21">
        <v>1</v>
      </c>
      <c r="G111" s="21">
        <f t="shared" si="3"/>
        <v>4.5549999999999997</v>
      </c>
      <c r="H111" s="21"/>
      <c r="I111" s="21"/>
      <c r="J111" s="21">
        <f t="shared" si="0"/>
        <v>2.7329999999999997E-2</v>
      </c>
      <c r="K111" s="21"/>
      <c r="L111" s="22"/>
      <c r="S111" t="s">
        <v>105</v>
      </c>
    </row>
    <row r="112" spans="1:19">
      <c r="A112" s="46" t="s">
        <v>317</v>
      </c>
      <c r="B112" s="27" t="s">
        <v>318</v>
      </c>
      <c r="C112" s="27" t="s">
        <v>578</v>
      </c>
      <c r="D112" s="27"/>
      <c r="E112" s="27" t="s">
        <v>579</v>
      </c>
      <c r="F112" s="27">
        <v>0.08</v>
      </c>
      <c r="G112" s="27">
        <f t="shared" si="3"/>
        <v>46.762500000000003</v>
      </c>
      <c r="H112" s="27">
        <f>AVERAGE(G112:G115)</f>
        <v>45.728124999999999</v>
      </c>
      <c r="I112" s="27">
        <f>_xlfn.STDEV.P(G112:G115)</f>
        <v>5.7679162114125333</v>
      </c>
      <c r="J112" s="27">
        <f t="shared" si="0"/>
        <v>0.28057500000000002</v>
      </c>
      <c r="K112" s="27">
        <f>AVERAGE(J112:J115)</f>
        <v>0.27436874999999999</v>
      </c>
      <c r="L112" s="28">
        <f>_xlfn.STDEV.P(J112:J115)</f>
        <v>3.4607497268474875E-2</v>
      </c>
      <c r="S112" t="s">
        <v>105</v>
      </c>
    </row>
    <row r="113" spans="1:12">
      <c r="A113" s="44" t="s">
        <v>216</v>
      </c>
      <c r="B113" t="s">
        <v>320</v>
      </c>
      <c r="C113" t="s">
        <v>353</v>
      </c>
      <c r="E113" t="s">
        <v>580</v>
      </c>
      <c r="F113">
        <v>0.08</v>
      </c>
      <c r="G113">
        <f t="shared" si="3"/>
        <v>50.4375</v>
      </c>
      <c r="J113">
        <f t="shared" si="0"/>
        <v>0.30262499999999998</v>
      </c>
      <c r="L113" s="14"/>
    </row>
    <row r="114" spans="1:12">
      <c r="A114" s="44" t="s">
        <v>278</v>
      </c>
      <c r="B114" t="s">
        <v>322</v>
      </c>
      <c r="C114" t="s">
        <v>353</v>
      </c>
      <c r="E114" t="s">
        <v>581</v>
      </c>
      <c r="F114">
        <v>0.08</v>
      </c>
      <c r="G114">
        <f t="shared" si="3"/>
        <v>49.6875</v>
      </c>
      <c r="J114">
        <f t="shared" si="0"/>
        <v>0.29812499999999997</v>
      </c>
      <c r="L114" s="14"/>
    </row>
    <row r="115" spans="1:12">
      <c r="A115" s="47"/>
      <c r="B115" s="21" t="s">
        <v>324</v>
      </c>
      <c r="C115" s="21" t="s">
        <v>435</v>
      </c>
      <c r="D115" s="21" t="s">
        <v>310</v>
      </c>
      <c r="E115" s="21" t="s">
        <v>582</v>
      </c>
      <c r="F115" s="21">
        <v>0.08</v>
      </c>
      <c r="G115" s="21">
        <f t="shared" si="3"/>
        <v>36.024999999999999</v>
      </c>
      <c r="H115" s="21"/>
      <c r="I115" s="21"/>
      <c r="J115" s="21">
        <f t="shared" si="0"/>
        <v>0.21614999999999998</v>
      </c>
      <c r="K115" s="21"/>
      <c r="L115" s="22"/>
    </row>
    <row r="116" spans="1:12">
      <c r="A116" s="46" t="s">
        <v>325</v>
      </c>
      <c r="B116" s="27" t="s">
        <v>326</v>
      </c>
      <c r="C116" s="27" t="s">
        <v>583</v>
      </c>
      <c r="D116" s="27"/>
      <c r="E116" s="27" t="s">
        <v>584</v>
      </c>
      <c r="F116" s="27">
        <v>0.08</v>
      </c>
      <c r="G116" s="27">
        <f t="shared" si="3"/>
        <v>63.537500000000001</v>
      </c>
      <c r="H116" s="27">
        <f>AVERAGE(G116:G119)</f>
        <v>71.828125</v>
      </c>
      <c r="I116" s="27">
        <f>_xlfn.STDEV.P(G116:G119)</f>
        <v>7.0998645178534927</v>
      </c>
      <c r="J116" s="27">
        <f t="shared" si="0"/>
        <v>0.38122500000000004</v>
      </c>
      <c r="K116" s="27">
        <f>AVERAGE(J116:J119)</f>
        <v>0.43096875000000001</v>
      </c>
      <c r="L116" s="28">
        <f>_xlfn.STDEV.P(J116:J119)</f>
        <v>4.2599187107120948E-2</v>
      </c>
    </row>
    <row r="117" spans="1:12">
      <c r="A117" s="44" t="s">
        <v>223</v>
      </c>
      <c r="B117" t="s">
        <v>328</v>
      </c>
      <c r="C117" t="s">
        <v>585</v>
      </c>
      <c r="E117" t="s">
        <v>586</v>
      </c>
      <c r="F117">
        <v>0.08</v>
      </c>
      <c r="G117">
        <f t="shared" si="3"/>
        <v>83.137500000000003</v>
      </c>
      <c r="J117">
        <f t="shared" si="0"/>
        <v>0.49882500000000002</v>
      </c>
      <c r="L117" s="14"/>
    </row>
    <row r="118" spans="1:12">
      <c r="A118" s="44" t="s">
        <v>278</v>
      </c>
      <c r="B118" t="s">
        <v>330</v>
      </c>
      <c r="C118" t="s">
        <v>413</v>
      </c>
      <c r="E118" t="s">
        <v>587</v>
      </c>
      <c r="F118">
        <v>0.08</v>
      </c>
      <c r="G118">
        <f t="shared" si="3"/>
        <v>69.849999999999994</v>
      </c>
      <c r="J118">
        <f t="shared" si="0"/>
        <v>0.41909999999999997</v>
      </c>
      <c r="L118" s="14"/>
    </row>
    <row r="119" spans="1:12">
      <c r="A119" s="47"/>
      <c r="B119" s="21" t="s">
        <v>332</v>
      </c>
      <c r="C119" s="21" t="s">
        <v>423</v>
      </c>
      <c r="D119" s="21"/>
      <c r="E119" s="21" t="s">
        <v>588</v>
      </c>
      <c r="F119" s="21">
        <v>0.08</v>
      </c>
      <c r="G119" s="21">
        <f t="shared" si="3"/>
        <v>70.787500000000009</v>
      </c>
      <c r="H119" s="21"/>
      <c r="I119" s="21"/>
      <c r="J119" s="21">
        <f t="shared" si="0"/>
        <v>0.42472500000000002</v>
      </c>
      <c r="K119" s="21"/>
      <c r="L119" s="22"/>
    </row>
    <row r="120" spans="1:12">
      <c r="A120" s="46" t="s">
        <v>333</v>
      </c>
      <c r="B120" s="27" t="s">
        <v>334</v>
      </c>
      <c r="C120" s="27" t="s">
        <v>589</v>
      </c>
      <c r="D120" s="27"/>
      <c r="E120" s="27" t="s">
        <v>590</v>
      </c>
      <c r="F120" s="27">
        <v>0.08</v>
      </c>
      <c r="G120" s="27">
        <f t="shared" si="3"/>
        <v>73.524999999999991</v>
      </c>
      <c r="H120" s="27">
        <f>AVERAGE(G120:G123)</f>
        <v>74.418749999999989</v>
      </c>
      <c r="I120" s="27">
        <f>_xlfn.STDEV.P(G120:G123)</f>
        <v>7.3675465514308121</v>
      </c>
      <c r="J120" s="27">
        <f t="shared" si="0"/>
        <v>0.44114999999999999</v>
      </c>
      <c r="K120" s="27">
        <f>AVERAGE(J120:J123)</f>
        <v>0.44651250000000003</v>
      </c>
      <c r="L120" s="28">
        <f>_xlfn.STDEV.P(J120:J123)</f>
        <v>4.4205279308584852E-2</v>
      </c>
    </row>
    <row r="121" spans="1:12">
      <c r="A121" s="44" t="s">
        <v>264</v>
      </c>
      <c r="B121" t="s">
        <v>336</v>
      </c>
      <c r="C121" t="s">
        <v>349</v>
      </c>
      <c r="E121" t="s">
        <v>591</v>
      </c>
      <c r="F121">
        <v>0.08</v>
      </c>
      <c r="G121">
        <f t="shared" si="3"/>
        <v>86.25</v>
      </c>
      <c r="J121">
        <f t="shared" si="0"/>
        <v>0.51749999999999996</v>
      </c>
      <c r="L121" s="14"/>
    </row>
    <row r="122" spans="1:12">
      <c r="A122" s="44" t="s">
        <v>278</v>
      </c>
      <c r="B122" t="s">
        <v>338</v>
      </c>
      <c r="C122" t="s">
        <v>592</v>
      </c>
      <c r="E122" t="s">
        <v>593</v>
      </c>
      <c r="F122">
        <v>0.08</v>
      </c>
      <c r="G122">
        <f t="shared" si="3"/>
        <v>71.825000000000003</v>
      </c>
      <c r="J122">
        <f t="shared" si="0"/>
        <v>0.43095000000000006</v>
      </c>
      <c r="L122" s="14"/>
    </row>
    <row r="123" spans="1:12" ht="16" thickBot="1">
      <c r="A123" s="49"/>
      <c r="B123" s="36" t="s">
        <v>340</v>
      </c>
      <c r="C123" s="36" t="s">
        <v>424</v>
      </c>
      <c r="D123" s="36"/>
      <c r="E123" s="36" t="s">
        <v>594</v>
      </c>
      <c r="F123" s="36">
        <v>0.08</v>
      </c>
      <c r="G123" s="36">
        <f t="shared" si="3"/>
        <v>66.074999999999989</v>
      </c>
      <c r="H123" s="36"/>
      <c r="I123" s="36"/>
      <c r="J123" s="36">
        <f t="shared" si="0"/>
        <v>0.39644999999999991</v>
      </c>
      <c r="K123" s="36"/>
      <c r="L123" s="37"/>
    </row>
    <row r="125" spans="1:12">
      <c r="A125" t="s">
        <v>105</v>
      </c>
    </row>
    <row r="127" spans="1:12">
      <c r="A127" t="s">
        <v>595</v>
      </c>
    </row>
    <row r="129" spans="1:3">
      <c r="A129" t="s">
        <v>4</v>
      </c>
    </row>
    <row r="130" spans="1:3">
      <c r="A130" t="s">
        <v>103</v>
      </c>
      <c r="B130" t="s">
        <v>343</v>
      </c>
      <c r="C130">
        <v>0</v>
      </c>
    </row>
    <row r="132" spans="1:3">
      <c r="A132" t="s">
        <v>4</v>
      </c>
    </row>
    <row r="133" spans="1:3">
      <c r="A133" t="s">
        <v>596</v>
      </c>
    </row>
    <row r="134" spans="1:3">
      <c r="A134" t="s">
        <v>345</v>
      </c>
    </row>
  </sheetData>
  <mergeCells count="15">
    <mergeCell ref="O74:O77"/>
    <mergeCell ref="T74:U77"/>
    <mergeCell ref="V60:V61"/>
    <mergeCell ref="O62:O65"/>
    <mergeCell ref="T62:U65"/>
    <mergeCell ref="O66:O69"/>
    <mergeCell ref="T66:U69"/>
    <mergeCell ref="O70:O73"/>
    <mergeCell ref="T70:U73"/>
    <mergeCell ref="O60:O61"/>
    <mergeCell ref="P60:P61"/>
    <mergeCell ref="Q60:Q61"/>
    <mergeCell ref="R60:R61"/>
    <mergeCell ref="S60:S61"/>
    <mergeCell ref="T60:U61"/>
  </mergeCells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9447F-7A5B-A94D-BB12-9FBC619BE475}">
  <dimension ref="A1:V132"/>
  <sheetViews>
    <sheetView topLeftCell="A56" workbookViewId="0">
      <selection activeCell="X69" sqref="X69"/>
    </sheetView>
  </sheetViews>
  <sheetFormatPr baseColWidth="10" defaultColWidth="8.83203125" defaultRowHeight="15"/>
  <cols>
    <col min="6" max="6" width="14.6640625" customWidth="1"/>
    <col min="7" max="7" width="13.1640625" customWidth="1"/>
  </cols>
  <sheetData>
    <row r="1" spans="1:22">
      <c r="A1" t="s">
        <v>346</v>
      </c>
    </row>
    <row r="2" spans="1:22">
      <c r="A2" t="s">
        <v>1</v>
      </c>
    </row>
    <row r="4" spans="1:22">
      <c r="A4" t="s">
        <v>2</v>
      </c>
    </row>
    <row r="6" spans="1:22">
      <c r="A6" t="s">
        <v>3</v>
      </c>
    </row>
    <row r="7" spans="1:22">
      <c r="A7" t="s">
        <v>4</v>
      </c>
    </row>
    <row r="8" spans="1:22">
      <c r="A8" t="s">
        <v>5</v>
      </c>
      <c r="B8" t="s">
        <v>6</v>
      </c>
      <c r="C8">
        <v>0.3</v>
      </c>
      <c r="D8" t="s">
        <v>8</v>
      </c>
      <c r="E8" t="s">
        <v>9</v>
      </c>
      <c r="F8" t="s">
        <v>10</v>
      </c>
      <c r="G8" t="s">
        <v>11</v>
      </c>
      <c r="H8" t="b">
        <v>0</v>
      </c>
      <c r="I8">
        <v>1</v>
      </c>
      <c r="O8">
        <v>1</v>
      </c>
      <c r="P8">
        <v>450</v>
      </c>
      <c r="Q8">
        <v>1</v>
      </c>
      <c r="R8">
        <v>12</v>
      </c>
      <c r="S8">
        <v>96</v>
      </c>
      <c r="T8">
        <v>1</v>
      </c>
      <c r="U8">
        <v>8</v>
      </c>
      <c r="V8" t="s">
        <v>12</v>
      </c>
    </row>
    <row r="9" spans="1:22">
      <c r="A9">
        <v>24.9</v>
      </c>
      <c r="B9">
        <v>8.3000000000000001E-3</v>
      </c>
      <c r="C9">
        <v>0.12479999999999999</v>
      </c>
      <c r="D9">
        <v>8.2299999999999998E-2</v>
      </c>
      <c r="E9">
        <v>6.1499999999999999E-2</v>
      </c>
      <c r="F9">
        <v>4.8399999999999999E-2</v>
      </c>
      <c r="G9">
        <v>4.1000000000000002E-2</v>
      </c>
      <c r="H9">
        <v>3.1600000000000003E-2</v>
      </c>
      <c r="I9">
        <v>7.5999999999999998E-2</v>
      </c>
      <c r="J9">
        <v>0.92420000000000002</v>
      </c>
      <c r="K9">
        <v>-6.5199999999999994E-2</v>
      </c>
      <c r="L9">
        <v>-6.5100000000000005E-2</v>
      </c>
      <c r="M9">
        <v>-8.3000000000000001E-3</v>
      </c>
    </row>
    <row r="10" spans="1:22">
      <c r="B10">
        <v>0.41849999999999998</v>
      </c>
      <c r="C10">
        <v>0.57230000000000003</v>
      </c>
      <c r="D10">
        <v>0.53600000000000003</v>
      </c>
      <c r="E10">
        <v>0.49320000000000003</v>
      </c>
      <c r="F10">
        <v>0.2495</v>
      </c>
      <c r="G10">
        <v>0.19189999999999999</v>
      </c>
      <c r="H10">
        <v>0.27950000000000003</v>
      </c>
      <c r="I10">
        <v>0.99880000000000002</v>
      </c>
      <c r="J10">
        <v>0.75190000000000001</v>
      </c>
      <c r="K10">
        <v>-6.5299999999999997E-2</v>
      </c>
      <c r="L10">
        <v>-6.5199999999999994E-2</v>
      </c>
      <c r="M10">
        <v>0.1522</v>
      </c>
    </row>
    <row r="11" spans="1:22">
      <c r="B11">
        <v>2.7E-2</v>
      </c>
      <c r="C11">
        <v>0.45040000000000002</v>
      </c>
      <c r="D11">
        <v>0.28739999999999999</v>
      </c>
      <c r="E11">
        <v>0.21340000000000001</v>
      </c>
      <c r="F11">
        <v>1.9800000000000002E-2</v>
      </c>
      <c r="G11">
        <v>1.26E-2</v>
      </c>
      <c r="H11">
        <v>1.2999999999999999E-3</v>
      </c>
      <c r="I11">
        <v>0.1192</v>
      </c>
      <c r="J11">
        <v>0.1176</v>
      </c>
      <c r="K11">
        <v>-6.54E-2</v>
      </c>
      <c r="L11">
        <v>-6.54E-2</v>
      </c>
      <c r="M11">
        <v>2.6800000000000001E-2</v>
      </c>
    </row>
    <row r="12" spans="1:22">
      <c r="B12">
        <v>0.25209999999999999</v>
      </c>
      <c r="C12">
        <v>0.22389999999999999</v>
      </c>
      <c r="D12">
        <v>0.19600000000000001</v>
      </c>
      <c r="E12">
        <v>0.1525</v>
      </c>
      <c r="F12">
        <v>3.04E-2</v>
      </c>
      <c r="G12">
        <v>4.48E-2</v>
      </c>
      <c r="H12">
        <v>4.4900000000000002E-2</v>
      </c>
      <c r="I12">
        <v>0.32090000000000002</v>
      </c>
      <c r="J12">
        <v>6.5000000000000002E-2</v>
      </c>
      <c r="K12">
        <v>-6.5299999999999997E-2</v>
      </c>
      <c r="L12">
        <v>-6.5199999999999994E-2</v>
      </c>
      <c r="M12">
        <v>0.14630000000000001</v>
      </c>
    </row>
    <row r="13" spans="1:22">
      <c r="B13">
        <v>0.44590000000000002</v>
      </c>
      <c r="C13">
        <v>1.1089</v>
      </c>
      <c r="D13">
        <v>1.915</v>
      </c>
      <c r="E13">
        <v>1.7739</v>
      </c>
      <c r="F13">
        <v>0.12470000000000001</v>
      </c>
      <c r="G13">
        <v>0.15720000000000001</v>
      </c>
      <c r="H13">
        <v>0.1867</v>
      </c>
      <c r="I13">
        <v>0.8306</v>
      </c>
      <c r="J13">
        <v>0.26119999999999999</v>
      </c>
      <c r="K13">
        <v>-6.54E-2</v>
      </c>
      <c r="L13">
        <v>-6.5299999999999997E-2</v>
      </c>
      <c r="M13">
        <v>0.42949999999999999</v>
      </c>
    </row>
    <row r="14" spans="1:22">
      <c r="B14">
        <v>1.5583</v>
      </c>
      <c r="C14">
        <v>1.5615000000000001</v>
      </c>
      <c r="D14">
        <v>2.3451</v>
      </c>
      <c r="E14">
        <v>2.0626000000000002</v>
      </c>
      <c r="F14">
        <v>0.15049999999999999</v>
      </c>
      <c r="G14">
        <v>0.23699999999999999</v>
      </c>
      <c r="H14">
        <v>0.2409</v>
      </c>
      <c r="I14">
        <v>0.77129999999999999</v>
      </c>
      <c r="J14">
        <v>0.2707</v>
      </c>
      <c r="K14">
        <v>-6.54E-2</v>
      </c>
      <c r="L14">
        <v>-6.54E-2</v>
      </c>
      <c r="M14">
        <v>1.3344</v>
      </c>
    </row>
    <row r="15" spans="1:22">
      <c r="B15">
        <v>2.5406</v>
      </c>
      <c r="C15">
        <v>1.2188000000000001</v>
      </c>
      <c r="D15">
        <v>2.5013999999999998</v>
      </c>
      <c r="E15">
        <v>2.6839</v>
      </c>
      <c r="F15">
        <v>0.1396</v>
      </c>
      <c r="G15">
        <v>0.17829999999999999</v>
      </c>
      <c r="H15">
        <v>0.19739999999999999</v>
      </c>
      <c r="I15">
        <v>1.4842</v>
      </c>
      <c r="J15">
        <v>0.29060000000000002</v>
      </c>
      <c r="K15">
        <v>-6.5600000000000006E-2</v>
      </c>
      <c r="L15">
        <v>-6.5500000000000003E-2</v>
      </c>
      <c r="M15">
        <v>2.4691000000000001</v>
      </c>
    </row>
    <row r="16" spans="1:22">
      <c r="B16">
        <v>2.5905999999999998</v>
      </c>
      <c r="C16">
        <v>1.2546999999999999</v>
      </c>
      <c r="D16">
        <v>1.8464</v>
      </c>
      <c r="E16">
        <v>1.8211999999999999</v>
      </c>
      <c r="F16">
        <v>9.6100000000000005E-2</v>
      </c>
      <c r="G16">
        <v>0.15970000000000001</v>
      </c>
      <c r="H16">
        <v>0.18459999999999999</v>
      </c>
      <c r="I16">
        <v>0.77270000000000005</v>
      </c>
      <c r="J16">
        <v>0.22189999999999999</v>
      </c>
      <c r="K16">
        <v>-6.54E-2</v>
      </c>
      <c r="L16">
        <v>-6.5299999999999997E-2</v>
      </c>
      <c r="M16">
        <v>2.3250999999999999</v>
      </c>
    </row>
    <row r="18" spans="1:3">
      <c r="A18" t="s">
        <v>4</v>
      </c>
    </row>
    <row r="19" spans="1:3">
      <c r="A19" t="s">
        <v>103</v>
      </c>
      <c r="B19" t="s">
        <v>106</v>
      </c>
      <c r="C19">
        <v>0</v>
      </c>
    </row>
    <row r="21" spans="1:3">
      <c r="A21" t="s">
        <v>105</v>
      </c>
    </row>
    <row r="23" spans="1:3">
      <c r="A23" t="s">
        <v>105</v>
      </c>
    </row>
    <row r="25" spans="1:3">
      <c r="A25" t="s">
        <v>4</v>
      </c>
    </row>
    <row r="26" spans="1:3">
      <c r="A26" t="s">
        <v>103</v>
      </c>
      <c r="B26" t="s">
        <v>107</v>
      </c>
      <c r="C26">
        <v>0</v>
      </c>
    </row>
    <row r="28" spans="1:3">
      <c r="A28" t="s">
        <v>105</v>
      </c>
    </row>
    <row r="30" spans="1:3">
      <c r="A30" t="s">
        <v>105</v>
      </c>
    </row>
    <row r="32" spans="1:3">
      <c r="A32" t="s">
        <v>4</v>
      </c>
    </row>
    <row r="33" spans="1:8">
      <c r="A33" t="s">
        <v>103</v>
      </c>
      <c r="B33" t="s">
        <v>108</v>
      </c>
      <c r="C33">
        <v>0</v>
      </c>
    </row>
    <row r="34" spans="1:8">
      <c r="A34" t="s">
        <v>109</v>
      </c>
      <c r="B34">
        <v>3.3</v>
      </c>
      <c r="C34">
        <v>3.3039999999999998</v>
      </c>
      <c r="D34" t="s">
        <v>134</v>
      </c>
      <c r="E34">
        <v>2.7E-2</v>
      </c>
      <c r="F34">
        <v>2.7E-2</v>
      </c>
      <c r="G34">
        <v>0</v>
      </c>
      <c r="H34">
        <v>0.5</v>
      </c>
    </row>
    <row r="35" spans="1:8">
      <c r="C35">
        <v>3.2959999999999998</v>
      </c>
      <c r="D35" t="s">
        <v>140</v>
      </c>
      <c r="E35">
        <v>2.7E-2</v>
      </c>
    </row>
    <row r="36" spans="1:8">
      <c r="A36" t="s">
        <v>120</v>
      </c>
      <c r="B36">
        <v>11</v>
      </c>
      <c r="C36">
        <v>14.054</v>
      </c>
      <c r="D36" t="s">
        <v>145</v>
      </c>
      <c r="E36">
        <v>0.252</v>
      </c>
      <c r="F36">
        <v>0.19900000000000001</v>
      </c>
      <c r="G36">
        <v>7.4999999999999997E-2</v>
      </c>
      <c r="H36">
        <v>37.6</v>
      </c>
    </row>
    <row r="37" spans="1:8">
      <c r="C37">
        <v>8.43</v>
      </c>
      <c r="D37" t="s">
        <v>151</v>
      </c>
      <c r="E37">
        <v>0.14599999999999999</v>
      </c>
    </row>
    <row r="38" spans="1:8">
      <c r="A38" t="s">
        <v>131</v>
      </c>
      <c r="B38">
        <v>33.6</v>
      </c>
      <c r="C38">
        <v>34.658999999999999</v>
      </c>
      <c r="D38" t="s">
        <v>156</v>
      </c>
      <c r="E38">
        <v>0.44600000000000001</v>
      </c>
      <c r="F38">
        <v>0.438</v>
      </c>
      <c r="G38">
        <v>1.2E-2</v>
      </c>
      <c r="H38">
        <v>2.6</v>
      </c>
    </row>
    <row r="39" spans="1:8">
      <c r="C39">
        <v>32.506999999999998</v>
      </c>
      <c r="D39" t="s">
        <v>162</v>
      </c>
      <c r="E39">
        <v>0.43</v>
      </c>
    </row>
    <row r="40" spans="1:8">
      <c r="A40" t="s">
        <v>142</v>
      </c>
      <c r="B40">
        <v>113</v>
      </c>
      <c r="C40">
        <v>121.672</v>
      </c>
      <c r="D40" t="s">
        <v>167</v>
      </c>
      <c r="E40">
        <v>1.5580000000000001</v>
      </c>
      <c r="F40">
        <v>1.446</v>
      </c>
      <c r="G40">
        <v>0.158</v>
      </c>
      <c r="H40">
        <v>10.9</v>
      </c>
    </row>
    <row r="41" spans="1:8">
      <c r="C41">
        <v>104.81</v>
      </c>
      <c r="D41" t="s">
        <v>173</v>
      </c>
      <c r="E41">
        <v>1.3340000000000001</v>
      </c>
    </row>
    <row r="42" spans="1:8">
      <c r="A42" t="s">
        <v>153</v>
      </c>
      <c r="B42">
        <v>217</v>
      </c>
      <c r="C42">
        <v>224.15899999999999</v>
      </c>
      <c r="D42" t="s">
        <v>178</v>
      </c>
      <c r="E42">
        <v>2.5409999999999999</v>
      </c>
      <c r="F42">
        <v>2.4809999999999999</v>
      </c>
      <c r="G42">
        <v>0.115</v>
      </c>
      <c r="H42">
        <v>4.7</v>
      </c>
    </row>
    <row r="43" spans="1:8">
      <c r="C43">
        <v>215.51900000000001</v>
      </c>
      <c r="D43" t="s">
        <v>184</v>
      </c>
      <c r="E43">
        <v>2.4689999999999999</v>
      </c>
    </row>
    <row r="44" spans="1:8">
      <c r="C44">
        <v>230.16900000000001</v>
      </c>
      <c r="D44" t="s">
        <v>464</v>
      </c>
      <c r="E44">
        <v>2.5910000000000002</v>
      </c>
    </row>
    <row r="45" spans="1:8">
      <c r="C45">
        <v>198.22800000000001</v>
      </c>
      <c r="D45" t="s">
        <v>467</v>
      </c>
      <c r="E45">
        <v>2.3250000000000002</v>
      </c>
    </row>
    <row r="47" spans="1:8">
      <c r="A47">
        <v>2.7E-2</v>
      </c>
    </row>
    <row r="49" spans="1:22">
      <c r="A49">
        <v>2.4809999999999999</v>
      </c>
    </row>
    <row r="51" spans="1:22">
      <c r="A51" t="s">
        <v>4</v>
      </c>
    </row>
    <row r="52" spans="1:22">
      <c r="A52" t="s">
        <v>103</v>
      </c>
      <c r="B52" t="s">
        <v>185</v>
      </c>
      <c r="C52">
        <v>0</v>
      </c>
    </row>
    <row r="54" spans="1:22">
      <c r="A54" t="s">
        <v>105</v>
      </c>
    </row>
    <row r="56" spans="1:22">
      <c r="A56" t="s">
        <v>4</v>
      </c>
      <c r="O56" s="1" t="s">
        <v>597</v>
      </c>
    </row>
    <row r="57" spans="1:22" ht="16" thickBot="1">
      <c r="A57" t="s">
        <v>103</v>
      </c>
      <c r="B57" t="s">
        <v>471</v>
      </c>
      <c r="C57" t="s">
        <v>10</v>
      </c>
      <c r="D57" t="s">
        <v>105</v>
      </c>
      <c r="E57" s="1" t="s">
        <v>472</v>
      </c>
      <c r="F57" s="1" t="s">
        <v>473</v>
      </c>
      <c r="G57" s="1" t="s">
        <v>472</v>
      </c>
      <c r="H57" s="1" t="s">
        <v>474</v>
      </c>
      <c r="I57" s="1" t="s">
        <v>191</v>
      </c>
      <c r="J57" s="1" t="s">
        <v>475</v>
      </c>
      <c r="K57" s="1" t="s">
        <v>476</v>
      </c>
      <c r="L57" s="1" t="s">
        <v>191</v>
      </c>
    </row>
    <row r="58" spans="1:22">
      <c r="A58" s="50" t="s">
        <v>200</v>
      </c>
      <c r="B58" s="4" t="s">
        <v>201</v>
      </c>
      <c r="C58" s="4">
        <v>0.125</v>
      </c>
      <c r="D58" s="4"/>
      <c r="E58" s="4">
        <v>7.4619999999999997</v>
      </c>
      <c r="F58" s="4">
        <v>5</v>
      </c>
      <c r="G58" s="4">
        <f t="shared" ref="G58:G121" si="0">E58*F58</f>
        <v>37.31</v>
      </c>
      <c r="H58" s="4">
        <f>AVERAGE(G58:G61)</f>
        <v>129.03749999999999</v>
      </c>
      <c r="I58" s="4">
        <f>_xlfn.STDEV.P(G58:G61)</f>
        <v>83.198082347191132</v>
      </c>
      <c r="J58" s="4">
        <f t="shared" ref="J58:J121" si="1">(G58*6)/1000</f>
        <v>0.22386</v>
      </c>
      <c r="K58" s="4">
        <f>AVERAGE(J58:J61)</f>
        <v>0.77422499999999994</v>
      </c>
      <c r="L58" s="5">
        <f>_xlfn.STDEV.P(J58:J61)</f>
        <v>0.49918849408314697</v>
      </c>
      <c r="O58" s="318" t="s">
        <v>188</v>
      </c>
      <c r="P58" s="318" t="s">
        <v>189</v>
      </c>
      <c r="Q58" s="318" t="s">
        <v>190</v>
      </c>
      <c r="R58" s="318" t="s">
        <v>191</v>
      </c>
      <c r="S58" s="318" t="s">
        <v>192</v>
      </c>
      <c r="T58" s="319" t="s">
        <v>193</v>
      </c>
      <c r="U58" s="320"/>
    </row>
    <row r="59" spans="1:22">
      <c r="A59" s="13" t="s">
        <v>204</v>
      </c>
      <c r="B59" t="s">
        <v>205</v>
      </c>
      <c r="C59">
        <v>0.57199999999999995</v>
      </c>
      <c r="E59">
        <v>48.192999999999998</v>
      </c>
      <c r="F59">
        <v>5</v>
      </c>
      <c r="G59">
        <f t="shared" si="0"/>
        <v>240.96499999999997</v>
      </c>
      <c r="J59">
        <f t="shared" si="1"/>
        <v>1.4457899999999999</v>
      </c>
      <c r="L59" s="14"/>
      <c r="O59" s="318"/>
      <c r="P59" s="318"/>
      <c r="Q59" s="306"/>
      <c r="R59" s="306"/>
      <c r="S59" s="306"/>
      <c r="T59" s="321"/>
      <c r="U59" s="322"/>
    </row>
    <row r="60" spans="1:22">
      <c r="A60" s="13" t="s">
        <v>216</v>
      </c>
      <c r="B60" t="s">
        <v>207</v>
      </c>
      <c r="C60">
        <v>0.45</v>
      </c>
      <c r="E60">
        <v>35.225999999999999</v>
      </c>
      <c r="F60">
        <v>5</v>
      </c>
      <c r="G60">
        <f t="shared" si="0"/>
        <v>176.13</v>
      </c>
      <c r="J60">
        <f t="shared" si="1"/>
        <v>1.0567800000000001</v>
      </c>
      <c r="L60" s="14"/>
      <c r="O60" s="294">
        <v>1</v>
      </c>
      <c r="P60" s="6">
        <v>0</v>
      </c>
      <c r="Q60" s="8"/>
      <c r="R60" s="7"/>
      <c r="S60" s="8"/>
      <c r="T60" s="324" t="s">
        <v>203</v>
      </c>
      <c r="U60" s="309"/>
      <c r="V60" t="e">
        <f t="shared" ref="V60:V72" si="2">S60/Q60*100</f>
        <v>#DIV/0!</v>
      </c>
    </row>
    <row r="61" spans="1:22">
      <c r="A61" s="19" t="s">
        <v>210</v>
      </c>
      <c r="B61" s="21" t="s">
        <v>211</v>
      </c>
      <c r="C61" s="21">
        <v>0.224</v>
      </c>
      <c r="D61" s="21"/>
      <c r="E61" s="21">
        <v>12.349</v>
      </c>
      <c r="F61" s="21">
        <v>5</v>
      </c>
      <c r="G61" s="21">
        <f t="shared" si="0"/>
        <v>61.745000000000005</v>
      </c>
      <c r="H61" s="21"/>
      <c r="I61" s="21"/>
      <c r="J61" s="21">
        <f t="shared" si="1"/>
        <v>0.37047000000000002</v>
      </c>
      <c r="K61" s="21"/>
      <c r="L61" s="22"/>
      <c r="O61" s="295"/>
      <c r="P61" s="15">
        <v>8</v>
      </c>
      <c r="Q61" s="38">
        <f>AVERAGE(G58:G61)</f>
        <v>129.03749999999999</v>
      </c>
      <c r="R61" s="38">
        <f>STDEV(G58:G61)</f>
        <v>96.068870478422909</v>
      </c>
      <c r="S61" s="17">
        <f>R61/2</f>
        <v>48.034435239211454</v>
      </c>
      <c r="T61" s="310"/>
      <c r="U61" s="311"/>
      <c r="V61">
        <f t="shared" si="2"/>
        <v>37.225175037652974</v>
      </c>
    </row>
    <row r="62" spans="1:22">
      <c r="A62" s="53" t="s">
        <v>598</v>
      </c>
      <c r="B62" s="27" t="s">
        <v>213</v>
      </c>
      <c r="C62" s="27">
        <v>8.2000000000000003E-2</v>
      </c>
      <c r="D62" s="27"/>
      <c r="E62" s="27">
        <v>5.6230000000000002</v>
      </c>
      <c r="F62" s="27">
        <v>5</v>
      </c>
      <c r="G62" s="27">
        <f t="shared" si="0"/>
        <v>28.115000000000002</v>
      </c>
      <c r="H62" s="27">
        <f>AVERAGE(G62:G65)</f>
        <v>97.070000000000007</v>
      </c>
      <c r="I62" s="27">
        <f>_xlfn.STDEV.P(G62:G65)</f>
        <v>75.457378946660981</v>
      </c>
      <c r="J62" s="27">
        <f t="shared" si="1"/>
        <v>0.16869000000000001</v>
      </c>
      <c r="K62" s="27">
        <f>AVERAGE(J62:J65)</f>
        <v>0.58241999999999994</v>
      </c>
      <c r="L62" s="28">
        <f>_xlfn.STDEV.P(J62:J65)</f>
        <v>0.452744273679966</v>
      </c>
      <c r="O62" s="295"/>
      <c r="P62" s="15">
        <v>24</v>
      </c>
      <c r="Q62" s="16">
        <f>AVERAGE(G62:G65)</f>
        <v>97.070000000000007</v>
      </c>
      <c r="R62" s="16">
        <f>STDEV(G62:G65)</f>
        <v>87.130676094396634</v>
      </c>
      <c r="S62" s="17">
        <f>R62/2</f>
        <v>43.565338047198317</v>
      </c>
      <c r="T62" s="310"/>
      <c r="U62" s="311"/>
      <c r="V62">
        <f t="shared" si="2"/>
        <v>44.880331768000737</v>
      </c>
    </row>
    <row r="63" spans="1:22">
      <c r="A63" s="13" t="s">
        <v>223</v>
      </c>
      <c r="B63" t="s">
        <v>217</v>
      </c>
      <c r="C63">
        <v>0.53600000000000003</v>
      </c>
      <c r="E63">
        <v>44.688000000000002</v>
      </c>
      <c r="F63">
        <v>5</v>
      </c>
      <c r="G63">
        <f t="shared" si="0"/>
        <v>223.44</v>
      </c>
      <c r="J63">
        <f t="shared" si="1"/>
        <v>1.3406399999999998</v>
      </c>
      <c r="L63" s="14"/>
      <c r="O63" s="296"/>
      <c r="P63" s="23">
        <v>47.9</v>
      </c>
      <c r="Q63" s="16">
        <f>AVERAGE(G66:G69)</f>
        <v>81.801249999999996</v>
      </c>
      <c r="R63" s="16">
        <f>STDEV(G66:G69)</f>
        <v>80.818966975065123</v>
      </c>
      <c r="S63" s="25">
        <f>R63/2</f>
        <v>40.409483487532562</v>
      </c>
      <c r="T63" s="312"/>
      <c r="U63" s="313"/>
      <c r="V63">
        <f t="shared" si="2"/>
        <v>49.39959167803984</v>
      </c>
    </row>
    <row r="64" spans="1:22">
      <c r="A64" s="13" t="s">
        <v>210</v>
      </c>
      <c r="B64" t="s">
        <v>219</v>
      </c>
      <c r="C64">
        <v>0.28699999999999998</v>
      </c>
      <c r="E64">
        <v>16.510999999999999</v>
      </c>
      <c r="F64">
        <v>5</v>
      </c>
      <c r="G64">
        <f t="shared" si="0"/>
        <v>82.554999999999993</v>
      </c>
      <c r="J64">
        <f t="shared" si="1"/>
        <v>0.49532999999999994</v>
      </c>
      <c r="L64" s="14"/>
      <c r="O64" s="303">
        <v>7</v>
      </c>
      <c r="P64" s="8">
        <v>144</v>
      </c>
      <c r="Q64" s="51">
        <f>AVERAGE(G82,G84:G85)</f>
        <v>53.104999999999997</v>
      </c>
      <c r="R64" s="30">
        <f>STDEV(G82,G84:G85)</f>
        <v>37.833071181176933</v>
      </c>
      <c r="S64" s="9">
        <f>R64/SQRT(3)</f>
        <v>21.842933830722778</v>
      </c>
      <c r="T64" s="314" t="s">
        <v>215</v>
      </c>
      <c r="U64" s="315"/>
      <c r="V64">
        <f t="shared" si="2"/>
        <v>41.131595576165672</v>
      </c>
    </row>
    <row r="65" spans="1:22">
      <c r="A65" s="54"/>
      <c r="B65" s="21" t="s">
        <v>221</v>
      </c>
      <c r="C65" s="21">
        <v>0.19600000000000001</v>
      </c>
      <c r="D65" s="21"/>
      <c r="E65" s="21">
        <v>10.834</v>
      </c>
      <c r="F65" s="21">
        <v>5</v>
      </c>
      <c r="G65" s="21">
        <f t="shared" si="0"/>
        <v>54.17</v>
      </c>
      <c r="H65" s="21"/>
      <c r="I65" s="21"/>
      <c r="J65" s="21">
        <f t="shared" si="1"/>
        <v>0.32501999999999998</v>
      </c>
      <c r="K65" s="21"/>
      <c r="L65" s="22"/>
      <c r="O65" s="304"/>
      <c r="P65" s="17">
        <v>152</v>
      </c>
      <c r="Q65" s="38">
        <f>AVERAGE(G70:G73)</f>
        <v>30.669999999999998</v>
      </c>
      <c r="R65" s="31">
        <f>STDEV(G70:G73)</f>
        <v>25.967004383768767</v>
      </c>
      <c r="S65" s="18">
        <f>R65/2</f>
        <v>12.983502191884384</v>
      </c>
      <c r="T65" s="310"/>
      <c r="U65" s="311"/>
      <c r="V65">
        <f t="shared" si="2"/>
        <v>42.332905744650752</v>
      </c>
    </row>
    <row r="66" spans="1:22">
      <c r="A66" s="53" t="s">
        <v>212</v>
      </c>
      <c r="B66" s="27" t="s">
        <v>493</v>
      </c>
      <c r="C66" s="27">
        <v>6.2E-2</v>
      </c>
      <c r="D66" s="27"/>
      <c r="E66" s="27">
        <v>4.7450000000000001</v>
      </c>
      <c r="F66" s="27">
        <v>5</v>
      </c>
      <c r="G66" s="27">
        <f t="shared" si="0"/>
        <v>23.725000000000001</v>
      </c>
      <c r="H66" s="27">
        <f>AVERAGE(G66:G69)</f>
        <v>81.801249999999996</v>
      </c>
      <c r="I66" s="27">
        <f>_xlfn.STDEV.P(G66:G69)</f>
        <v>69.991278508021978</v>
      </c>
      <c r="J66" s="27">
        <f t="shared" si="1"/>
        <v>0.14235000000000003</v>
      </c>
      <c r="K66" s="27">
        <f>AVERAGE(J66:J69)</f>
        <v>0.49080749999999995</v>
      </c>
      <c r="L66" s="28">
        <f>_xlfn.STDEV.P(J66:J69)</f>
        <v>0.41994767104813191</v>
      </c>
      <c r="O66" s="304"/>
      <c r="P66" s="17">
        <v>168</v>
      </c>
      <c r="Q66" s="38">
        <f>AVERAGE(G74:G77)</f>
        <v>26.576249999999998</v>
      </c>
      <c r="R66" s="31">
        <f>STDEV(G74:G77)</f>
        <v>17.944097160812145</v>
      </c>
      <c r="S66" s="18">
        <f>R66/2</f>
        <v>8.9720485804060726</v>
      </c>
      <c r="T66" s="310"/>
      <c r="U66" s="311"/>
      <c r="V66">
        <f t="shared" si="2"/>
        <v>33.759648484666094</v>
      </c>
    </row>
    <row r="67" spans="1:22">
      <c r="A67" s="13" t="s">
        <v>264</v>
      </c>
      <c r="B67" t="s">
        <v>224</v>
      </c>
      <c r="C67">
        <v>0.49299999999999999</v>
      </c>
      <c r="E67">
        <v>40.22</v>
      </c>
      <c r="F67">
        <v>5</v>
      </c>
      <c r="G67">
        <f t="shared" si="0"/>
        <v>201.1</v>
      </c>
      <c r="J67">
        <f t="shared" si="1"/>
        <v>1.2065999999999999</v>
      </c>
      <c r="L67" s="14"/>
      <c r="O67" s="305"/>
      <c r="P67" s="25">
        <v>191.9</v>
      </c>
      <c r="Q67" s="16">
        <f>AVERAGE(G78:G81)</f>
        <v>32.128750000000004</v>
      </c>
      <c r="R67" s="33">
        <f>STDEV(G78:G81)</f>
        <v>31.888760395840624</v>
      </c>
      <c r="S67" s="18">
        <f>R67/2</f>
        <v>15.944380197920312</v>
      </c>
      <c r="T67" s="316"/>
      <c r="U67" s="317"/>
      <c r="V67">
        <f t="shared" si="2"/>
        <v>49.626518921278638</v>
      </c>
    </row>
    <row r="68" spans="1:22">
      <c r="A68" s="13" t="s">
        <v>210</v>
      </c>
      <c r="B68" t="s">
        <v>227</v>
      </c>
      <c r="C68">
        <v>0.21299999999999999</v>
      </c>
      <c r="E68">
        <v>11.760999999999999</v>
      </c>
      <c r="F68">
        <v>5</v>
      </c>
      <c r="G68">
        <f t="shared" si="0"/>
        <v>58.804999999999993</v>
      </c>
      <c r="J68">
        <f t="shared" si="1"/>
        <v>0.35282999999999992</v>
      </c>
      <c r="L68" s="14"/>
      <c r="O68" s="294">
        <v>1</v>
      </c>
      <c r="P68" s="6">
        <v>0</v>
      </c>
      <c r="Q68" s="29"/>
      <c r="R68" s="29"/>
      <c r="S68" s="8"/>
      <c r="T68" s="297" t="s">
        <v>226</v>
      </c>
      <c r="U68" s="298"/>
      <c r="V68" t="e">
        <f t="shared" si="2"/>
        <v>#DIV/0!</v>
      </c>
    </row>
    <row r="69" spans="1:22" ht="16" thickBot="1">
      <c r="A69" s="52"/>
      <c r="B69" s="36" t="s">
        <v>229</v>
      </c>
      <c r="C69" s="36">
        <v>0.153</v>
      </c>
      <c r="D69" s="36"/>
      <c r="E69" s="36">
        <v>8.7149999999999999</v>
      </c>
      <c r="F69" s="36">
        <v>5</v>
      </c>
      <c r="G69" s="36">
        <f t="shared" si="0"/>
        <v>43.575000000000003</v>
      </c>
      <c r="H69" s="36"/>
      <c r="I69" s="36"/>
      <c r="J69" s="36">
        <f t="shared" si="1"/>
        <v>0.26145000000000007</v>
      </c>
      <c r="K69" s="36"/>
      <c r="L69" s="37"/>
      <c r="O69" s="295"/>
      <c r="P69" s="15">
        <v>8</v>
      </c>
      <c r="Q69" s="16">
        <f>AVERAGE(G90:G93)</f>
        <v>508.46875</v>
      </c>
      <c r="R69" s="16">
        <f>STDEV(G90:G93)</f>
        <v>70.811417908766842</v>
      </c>
      <c r="S69" s="17">
        <f>R69/2</f>
        <v>35.405708954383421</v>
      </c>
      <c r="T69" s="299"/>
      <c r="U69" s="300"/>
      <c r="V69">
        <f t="shared" si="2"/>
        <v>6.9632025477245989</v>
      </c>
    </row>
    <row r="70" spans="1:22">
      <c r="A70" s="50" t="s">
        <v>492</v>
      </c>
      <c r="B70" s="4" t="s">
        <v>232</v>
      </c>
      <c r="C70" s="4">
        <v>4.8000000000000001E-2</v>
      </c>
      <c r="D70" s="4"/>
      <c r="E70" s="4">
        <v>4.1970000000000001</v>
      </c>
      <c r="F70" s="4">
        <v>5</v>
      </c>
      <c r="G70" s="4">
        <f t="shared" si="0"/>
        <v>20.984999999999999</v>
      </c>
      <c r="H70" s="4">
        <f>AVERAGE(G70:G73)</f>
        <v>30.669999999999998</v>
      </c>
      <c r="I70" s="4">
        <f>_xlfn.STDEV.P(G70:G73)</f>
        <v>22.488085456525635</v>
      </c>
      <c r="J70" s="4">
        <f t="shared" si="1"/>
        <v>0.12590999999999999</v>
      </c>
      <c r="K70" s="4">
        <f>AVERAGE(J70:J73)</f>
        <v>0.18401999999999999</v>
      </c>
      <c r="L70" s="5">
        <f>_xlfn.STDEV.P(J70:J73)</f>
        <v>0.13492851273915388</v>
      </c>
      <c r="O70" s="295"/>
      <c r="P70" s="15">
        <v>24</v>
      </c>
      <c r="Q70" s="16">
        <f>AVERAGE(G94:G97)</f>
        <v>900.15875000000005</v>
      </c>
      <c r="R70" s="16">
        <f>STDEV(G94:G97)</f>
        <v>177.83379184765903</v>
      </c>
      <c r="S70" s="17">
        <f>R70/2</f>
        <v>88.916895923829514</v>
      </c>
      <c r="T70" s="299"/>
      <c r="U70" s="300"/>
      <c r="V70">
        <f t="shared" si="2"/>
        <v>9.8779127485934577</v>
      </c>
    </row>
    <row r="71" spans="1:22">
      <c r="A71" s="13" t="s">
        <v>240</v>
      </c>
      <c r="B71" t="s">
        <v>503</v>
      </c>
      <c r="C71">
        <v>0.25</v>
      </c>
      <c r="E71">
        <v>13.888999999999999</v>
      </c>
      <c r="F71">
        <v>5</v>
      </c>
      <c r="G71">
        <f t="shared" si="0"/>
        <v>69.444999999999993</v>
      </c>
      <c r="J71">
        <f t="shared" si="1"/>
        <v>0.41666999999999998</v>
      </c>
      <c r="L71" s="14"/>
      <c r="O71" s="296"/>
      <c r="P71" s="23">
        <v>47.9</v>
      </c>
      <c r="Q71" s="16">
        <f>AVERAGE(G98:G101)</f>
        <v>867.66374999999994</v>
      </c>
      <c r="R71" s="16">
        <f>STDEV(G98:G101)</f>
        <v>234.18170499902493</v>
      </c>
      <c r="S71" s="25">
        <f>R71/2</f>
        <v>117.09085249951247</v>
      </c>
      <c r="T71" s="301"/>
      <c r="U71" s="302"/>
      <c r="V71">
        <f t="shared" si="2"/>
        <v>13.494957291867093</v>
      </c>
    </row>
    <row r="72" spans="1:22">
      <c r="A72" s="13" t="s">
        <v>216</v>
      </c>
      <c r="B72" t="s">
        <v>234</v>
      </c>
      <c r="C72">
        <v>0.02</v>
      </c>
      <c r="D72" t="s">
        <v>310</v>
      </c>
      <c r="E72">
        <v>3.004</v>
      </c>
      <c r="F72">
        <v>5</v>
      </c>
      <c r="G72">
        <f t="shared" si="0"/>
        <v>15.02</v>
      </c>
      <c r="J72">
        <f t="shared" si="1"/>
        <v>9.0120000000000006E-2</v>
      </c>
      <c r="L72" s="14"/>
      <c r="O72" s="303">
        <v>7</v>
      </c>
      <c r="P72" s="7">
        <v>144</v>
      </c>
      <c r="Q72" s="30"/>
      <c r="R72" s="29"/>
      <c r="S72" s="17"/>
      <c r="T72" s="297" t="s">
        <v>226</v>
      </c>
      <c r="U72" s="298"/>
      <c r="V72" t="e">
        <f t="shared" si="2"/>
        <v>#DIV/0!</v>
      </c>
    </row>
    <row r="73" spans="1:22">
      <c r="A73" s="19" t="s">
        <v>210</v>
      </c>
      <c r="B73" s="21" t="s">
        <v>236</v>
      </c>
      <c r="C73" s="21">
        <v>0.03</v>
      </c>
      <c r="D73" s="21"/>
      <c r="E73" s="21">
        <v>3.4460000000000002</v>
      </c>
      <c r="F73" s="21">
        <v>5</v>
      </c>
      <c r="G73" s="21">
        <f t="shared" si="0"/>
        <v>17.23</v>
      </c>
      <c r="H73" s="21"/>
      <c r="I73" s="21"/>
      <c r="J73" s="21">
        <f t="shared" si="1"/>
        <v>0.10338</v>
      </c>
      <c r="K73" s="21"/>
      <c r="L73" s="22"/>
      <c r="O73" s="304"/>
      <c r="P73" s="38">
        <v>152</v>
      </c>
      <c r="Q73" s="31">
        <f>AVERAGE(G102:G105)</f>
        <v>38.022500000000001</v>
      </c>
      <c r="R73" s="16">
        <f>STDEV(G102:G105)</f>
        <v>5.2191801718916073</v>
      </c>
      <c r="S73" s="17">
        <f>R73/2</f>
        <v>2.6095900859458037</v>
      </c>
      <c r="T73" s="299"/>
      <c r="U73" s="300"/>
      <c r="V73">
        <f>S73/Q73*100</f>
        <v>6.8632785480854857</v>
      </c>
    </row>
    <row r="74" spans="1:22">
      <c r="A74" s="53" t="s">
        <v>231</v>
      </c>
      <c r="B74" s="27" t="s">
        <v>238</v>
      </c>
      <c r="C74" s="27">
        <v>4.1000000000000002E-2</v>
      </c>
      <c r="D74" s="27"/>
      <c r="E74" s="27">
        <v>3.8879999999999999</v>
      </c>
      <c r="F74" s="27">
        <v>5</v>
      </c>
      <c r="G74" s="27">
        <f t="shared" si="0"/>
        <v>19.439999999999998</v>
      </c>
      <c r="H74" s="27">
        <f>AVERAGE(G74:G77)</f>
        <v>26.576249999999998</v>
      </c>
      <c r="I74" s="27">
        <f>_xlfn.STDEV.P(G74:G77)</f>
        <v>15.540043989239537</v>
      </c>
      <c r="J74" s="27">
        <f t="shared" si="1"/>
        <v>0.11663999999999998</v>
      </c>
      <c r="K74" s="27">
        <f>AVERAGE(J74:J77)</f>
        <v>0.15945749999999997</v>
      </c>
      <c r="L74" s="28">
        <f>_xlfn.STDEV.P(J74:J77)</f>
        <v>9.3240263935437218E-2</v>
      </c>
      <c r="O74" s="304"/>
      <c r="P74" s="38">
        <v>168</v>
      </c>
      <c r="Q74" s="31">
        <f>AVERAGE(G106:G109)</f>
        <v>51.306249999999999</v>
      </c>
      <c r="R74" s="16">
        <f>STDEV(G106:G109)</f>
        <v>9.7821643608832201</v>
      </c>
      <c r="S74" s="17">
        <f>R74/2</f>
        <v>4.89108218044161</v>
      </c>
      <c r="T74" s="299"/>
      <c r="U74" s="300"/>
      <c r="V74">
        <f t="shared" ref="V74:V75" si="3">S74/Q74*100</f>
        <v>9.5331118147235667</v>
      </c>
    </row>
    <row r="75" spans="1:22">
      <c r="A75" s="13" t="s">
        <v>223</v>
      </c>
      <c r="B75" t="s">
        <v>241</v>
      </c>
      <c r="C75">
        <v>0.192</v>
      </c>
      <c r="E75">
        <v>10.622999999999999</v>
      </c>
      <c r="F75">
        <v>5</v>
      </c>
      <c r="G75">
        <f t="shared" si="0"/>
        <v>53.114999999999995</v>
      </c>
      <c r="J75">
        <f t="shared" si="1"/>
        <v>0.31868999999999992</v>
      </c>
      <c r="L75" s="14"/>
      <c r="O75" s="305"/>
      <c r="P75" s="39">
        <v>191.9</v>
      </c>
      <c r="Q75" s="33">
        <f>AVERAGE(G110:G113)</f>
        <v>56.092500000000001</v>
      </c>
      <c r="R75" s="24">
        <f>STDEV(G110:G113)</f>
        <v>7.2566641785327288</v>
      </c>
      <c r="S75" s="25">
        <f>R75/2</f>
        <v>3.6283320892663644</v>
      </c>
      <c r="T75" s="301"/>
      <c r="U75" s="302"/>
      <c r="V75">
        <f t="shared" si="3"/>
        <v>6.4684799024225414</v>
      </c>
    </row>
    <row r="76" spans="1:22">
      <c r="A76" s="13" t="s">
        <v>210</v>
      </c>
      <c r="B76" t="s">
        <v>514</v>
      </c>
      <c r="C76">
        <v>1.2999999999999999E-2</v>
      </c>
      <c r="D76" t="s">
        <v>310</v>
      </c>
      <c r="E76">
        <v>2.7040000000000002</v>
      </c>
      <c r="F76">
        <v>5</v>
      </c>
      <c r="G76">
        <f t="shared" si="0"/>
        <v>13.520000000000001</v>
      </c>
      <c r="J76">
        <f t="shared" si="1"/>
        <v>8.1119999999999998E-2</v>
      </c>
      <c r="L76" s="14"/>
    </row>
    <row r="77" spans="1:22">
      <c r="A77" s="54"/>
      <c r="B77" s="21" t="s">
        <v>243</v>
      </c>
      <c r="C77" s="21">
        <v>4.4999999999999998E-2</v>
      </c>
      <c r="D77" s="21"/>
      <c r="E77" s="21">
        <v>4.0460000000000003</v>
      </c>
      <c r="F77" s="21">
        <v>5</v>
      </c>
      <c r="G77" s="21">
        <f t="shared" si="0"/>
        <v>20.23</v>
      </c>
      <c r="H77" s="21"/>
      <c r="I77" s="21"/>
      <c r="J77" s="21">
        <f t="shared" si="1"/>
        <v>0.12138</v>
      </c>
      <c r="K77" s="21"/>
      <c r="L77" s="22"/>
    </row>
    <row r="78" spans="1:22">
      <c r="A78" s="53" t="s">
        <v>237</v>
      </c>
      <c r="B78" s="27" t="s">
        <v>246</v>
      </c>
      <c r="C78" s="27">
        <v>3.2000000000000001E-2</v>
      </c>
      <c r="D78" s="27"/>
      <c r="E78" s="27">
        <v>3.496</v>
      </c>
      <c r="F78" s="27">
        <v>5</v>
      </c>
      <c r="G78" s="27">
        <f t="shared" si="0"/>
        <v>17.48</v>
      </c>
      <c r="H78" s="27">
        <f>AVERAGE(G78:G81)</f>
        <v>32.128750000000004</v>
      </c>
      <c r="I78" s="27">
        <f>_xlfn.STDEV.P(G78:G81)</f>
        <v>27.616476597993092</v>
      </c>
      <c r="J78" s="27">
        <f t="shared" si="1"/>
        <v>0.10488</v>
      </c>
      <c r="K78" s="27">
        <f>AVERAGE(J78:J81)</f>
        <v>0.19277250000000001</v>
      </c>
      <c r="L78" s="28">
        <f>_xlfn.STDEV.P(J78:J81)</f>
        <v>0.16569885958795852</v>
      </c>
    </row>
    <row r="79" spans="1:22">
      <c r="A79" s="13" t="s">
        <v>264</v>
      </c>
      <c r="B79" t="s">
        <v>248</v>
      </c>
      <c r="C79">
        <v>0.28000000000000003</v>
      </c>
      <c r="E79">
        <v>15.923999999999999</v>
      </c>
      <c r="F79">
        <v>5</v>
      </c>
      <c r="G79">
        <f t="shared" si="0"/>
        <v>79.62</v>
      </c>
      <c r="J79">
        <f t="shared" si="1"/>
        <v>0.47772000000000003</v>
      </c>
      <c r="L79" s="14"/>
      <c r="M79" s="2"/>
    </row>
    <row r="80" spans="1:22">
      <c r="A80" s="13" t="s">
        <v>210</v>
      </c>
      <c r="B80" t="s">
        <v>250</v>
      </c>
      <c r="C80">
        <v>1E-3</v>
      </c>
      <c r="D80" t="s">
        <v>310</v>
      </c>
      <c r="E80">
        <v>2.2320000000000002</v>
      </c>
      <c r="F80">
        <v>5</v>
      </c>
      <c r="G80">
        <f t="shared" si="0"/>
        <v>11.16</v>
      </c>
      <c r="J80">
        <f t="shared" si="1"/>
        <v>6.6960000000000006E-2</v>
      </c>
      <c r="L80" s="14"/>
    </row>
    <row r="81" spans="1:13">
      <c r="A81" s="54"/>
      <c r="B81" s="21" t="s">
        <v>252</v>
      </c>
      <c r="C81" s="21">
        <v>4.4999999999999998E-2</v>
      </c>
      <c r="D81" s="21"/>
      <c r="E81" s="21">
        <v>4.0510000000000002</v>
      </c>
      <c r="F81" s="21">
        <v>5</v>
      </c>
      <c r="G81" s="21">
        <f t="shared" si="0"/>
        <v>20.255000000000003</v>
      </c>
      <c r="H81" s="21"/>
      <c r="I81" s="21"/>
      <c r="J81" s="21">
        <f t="shared" si="1"/>
        <v>0.12153000000000001</v>
      </c>
      <c r="K81" s="21"/>
      <c r="L81" s="22"/>
    </row>
    <row r="82" spans="1:13">
      <c r="A82" s="53" t="s">
        <v>245</v>
      </c>
      <c r="B82" s="27" t="s">
        <v>254</v>
      </c>
      <c r="C82" s="27">
        <v>7.5999999999999998E-2</v>
      </c>
      <c r="D82" s="27"/>
      <c r="E82" s="27">
        <v>5.3559999999999999</v>
      </c>
      <c r="F82" s="27">
        <v>5</v>
      </c>
      <c r="G82" s="27">
        <f t="shared" si="0"/>
        <v>26.78</v>
      </c>
      <c r="H82" s="27">
        <f>AVERAGE(G82:G85)</f>
        <v>141.52749999999997</v>
      </c>
      <c r="I82" s="27">
        <f>_xlfn.STDEV.P(G82:G85)</f>
        <v>155.47117467958492</v>
      </c>
      <c r="J82" s="27">
        <f t="shared" si="1"/>
        <v>0.16068000000000002</v>
      </c>
      <c r="K82" s="27">
        <f>AVERAGE(J82:J85)</f>
        <v>0.84916499999999995</v>
      </c>
      <c r="L82" s="28">
        <f>_xlfn.STDEV.P(J82:J85)</f>
        <v>0.93282704807750927</v>
      </c>
    </row>
    <row r="83" spans="1:13">
      <c r="A83" s="13" t="s">
        <v>599</v>
      </c>
      <c r="B83" s="2" t="s">
        <v>256</v>
      </c>
      <c r="C83" s="2">
        <v>0.999</v>
      </c>
      <c r="D83" s="2"/>
      <c r="E83" s="2">
        <v>81.358999999999995</v>
      </c>
      <c r="F83" s="2">
        <v>5</v>
      </c>
      <c r="G83" s="2">
        <f t="shared" si="0"/>
        <v>406.79499999999996</v>
      </c>
      <c r="H83" s="2"/>
      <c r="I83" s="2"/>
      <c r="J83" s="2">
        <f t="shared" si="1"/>
        <v>2.4407699999999997</v>
      </c>
      <c r="L83" s="14"/>
      <c r="M83" s="2" t="s">
        <v>600</v>
      </c>
    </row>
    <row r="84" spans="1:13">
      <c r="A84" s="13" t="s">
        <v>210</v>
      </c>
      <c r="B84" t="s">
        <v>258</v>
      </c>
      <c r="C84">
        <v>0.11899999999999999</v>
      </c>
      <c r="E84">
        <v>7.2149999999999999</v>
      </c>
      <c r="F84">
        <v>5</v>
      </c>
      <c r="G84">
        <f t="shared" si="0"/>
        <v>36.075000000000003</v>
      </c>
      <c r="J84">
        <f t="shared" si="1"/>
        <v>0.21645</v>
      </c>
      <c r="L84" s="14"/>
    </row>
    <row r="85" spans="1:13" ht="16" thickBot="1">
      <c r="A85" s="52"/>
      <c r="B85" s="36" t="s">
        <v>260</v>
      </c>
      <c r="C85" s="36">
        <v>0.32100000000000001</v>
      </c>
      <c r="D85" s="36"/>
      <c r="E85" s="36">
        <v>19.292000000000002</v>
      </c>
      <c r="F85" s="36">
        <v>5</v>
      </c>
      <c r="G85" s="36">
        <f t="shared" si="0"/>
        <v>96.460000000000008</v>
      </c>
      <c r="H85" s="36"/>
      <c r="I85" s="36"/>
      <c r="J85" s="36">
        <f t="shared" si="1"/>
        <v>0.57875999999999994</v>
      </c>
      <c r="K85" s="36"/>
      <c r="L85" s="37"/>
    </row>
    <row r="86" spans="1:13">
      <c r="A86" s="38" t="s">
        <v>253</v>
      </c>
      <c r="B86" s="2" t="s">
        <v>262</v>
      </c>
      <c r="C86" s="2">
        <v>0.92400000000000004</v>
      </c>
      <c r="D86" s="2"/>
      <c r="E86" s="2">
        <v>76.084000000000003</v>
      </c>
      <c r="F86" s="2">
        <v>5</v>
      </c>
      <c r="G86" s="2">
        <f t="shared" si="0"/>
        <v>380.42</v>
      </c>
      <c r="H86">
        <f>AVERAGE(G86:G89)</f>
        <v>189.31000000000003</v>
      </c>
      <c r="I86">
        <f>_xlfn.STDEV.P(G86:G89)</f>
        <v>160.85596231566922</v>
      </c>
      <c r="J86" s="2">
        <f t="shared" si="1"/>
        <v>2.2825199999999999</v>
      </c>
      <c r="K86">
        <f>AVERAGE(J86:J89)</f>
        <v>1.1358600000000001</v>
      </c>
      <c r="L86" s="18">
        <f>_xlfn.STDEV.P(J86:J89)</f>
        <v>0.96513577389401506</v>
      </c>
      <c r="M86" s="2" t="s">
        <v>601</v>
      </c>
    </row>
    <row r="87" spans="1:13">
      <c r="A87" s="55" t="s">
        <v>602</v>
      </c>
      <c r="B87" s="2" t="s">
        <v>265</v>
      </c>
      <c r="C87" s="2">
        <v>0.752</v>
      </c>
      <c r="D87" s="2"/>
      <c r="E87" s="2">
        <v>63.326999999999998</v>
      </c>
      <c r="F87" s="2">
        <v>5</v>
      </c>
      <c r="G87" s="2">
        <f t="shared" si="0"/>
        <v>316.63499999999999</v>
      </c>
      <c r="J87" s="2">
        <f t="shared" si="1"/>
        <v>1.89981</v>
      </c>
      <c r="L87" s="18"/>
      <c r="M87" s="2" t="s">
        <v>601</v>
      </c>
    </row>
    <row r="88" spans="1:13">
      <c r="A88" s="55" t="s">
        <v>210</v>
      </c>
      <c r="B88" t="s">
        <v>267</v>
      </c>
      <c r="C88">
        <v>0.11799999999999999</v>
      </c>
      <c r="E88">
        <v>7.1449999999999996</v>
      </c>
      <c r="F88">
        <v>5</v>
      </c>
      <c r="G88">
        <f t="shared" si="0"/>
        <v>35.724999999999994</v>
      </c>
      <c r="J88">
        <f t="shared" si="1"/>
        <v>0.21434999999999996</v>
      </c>
      <c r="L88" s="18"/>
    </row>
    <row r="89" spans="1:13" ht="16" thickBot="1">
      <c r="A89" s="38"/>
      <c r="B89" t="s">
        <v>269</v>
      </c>
      <c r="C89">
        <v>6.5000000000000002E-2</v>
      </c>
      <c r="E89">
        <v>4.8920000000000003</v>
      </c>
      <c r="F89">
        <v>5</v>
      </c>
      <c r="G89">
        <f t="shared" si="0"/>
        <v>24.46</v>
      </c>
      <c r="J89">
        <f t="shared" si="1"/>
        <v>0.14676</v>
      </c>
      <c r="L89" s="18"/>
    </row>
    <row r="90" spans="1:13">
      <c r="A90" s="50" t="s">
        <v>261</v>
      </c>
      <c r="B90" s="4" t="s">
        <v>272</v>
      </c>
      <c r="C90" s="4">
        <v>1.109</v>
      </c>
      <c r="D90" s="4"/>
      <c r="E90" s="4">
        <v>89.024000000000001</v>
      </c>
      <c r="F90" s="4">
        <v>5</v>
      </c>
      <c r="G90" s="4">
        <f t="shared" si="0"/>
        <v>445.12</v>
      </c>
      <c r="H90" s="4">
        <f>AVERAGE(G90:G93)</f>
        <v>508.46875</v>
      </c>
      <c r="I90" s="4">
        <f>_xlfn.STDEV.P(G90:G93)</f>
        <v>61.324486786988437</v>
      </c>
      <c r="J90" s="4">
        <f t="shared" si="1"/>
        <v>2.6707200000000002</v>
      </c>
      <c r="K90" s="4">
        <f>AVERAGE(J90:J93)</f>
        <v>3.0508125000000001</v>
      </c>
      <c r="L90" s="5">
        <f>_xlfn.STDEV.P(J90:J93)</f>
        <v>0.36794692072192942</v>
      </c>
    </row>
    <row r="91" spans="1:13">
      <c r="A91" s="44" t="s">
        <v>204</v>
      </c>
      <c r="B91" t="s">
        <v>274</v>
      </c>
      <c r="C91">
        <v>1.5620000000000001</v>
      </c>
      <c r="E91">
        <v>121.928</v>
      </c>
      <c r="F91">
        <v>5</v>
      </c>
      <c r="G91">
        <f t="shared" si="0"/>
        <v>609.64</v>
      </c>
      <c r="J91">
        <f t="shared" si="1"/>
        <v>3.6578400000000002</v>
      </c>
      <c r="L91" s="14"/>
    </row>
    <row r="92" spans="1:13">
      <c r="A92" s="44" t="s">
        <v>216</v>
      </c>
      <c r="B92" t="s">
        <v>276</v>
      </c>
      <c r="C92">
        <v>1.2190000000000001</v>
      </c>
      <c r="E92">
        <v>96.656000000000006</v>
      </c>
      <c r="F92">
        <v>5</v>
      </c>
      <c r="G92">
        <f t="shared" si="0"/>
        <v>483.28000000000003</v>
      </c>
      <c r="J92">
        <f t="shared" si="1"/>
        <v>2.8996800000000005</v>
      </c>
      <c r="L92" s="14"/>
    </row>
    <row r="93" spans="1:13">
      <c r="A93" s="45" t="s">
        <v>278</v>
      </c>
      <c r="B93" s="21" t="s">
        <v>279</v>
      </c>
      <c r="C93" s="21">
        <v>1.2549999999999999</v>
      </c>
      <c r="D93" s="21"/>
      <c r="E93" s="21">
        <v>99.167000000000002</v>
      </c>
      <c r="F93" s="21">
        <v>5</v>
      </c>
      <c r="G93" s="21">
        <f t="shared" si="0"/>
        <v>495.83500000000004</v>
      </c>
      <c r="H93" s="21"/>
      <c r="I93" s="21"/>
      <c r="J93" s="21">
        <f t="shared" si="1"/>
        <v>2.9750100000000002</v>
      </c>
      <c r="K93" s="21"/>
      <c r="L93" s="22"/>
    </row>
    <row r="94" spans="1:13">
      <c r="A94" s="53" t="s">
        <v>271</v>
      </c>
      <c r="B94" s="27" t="s">
        <v>282</v>
      </c>
      <c r="C94" s="27">
        <v>1.915</v>
      </c>
      <c r="D94" s="27"/>
      <c r="E94" s="27">
        <v>153.358</v>
      </c>
      <c r="F94" s="27">
        <v>5</v>
      </c>
      <c r="G94" s="27">
        <f t="shared" si="0"/>
        <v>766.79</v>
      </c>
      <c r="H94" s="27">
        <f>AVERAGE(G94:G97)</f>
        <v>900.15875000000005</v>
      </c>
      <c r="I94" s="27">
        <f>_xlfn.STDEV.P(G94:G97)</f>
        <v>154.00858139138671</v>
      </c>
      <c r="J94" s="27">
        <f t="shared" si="1"/>
        <v>4.6007400000000001</v>
      </c>
      <c r="K94" s="27">
        <f>AVERAGE(J94:J97)</f>
        <v>5.4009525000000007</v>
      </c>
      <c r="L94" s="28">
        <f>_xlfn.STDEV.P(J94:J97)</f>
        <v>0.92405148834831652</v>
      </c>
    </row>
    <row r="95" spans="1:13">
      <c r="A95" s="44" t="s">
        <v>223</v>
      </c>
      <c r="B95" t="s">
        <v>284</v>
      </c>
      <c r="C95">
        <v>2.3450000000000002</v>
      </c>
      <c r="E95">
        <v>200.60499999999999</v>
      </c>
      <c r="F95">
        <v>5</v>
      </c>
      <c r="G95">
        <f t="shared" si="0"/>
        <v>1003.025</v>
      </c>
      <c r="J95">
        <f t="shared" si="1"/>
        <v>6.0181499999999994</v>
      </c>
      <c r="L95" s="14"/>
    </row>
    <row r="96" spans="1:13">
      <c r="A96" s="44" t="s">
        <v>278</v>
      </c>
      <c r="B96" t="s">
        <v>286</v>
      </c>
      <c r="C96">
        <v>2.5009999999999999</v>
      </c>
      <c r="D96" t="s">
        <v>310</v>
      </c>
      <c r="E96">
        <v>219.42500000000001</v>
      </c>
      <c r="F96">
        <v>5</v>
      </c>
      <c r="G96">
        <f t="shared" si="0"/>
        <v>1097.125</v>
      </c>
      <c r="J96">
        <f t="shared" si="1"/>
        <v>6.5827499999999999</v>
      </c>
      <c r="L96" s="14"/>
    </row>
    <row r="97" spans="1:12">
      <c r="A97" s="54"/>
      <c r="B97" s="21" t="s">
        <v>288</v>
      </c>
      <c r="C97" s="21">
        <v>1.8460000000000001</v>
      </c>
      <c r="D97" s="21"/>
      <c r="E97" s="21">
        <v>146.739</v>
      </c>
      <c r="F97" s="21">
        <v>5</v>
      </c>
      <c r="G97" s="21">
        <f t="shared" si="0"/>
        <v>733.69500000000005</v>
      </c>
      <c r="H97" s="21"/>
      <c r="I97" s="21"/>
      <c r="J97" s="21">
        <f t="shared" si="1"/>
        <v>4.4021699999999999</v>
      </c>
      <c r="K97" s="21"/>
      <c r="L97" s="22"/>
    </row>
    <row r="98" spans="1:12">
      <c r="A98" s="53" t="s">
        <v>281</v>
      </c>
      <c r="B98" s="27" t="s">
        <v>291</v>
      </c>
      <c r="C98" s="27">
        <v>1.774</v>
      </c>
      <c r="D98" s="27"/>
      <c r="E98" s="27">
        <v>140.02600000000001</v>
      </c>
      <c r="F98" s="27">
        <v>5</v>
      </c>
      <c r="G98" s="27">
        <f t="shared" si="0"/>
        <v>700.13000000000011</v>
      </c>
      <c r="H98" s="27">
        <f>AVERAGE(G98:G101)</f>
        <v>867.66374999999994</v>
      </c>
      <c r="I98" s="27">
        <f>_xlfn.STDEV.P(G98:G101)</f>
        <v>202.80730563070887</v>
      </c>
      <c r="J98" s="27">
        <f t="shared" si="1"/>
        <v>4.2007800000000008</v>
      </c>
      <c r="K98" s="27">
        <f>AVERAGE(J98:J101)</f>
        <v>5.2059825000000002</v>
      </c>
      <c r="L98" s="28">
        <f>_xlfn.STDEV.P(J98:J101)</f>
        <v>1.2168438337842489</v>
      </c>
    </row>
    <row r="99" spans="1:12">
      <c r="A99" s="44" t="s">
        <v>264</v>
      </c>
      <c r="B99" t="s">
        <v>293</v>
      </c>
      <c r="C99">
        <v>2.0630000000000002</v>
      </c>
      <c r="E99">
        <v>168.50399999999999</v>
      </c>
      <c r="F99">
        <v>5</v>
      </c>
      <c r="G99">
        <f t="shared" si="0"/>
        <v>842.52</v>
      </c>
      <c r="J99">
        <f t="shared" si="1"/>
        <v>5.0551199999999996</v>
      </c>
      <c r="L99" s="14"/>
    </row>
    <row r="100" spans="1:12">
      <c r="A100" s="44" t="s">
        <v>278</v>
      </c>
      <c r="B100" t="s">
        <v>295</v>
      </c>
      <c r="C100">
        <v>2.6840000000000002</v>
      </c>
      <c r="D100" t="s">
        <v>310</v>
      </c>
      <c r="E100">
        <v>241.22800000000001</v>
      </c>
      <c r="F100">
        <v>5</v>
      </c>
      <c r="G100">
        <f t="shared" si="0"/>
        <v>1206.1400000000001</v>
      </c>
      <c r="J100">
        <f t="shared" si="1"/>
        <v>7.2368399999999999</v>
      </c>
      <c r="L100" s="14"/>
    </row>
    <row r="101" spans="1:12" ht="16" thickBot="1">
      <c r="A101" s="52"/>
      <c r="B101" s="36" t="s">
        <v>296</v>
      </c>
      <c r="C101" s="36">
        <v>1.821</v>
      </c>
      <c r="D101" s="36"/>
      <c r="E101" s="36">
        <v>144.37299999999999</v>
      </c>
      <c r="F101" s="36">
        <v>5</v>
      </c>
      <c r="G101" s="36">
        <f t="shared" si="0"/>
        <v>721.86500000000001</v>
      </c>
      <c r="H101" s="36"/>
      <c r="I101" s="36"/>
      <c r="J101" s="36">
        <f t="shared" si="1"/>
        <v>4.3311900000000003</v>
      </c>
      <c r="K101" s="36"/>
      <c r="L101" s="37"/>
    </row>
    <row r="102" spans="1:12">
      <c r="A102" s="50" t="s">
        <v>290</v>
      </c>
      <c r="B102" s="4" t="s">
        <v>299</v>
      </c>
      <c r="C102" s="4">
        <v>0.125</v>
      </c>
      <c r="D102" s="4"/>
      <c r="E102" s="4">
        <v>7.4580000000000002</v>
      </c>
      <c r="F102" s="4">
        <v>5</v>
      </c>
      <c r="G102" s="4">
        <f t="shared" si="0"/>
        <v>37.29</v>
      </c>
      <c r="H102" s="4">
        <f>AVERAGE(G102:G105)</f>
        <v>38.022500000000001</v>
      </c>
      <c r="I102" s="4">
        <f>_xlfn.STDEV.P(G102:G105)</f>
        <v>4.5199426157861655</v>
      </c>
      <c r="J102" s="4">
        <f t="shared" si="1"/>
        <v>0.22374000000000002</v>
      </c>
      <c r="K102" s="4">
        <f>AVERAGE(J102:J105)</f>
        <v>0.22813499999999998</v>
      </c>
      <c r="L102" s="5">
        <f>_xlfn.STDEV.P(J102:J105)</f>
        <v>2.7119655694717141E-2</v>
      </c>
    </row>
    <row r="103" spans="1:12">
      <c r="A103" s="44" t="s">
        <v>240</v>
      </c>
      <c r="B103" t="s">
        <v>301</v>
      </c>
      <c r="C103">
        <v>0.151</v>
      </c>
      <c r="E103">
        <v>8.6229999999999993</v>
      </c>
      <c r="F103">
        <v>5</v>
      </c>
      <c r="G103">
        <f t="shared" si="0"/>
        <v>43.114999999999995</v>
      </c>
      <c r="J103">
        <f t="shared" si="1"/>
        <v>0.25868999999999992</v>
      </c>
      <c r="L103" s="14"/>
    </row>
    <row r="104" spans="1:12">
      <c r="A104" s="44" t="s">
        <v>216</v>
      </c>
      <c r="B104" t="s">
        <v>303</v>
      </c>
      <c r="C104">
        <v>0.14000000000000001</v>
      </c>
      <c r="E104">
        <v>8.125</v>
      </c>
      <c r="F104">
        <v>5</v>
      </c>
      <c r="G104">
        <f t="shared" si="0"/>
        <v>40.625</v>
      </c>
      <c r="J104">
        <f t="shared" si="1"/>
        <v>0.24374999999999999</v>
      </c>
      <c r="L104" s="14"/>
    </row>
    <row r="105" spans="1:12">
      <c r="A105" s="45" t="s">
        <v>278</v>
      </c>
      <c r="B105" s="21" t="s">
        <v>305</v>
      </c>
      <c r="C105" s="21">
        <v>9.6000000000000002E-2</v>
      </c>
      <c r="D105" s="21"/>
      <c r="E105" s="21">
        <v>6.2119999999999997</v>
      </c>
      <c r="F105" s="21">
        <v>5</v>
      </c>
      <c r="G105" s="21">
        <f t="shared" si="0"/>
        <v>31.06</v>
      </c>
      <c r="H105" s="21"/>
      <c r="I105" s="21"/>
      <c r="J105" s="21">
        <f t="shared" si="1"/>
        <v>0.18636</v>
      </c>
      <c r="K105" s="21"/>
      <c r="L105" s="22"/>
    </row>
    <row r="106" spans="1:12">
      <c r="A106" s="53" t="s">
        <v>298</v>
      </c>
      <c r="B106" s="27" t="s">
        <v>308</v>
      </c>
      <c r="C106" s="27">
        <v>0.157</v>
      </c>
      <c r="D106" s="27"/>
      <c r="E106" s="27">
        <v>8.9339999999999993</v>
      </c>
      <c r="F106" s="27">
        <v>5</v>
      </c>
      <c r="G106" s="27">
        <f t="shared" si="0"/>
        <v>44.669999999999995</v>
      </c>
      <c r="H106" s="27">
        <f>AVERAGE(G106:G109)</f>
        <v>51.306249999999999</v>
      </c>
      <c r="I106" s="27">
        <f>_xlfn.STDEV.P(G106:G109)</f>
        <v>8.4716028405196351</v>
      </c>
      <c r="J106" s="27">
        <f t="shared" si="1"/>
        <v>0.26801999999999998</v>
      </c>
      <c r="K106" s="27">
        <f>AVERAGE(J106:J109)</f>
        <v>0.30783749999999999</v>
      </c>
      <c r="L106" s="28">
        <f>_xlfn.STDEV.P(J106:J109)</f>
        <v>5.0829617043117725E-2</v>
      </c>
    </row>
    <row r="107" spans="1:12">
      <c r="A107" s="44" t="s">
        <v>223</v>
      </c>
      <c r="B107" t="s">
        <v>311</v>
      </c>
      <c r="C107">
        <v>0.23699999999999999</v>
      </c>
      <c r="E107">
        <v>13.117000000000001</v>
      </c>
      <c r="F107">
        <v>5</v>
      </c>
      <c r="G107">
        <f t="shared" si="0"/>
        <v>65.585000000000008</v>
      </c>
      <c r="J107">
        <f t="shared" si="1"/>
        <v>0.39351000000000003</v>
      </c>
      <c r="L107" s="14"/>
    </row>
    <row r="108" spans="1:12">
      <c r="A108" s="44" t="s">
        <v>278</v>
      </c>
      <c r="B108" t="s">
        <v>313</v>
      </c>
      <c r="C108">
        <v>0.17799999999999999</v>
      </c>
      <c r="E108">
        <v>9.9429999999999996</v>
      </c>
      <c r="F108">
        <v>5</v>
      </c>
      <c r="G108">
        <f t="shared" si="0"/>
        <v>49.714999999999996</v>
      </c>
      <c r="J108">
        <f t="shared" si="1"/>
        <v>0.29828999999999994</v>
      </c>
      <c r="L108" s="14"/>
    </row>
    <row r="109" spans="1:12">
      <c r="A109" s="54"/>
      <c r="B109" s="21" t="s">
        <v>315</v>
      </c>
      <c r="C109" s="21">
        <v>0.16</v>
      </c>
      <c r="D109" s="21"/>
      <c r="E109" s="21">
        <v>9.0510000000000002</v>
      </c>
      <c r="F109" s="21">
        <v>5</v>
      </c>
      <c r="G109" s="21">
        <f t="shared" si="0"/>
        <v>45.255000000000003</v>
      </c>
      <c r="H109" s="21"/>
      <c r="I109" s="21"/>
      <c r="J109" s="21">
        <f t="shared" si="1"/>
        <v>0.27153000000000005</v>
      </c>
      <c r="K109" s="21"/>
      <c r="L109" s="22"/>
    </row>
    <row r="110" spans="1:12">
      <c r="A110" s="53" t="s">
        <v>307</v>
      </c>
      <c r="B110" s="27" t="s">
        <v>318</v>
      </c>
      <c r="C110" s="27">
        <v>0.187</v>
      </c>
      <c r="D110" s="27"/>
      <c r="E110" s="27">
        <v>10.36</v>
      </c>
      <c r="F110" s="27">
        <v>5</v>
      </c>
      <c r="G110" s="27">
        <f t="shared" si="0"/>
        <v>51.8</v>
      </c>
      <c r="H110" s="27">
        <f>AVERAGE(G110:G113)</f>
        <v>56.092500000000001</v>
      </c>
      <c r="I110" s="27">
        <f>_xlfn.STDEV.P(G110:G113)</f>
        <v>6.2844555253418779</v>
      </c>
      <c r="J110" s="27">
        <f t="shared" si="1"/>
        <v>0.31079999999999997</v>
      </c>
      <c r="K110" s="27">
        <f>AVERAGE(J110:J113)</f>
        <v>0.33655499999999999</v>
      </c>
      <c r="L110" s="28">
        <f>_xlfn.STDEV.P(J110:J113)</f>
        <v>3.7706733152051516E-2</v>
      </c>
    </row>
    <row r="111" spans="1:12">
      <c r="A111" s="44" t="s">
        <v>264</v>
      </c>
      <c r="B111" t="s">
        <v>320</v>
      </c>
      <c r="C111">
        <v>0.24099999999999999</v>
      </c>
      <c r="E111">
        <v>13.353</v>
      </c>
      <c r="F111">
        <v>5</v>
      </c>
      <c r="G111">
        <f t="shared" si="0"/>
        <v>66.765000000000001</v>
      </c>
      <c r="J111">
        <f t="shared" si="1"/>
        <v>0.40059000000000006</v>
      </c>
      <c r="L111" s="14"/>
    </row>
    <row r="112" spans="1:12">
      <c r="A112" s="44" t="s">
        <v>278</v>
      </c>
      <c r="B112" t="s">
        <v>322</v>
      </c>
      <c r="C112">
        <v>0.19700000000000001</v>
      </c>
      <c r="E112">
        <v>10.906000000000001</v>
      </c>
      <c r="F112">
        <v>5</v>
      </c>
      <c r="G112">
        <f t="shared" si="0"/>
        <v>54.53</v>
      </c>
      <c r="J112">
        <f t="shared" si="1"/>
        <v>0.32718000000000003</v>
      </c>
      <c r="L112" s="14"/>
    </row>
    <row r="113" spans="1:12">
      <c r="A113" s="54"/>
      <c r="B113" s="21" t="s">
        <v>324</v>
      </c>
      <c r="C113" s="21">
        <v>0.185</v>
      </c>
      <c r="D113" s="21"/>
      <c r="E113" s="21">
        <v>10.255000000000001</v>
      </c>
      <c r="F113" s="21">
        <v>5</v>
      </c>
      <c r="G113" s="21">
        <f t="shared" si="0"/>
        <v>51.275000000000006</v>
      </c>
      <c r="H113" s="21"/>
      <c r="I113" s="21"/>
      <c r="J113" s="21">
        <f t="shared" si="1"/>
        <v>0.30765000000000003</v>
      </c>
      <c r="K113" s="21"/>
      <c r="L113" s="22"/>
    </row>
    <row r="114" spans="1:12">
      <c r="A114" s="53" t="s">
        <v>317</v>
      </c>
      <c r="B114" s="27" t="s">
        <v>326</v>
      </c>
      <c r="C114" s="27">
        <v>0.83099999999999996</v>
      </c>
      <c r="D114" s="27"/>
      <c r="E114" s="27">
        <v>69.286000000000001</v>
      </c>
      <c r="F114" s="27">
        <v>5</v>
      </c>
      <c r="G114" s="27">
        <f t="shared" si="0"/>
        <v>346.43</v>
      </c>
      <c r="H114" s="27">
        <f>AVERAGE(G114:G117)</f>
        <v>393.63750000000005</v>
      </c>
      <c r="I114" s="27">
        <f>_xlfn.STDEV.P(G114:G117)</f>
        <v>107.60430227806869</v>
      </c>
      <c r="J114" s="27">
        <f t="shared" si="1"/>
        <v>2.0785800000000001</v>
      </c>
      <c r="K114" s="27">
        <f>AVERAGE(J114:J117)</f>
        <v>2.3618250000000001</v>
      </c>
      <c r="L114" s="28">
        <f>_xlfn.STDEV.P(J114:J117)</f>
        <v>0.64562581366841221</v>
      </c>
    </row>
    <row r="115" spans="1:12">
      <c r="A115" s="44" t="s">
        <v>599</v>
      </c>
      <c r="B115" t="s">
        <v>328</v>
      </c>
      <c r="C115">
        <v>0.77100000000000002</v>
      </c>
      <c r="E115">
        <v>64.822000000000003</v>
      </c>
      <c r="F115">
        <v>5</v>
      </c>
      <c r="G115">
        <f t="shared" si="0"/>
        <v>324.11</v>
      </c>
      <c r="J115">
        <f t="shared" si="1"/>
        <v>1.9446600000000001</v>
      </c>
      <c r="L115" s="14"/>
    </row>
    <row r="116" spans="1:12">
      <c r="A116" s="44" t="s">
        <v>278</v>
      </c>
      <c r="B116" t="s">
        <v>330</v>
      </c>
      <c r="C116">
        <v>1.484</v>
      </c>
      <c r="E116">
        <v>115.872</v>
      </c>
      <c r="F116">
        <v>5</v>
      </c>
      <c r="G116">
        <f t="shared" si="0"/>
        <v>579.36</v>
      </c>
      <c r="J116">
        <f t="shared" si="1"/>
        <v>3.4761599999999997</v>
      </c>
      <c r="L116" s="14"/>
    </row>
    <row r="117" spans="1:12">
      <c r="A117" s="54"/>
      <c r="B117" s="21" t="s">
        <v>332</v>
      </c>
      <c r="C117" s="21">
        <v>0.77300000000000002</v>
      </c>
      <c r="D117" s="21"/>
      <c r="E117" s="21">
        <v>64.930000000000007</v>
      </c>
      <c r="F117" s="21">
        <v>5</v>
      </c>
      <c r="G117" s="21">
        <f t="shared" si="0"/>
        <v>324.65000000000003</v>
      </c>
      <c r="H117" s="21"/>
      <c r="I117" s="21"/>
      <c r="J117" s="21">
        <f t="shared" si="1"/>
        <v>1.9479000000000002</v>
      </c>
      <c r="K117" s="21"/>
      <c r="L117" s="22"/>
    </row>
    <row r="118" spans="1:12">
      <c r="A118" s="53" t="s">
        <v>325</v>
      </c>
      <c r="B118" s="27" t="s">
        <v>334</v>
      </c>
      <c r="C118" s="27">
        <v>0.26100000000000001</v>
      </c>
      <c r="D118" s="27"/>
      <c r="E118" s="27">
        <v>14.648999999999999</v>
      </c>
      <c r="F118" s="27">
        <v>5</v>
      </c>
      <c r="G118" s="27">
        <f t="shared" si="0"/>
        <v>73.24499999999999</v>
      </c>
      <c r="H118" s="27">
        <f>AVERAGE(G118:G121)</f>
        <v>73.67</v>
      </c>
      <c r="I118" s="27">
        <f>_xlfn.STDEV.P(G118:G121)</f>
        <v>8.1599770220263483</v>
      </c>
      <c r="J118" s="27">
        <f t="shared" si="1"/>
        <v>0.43946999999999992</v>
      </c>
      <c r="K118" s="27">
        <f>AVERAGE(J118:J121)</f>
        <v>0.44201999999999997</v>
      </c>
      <c r="L118" s="28">
        <f>_xlfn.STDEV.P(J118:J121)</f>
        <v>4.8959862132158367E-2</v>
      </c>
    </row>
    <row r="119" spans="1:12">
      <c r="A119" s="44" t="s">
        <v>602</v>
      </c>
      <c r="B119" t="s">
        <v>336</v>
      </c>
      <c r="C119">
        <v>0.27100000000000002</v>
      </c>
      <c r="E119">
        <v>15.297000000000001</v>
      </c>
      <c r="F119">
        <v>5</v>
      </c>
      <c r="G119">
        <f t="shared" si="0"/>
        <v>76.484999999999999</v>
      </c>
      <c r="J119">
        <f t="shared" si="1"/>
        <v>0.45890999999999998</v>
      </c>
      <c r="L119" s="14"/>
    </row>
    <row r="120" spans="1:12">
      <c r="A120" s="44" t="s">
        <v>278</v>
      </c>
      <c r="B120" t="s">
        <v>338</v>
      </c>
      <c r="C120">
        <v>0.29099999999999998</v>
      </c>
      <c r="E120">
        <v>16.754999999999999</v>
      </c>
      <c r="F120">
        <v>5</v>
      </c>
      <c r="G120">
        <f t="shared" si="0"/>
        <v>83.774999999999991</v>
      </c>
      <c r="J120">
        <f t="shared" si="1"/>
        <v>0.50264999999999993</v>
      </c>
      <c r="L120" s="14"/>
    </row>
    <row r="121" spans="1:12" ht="16" thickBot="1">
      <c r="A121" s="52"/>
      <c r="B121" s="36" t="s">
        <v>340</v>
      </c>
      <c r="C121" s="36">
        <v>0.222</v>
      </c>
      <c r="D121" s="36"/>
      <c r="E121" s="36">
        <v>12.234999999999999</v>
      </c>
      <c r="F121" s="36">
        <v>5</v>
      </c>
      <c r="G121" s="36">
        <f t="shared" si="0"/>
        <v>61.174999999999997</v>
      </c>
      <c r="H121" s="36"/>
      <c r="I121" s="36"/>
      <c r="J121" s="36">
        <f t="shared" si="1"/>
        <v>0.36704999999999993</v>
      </c>
      <c r="K121" s="36"/>
      <c r="L121" s="37"/>
    </row>
    <row r="123" spans="1:12">
      <c r="A123" t="s">
        <v>105</v>
      </c>
    </row>
    <row r="125" spans="1:12">
      <c r="A125">
        <v>226.07</v>
      </c>
    </row>
    <row r="127" spans="1:12">
      <c r="A127" t="s">
        <v>4</v>
      </c>
    </row>
    <row r="128" spans="1:12">
      <c r="A128" t="s">
        <v>103</v>
      </c>
      <c r="B128" t="s">
        <v>343</v>
      </c>
      <c r="C128">
        <v>0</v>
      </c>
    </row>
    <row r="130" spans="1:1">
      <c r="A130" t="s">
        <v>4</v>
      </c>
    </row>
    <row r="131" spans="1:1">
      <c r="A131" t="s">
        <v>603</v>
      </c>
    </row>
    <row r="132" spans="1:1">
      <c r="A132" t="s">
        <v>345</v>
      </c>
    </row>
  </sheetData>
  <mergeCells count="14">
    <mergeCell ref="T58:U59"/>
    <mergeCell ref="O58:O59"/>
    <mergeCell ref="P58:P59"/>
    <mergeCell ref="Q58:Q59"/>
    <mergeCell ref="R58:R59"/>
    <mergeCell ref="S58:S59"/>
    <mergeCell ref="O72:O75"/>
    <mergeCell ref="T72:U75"/>
    <mergeCell ref="O60:O63"/>
    <mergeCell ref="T60:U63"/>
    <mergeCell ref="O64:O67"/>
    <mergeCell ref="T64:U67"/>
    <mergeCell ref="O68:O71"/>
    <mergeCell ref="T68:U7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9AEC5-429E-ED4B-9D93-C1BF746FFEA4}">
  <dimension ref="A1:W139"/>
  <sheetViews>
    <sheetView topLeftCell="A44" zoomScale="82" workbookViewId="0">
      <selection activeCell="X69" sqref="X69"/>
    </sheetView>
  </sheetViews>
  <sheetFormatPr baseColWidth="10" defaultColWidth="8.83203125" defaultRowHeight="15"/>
  <sheetData>
    <row r="1" spans="1:22">
      <c r="A1" t="s">
        <v>0</v>
      </c>
    </row>
    <row r="2" spans="1:22">
      <c r="A2" t="s">
        <v>1</v>
      </c>
    </row>
    <row r="4" spans="1:22">
      <c r="A4" t="s">
        <v>2</v>
      </c>
    </row>
    <row r="6" spans="1:22">
      <c r="A6" t="s">
        <v>3</v>
      </c>
    </row>
    <row r="7" spans="1:22">
      <c r="A7" t="s">
        <v>4</v>
      </c>
    </row>
    <row r="8" spans="1:22">
      <c r="A8" t="s">
        <v>5</v>
      </c>
      <c r="B8" t="s">
        <v>6</v>
      </c>
      <c r="C8" t="s">
        <v>7</v>
      </c>
      <c r="D8" t="s">
        <v>8</v>
      </c>
      <c r="E8" t="s">
        <v>9</v>
      </c>
      <c r="F8" t="s">
        <v>10</v>
      </c>
      <c r="G8" t="s">
        <v>11</v>
      </c>
      <c r="H8" t="b">
        <v>0</v>
      </c>
      <c r="I8">
        <v>1</v>
      </c>
      <c r="O8">
        <v>1</v>
      </c>
      <c r="P8">
        <v>520</v>
      </c>
      <c r="Q8">
        <v>1</v>
      </c>
      <c r="R8">
        <v>12</v>
      </c>
      <c r="S8">
        <v>96</v>
      </c>
      <c r="T8">
        <v>1</v>
      </c>
      <c r="U8">
        <v>8</v>
      </c>
      <c r="V8" t="s">
        <v>12</v>
      </c>
    </row>
    <row r="9" spans="1:22">
      <c r="A9" t="s">
        <v>13</v>
      </c>
      <c r="B9" t="s">
        <v>14</v>
      </c>
      <c r="C9" t="s">
        <v>15</v>
      </c>
      <c r="D9" t="s">
        <v>16</v>
      </c>
      <c r="E9" t="s">
        <v>17</v>
      </c>
      <c r="F9" t="s">
        <v>18</v>
      </c>
      <c r="G9" t="s">
        <v>19</v>
      </c>
      <c r="H9" t="s">
        <v>20</v>
      </c>
      <c r="I9" t="s">
        <v>21</v>
      </c>
      <c r="J9" t="s">
        <v>22</v>
      </c>
      <c r="K9" t="s">
        <v>23</v>
      </c>
      <c r="L9" t="s">
        <v>24</v>
      </c>
      <c r="M9" t="s">
        <v>25</v>
      </c>
    </row>
    <row r="10" spans="1:22">
      <c r="B10" t="s">
        <v>26</v>
      </c>
      <c r="C10" t="s">
        <v>27</v>
      </c>
      <c r="D10" t="s">
        <v>28</v>
      </c>
      <c r="E10" t="s">
        <v>29</v>
      </c>
      <c r="F10" t="s">
        <v>30</v>
      </c>
      <c r="G10" t="s">
        <v>31</v>
      </c>
      <c r="H10" t="s">
        <v>32</v>
      </c>
      <c r="I10" t="s">
        <v>33</v>
      </c>
      <c r="J10" t="s">
        <v>34</v>
      </c>
      <c r="K10" t="s">
        <v>35</v>
      </c>
      <c r="L10" t="s">
        <v>35</v>
      </c>
      <c r="M10" t="s">
        <v>36</v>
      </c>
    </row>
    <row r="11" spans="1:22">
      <c r="B11" t="s">
        <v>37</v>
      </c>
      <c r="C11" t="s">
        <v>38</v>
      </c>
      <c r="D11" t="s">
        <v>39</v>
      </c>
      <c r="E11" t="s">
        <v>40</v>
      </c>
      <c r="F11" t="s">
        <v>41</v>
      </c>
      <c r="G11" t="s">
        <v>42</v>
      </c>
      <c r="H11" t="s">
        <v>43</v>
      </c>
      <c r="I11" t="s">
        <v>44</v>
      </c>
      <c r="J11" t="s">
        <v>45</v>
      </c>
      <c r="K11" t="s">
        <v>46</v>
      </c>
      <c r="L11" t="s">
        <v>47</v>
      </c>
      <c r="M11" t="s">
        <v>48</v>
      </c>
    </row>
    <row r="12" spans="1:22">
      <c r="B12" t="s">
        <v>49</v>
      </c>
      <c r="C12" t="s">
        <v>50</v>
      </c>
      <c r="D12" t="s">
        <v>51</v>
      </c>
      <c r="E12" t="s">
        <v>52</v>
      </c>
      <c r="F12" t="s">
        <v>53</v>
      </c>
      <c r="G12" t="s">
        <v>54</v>
      </c>
      <c r="H12" t="s">
        <v>55</v>
      </c>
      <c r="I12" t="s">
        <v>56</v>
      </c>
      <c r="J12" t="s">
        <v>57</v>
      </c>
      <c r="K12" t="s">
        <v>58</v>
      </c>
      <c r="L12" t="s">
        <v>59</v>
      </c>
      <c r="M12" t="s">
        <v>60</v>
      </c>
    </row>
    <row r="13" spans="1:22">
      <c r="B13" t="s">
        <v>61</v>
      </c>
      <c r="C13" t="s">
        <v>62</v>
      </c>
      <c r="D13" t="s">
        <v>63</v>
      </c>
      <c r="E13" t="s">
        <v>64</v>
      </c>
      <c r="F13" t="s">
        <v>65</v>
      </c>
      <c r="G13" t="s">
        <v>66</v>
      </c>
      <c r="H13" t="s">
        <v>67</v>
      </c>
      <c r="I13" t="s">
        <v>68</v>
      </c>
      <c r="J13" t="s">
        <v>69</v>
      </c>
      <c r="K13" t="s">
        <v>23</v>
      </c>
      <c r="L13" t="s">
        <v>70</v>
      </c>
      <c r="M13" t="s">
        <v>71</v>
      </c>
    </row>
    <row r="14" spans="1:22">
      <c r="B14" t="s">
        <v>72</v>
      </c>
      <c r="C14" t="s">
        <v>73</v>
      </c>
      <c r="D14" t="s">
        <v>74</v>
      </c>
      <c r="E14" t="s">
        <v>75</v>
      </c>
      <c r="F14" t="s">
        <v>76</v>
      </c>
      <c r="G14" t="s">
        <v>77</v>
      </c>
      <c r="H14" t="s">
        <v>78</v>
      </c>
      <c r="I14" t="s">
        <v>79</v>
      </c>
      <c r="J14" t="s">
        <v>80</v>
      </c>
      <c r="K14" t="s">
        <v>81</v>
      </c>
      <c r="L14" t="s">
        <v>46</v>
      </c>
      <c r="M14" t="s">
        <v>82</v>
      </c>
    </row>
    <row r="15" spans="1:22">
      <c r="B15" t="s">
        <v>83</v>
      </c>
      <c r="C15" t="s">
        <v>84</v>
      </c>
      <c r="D15" t="s">
        <v>85</v>
      </c>
      <c r="E15" t="s">
        <v>86</v>
      </c>
      <c r="F15" t="s">
        <v>87</v>
      </c>
      <c r="G15" t="s">
        <v>88</v>
      </c>
      <c r="H15" t="s">
        <v>89</v>
      </c>
      <c r="I15" t="s">
        <v>90</v>
      </c>
      <c r="J15" t="s">
        <v>91</v>
      </c>
      <c r="K15" t="s">
        <v>23</v>
      </c>
      <c r="L15" t="s">
        <v>92</v>
      </c>
      <c r="M15" t="s">
        <v>93</v>
      </c>
    </row>
    <row r="16" spans="1:22">
      <c r="B16" t="s">
        <v>94</v>
      </c>
      <c r="C16" t="s">
        <v>95</v>
      </c>
      <c r="D16" t="s">
        <v>96</v>
      </c>
      <c r="E16" t="s">
        <v>97</v>
      </c>
      <c r="F16" t="s">
        <v>98</v>
      </c>
      <c r="G16" t="s">
        <v>99</v>
      </c>
      <c r="H16" t="s">
        <v>100</v>
      </c>
      <c r="I16" t="s">
        <v>101</v>
      </c>
      <c r="J16" t="s">
        <v>102</v>
      </c>
      <c r="K16" t="s">
        <v>46</v>
      </c>
      <c r="L16" t="s">
        <v>81</v>
      </c>
      <c r="M16" t="e" vm="1">
        <f>_FV(0,"0024")</f>
        <v>#VALUE!</v>
      </c>
    </row>
    <row r="18" spans="1:3">
      <c r="A18" t="s">
        <v>4</v>
      </c>
    </row>
    <row r="19" spans="1:3">
      <c r="A19" t="s">
        <v>103</v>
      </c>
      <c r="B19" t="s">
        <v>104</v>
      </c>
      <c r="C19">
        <v>0</v>
      </c>
    </row>
    <row r="21" spans="1:3">
      <c r="A21" t="s">
        <v>105</v>
      </c>
    </row>
    <row r="23" spans="1:3">
      <c r="A23" t="s">
        <v>105</v>
      </c>
    </row>
    <row r="25" spans="1:3">
      <c r="A25" t="s">
        <v>4</v>
      </c>
    </row>
    <row r="26" spans="1:3">
      <c r="A26" t="s">
        <v>103</v>
      </c>
      <c r="B26" t="s">
        <v>106</v>
      </c>
      <c r="C26">
        <v>0</v>
      </c>
    </row>
    <row r="28" spans="1:3">
      <c r="A28" t="s">
        <v>105</v>
      </c>
    </row>
    <row r="30" spans="1:3">
      <c r="A30" t="s">
        <v>105</v>
      </c>
    </row>
    <row r="32" spans="1:3">
      <c r="A32" t="s">
        <v>4</v>
      </c>
    </row>
    <row r="33" spans="1:23">
      <c r="A33" t="s">
        <v>103</v>
      </c>
      <c r="B33" t="s">
        <v>107</v>
      </c>
      <c r="C33">
        <v>0</v>
      </c>
    </row>
    <row r="35" spans="1:23">
      <c r="A35" t="s">
        <v>105</v>
      </c>
    </row>
    <row r="37" spans="1:23">
      <c r="A37" t="s">
        <v>105</v>
      </c>
    </row>
    <row r="39" spans="1:23">
      <c r="A39" t="s">
        <v>4</v>
      </c>
    </row>
    <row r="40" spans="1:23">
      <c r="A40" t="s">
        <v>103</v>
      </c>
      <c r="B40" t="s">
        <v>108</v>
      </c>
      <c r="C40">
        <v>0</v>
      </c>
    </row>
    <row r="41" spans="1:23">
      <c r="A41" t="s">
        <v>109</v>
      </c>
      <c r="B41" t="s">
        <v>110</v>
      </c>
      <c r="C41" t="s">
        <v>111</v>
      </c>
      <c r="D41" t="s">
        <v>112</v>
      </c>
      <c r="E41" t="s">
        <v>113</v>
      </c>
      <c r="F41" t="s">
        <v>114</v>
      </c>
      <c r="G41" t="s">
        <v>115</v>
      </c>
      <c r="H41" t="s">
        <v>116</v>
      </c>
    </row>
    <row r="42" spans="1:23">
      <c r="C42" t="s">
        <v>117</v>
      </c>
      <c r="D42" t="s">
        <v>118</v>
      </c>
      <c r="E42" t="s">
        <v>119</v>
      </c>
    </row>
    <row r="43" spans="1:23">
      <c r="A43" t="s">
        <v>120</v>
      </c>
      <c r="B43" t="s">
        <v>121</v>
      </c>
      <c r="C43" t="s">
        <v>122</v>
      </c>
      <c r="D43" t="s">
        <v>123</v>
      </c>
      <c r="E43" t="s">
        <v>124</v>
      </c>
      <c r="F43" t="s">
        <v>125</v>
      </c>
      <c r="G43" t="s">
        <v>126</v>
      </c>
      <c r="H43" t="s">
        <v>127</v>
      </c>
    </row>
    <row r="44" spans="1:23">
      <c r="C44" t="s">
        <v>128</v>
      </c>
      <c r="D44" t="s">
        <v>129</v>
      </c>
      <c r="E44" t="s">
        <v>130</v>
      </c>
    </row>
    <row r="45" spans="1:23">
      <c r="A45" t="s">
        <v>131</v>
      </c>
      <c r="B45" t="s">
        <v>132</v>
      </c>
      <c r="C45" t="s">
        <v>133</v>
      </c>
      <c r="D45" t="s">
        <v>134</v>
      </c>
      <c r="E45" t="s">
        <v>135</v>
      </c>
      <c r="F45" t="s">
        <v>136</v>
      </c>
      <c r="G45" t="s">
        <v>137</v>
      </c>
      <c r="H45" t="s">
        <v>138</v>
      </c>
    </row>
    <row r="46" spans="1:23">
      <c r="C46" t="s">
        <v>139</v>
      </c>
      <c r="D46" t="s">
        <v>140</v>
      </c>
      <c r="E46" t="s">
        <v>141</v>
      </c>
    </row>
    <row r="47" spans="1:23">
      <c r="A47" t="s">
        <v>142</v>
      </c>
      <c r="B47" t="s">
        <v>143</v>
      </c>
      <c r="C47" t="s">
        <v>144</v>
      </c>
      <c r="D47" t="s">
        <v>145</v>
      </c>
      <c r="E47" t="s">
        <v>146</v>
      </c>
      <c r="F47" t="s">
        <v>147</v>
      </c>
      <c r="G47" t="s">
        <v>148</v>
      </c>
      <c r="H47" t="s">
        <v>149</v>
      </c>
      <c r="K47" s="1" t="s">
        <v>604</v>
      </c>
      <c r="L47" t="s">
        <v>605</v>
      </c>
      <c r="N47" s="1" t="s">
        <v>606</v>
      </c>
      <c r="Q47" s="1" t="s">
        <v>105</v>
      </c>
    </row>
    <row r="48" spans="1:23">
      <c r="C48" t="s">
        <v>150</v>
      </c>
      <c r="D48" t="s">
        <v>151</v>
      </c>
      <c r="E48" t="s">
        <v>152</v>
      </c>
      <c r="L48" s="56">
        <v>1</v>
      </c>
      <c r="M48" s="56">
        <v>2</v>
      </c>
      <c r="N48" s="56">
        <v>3</v>
      </c>
      <c r="O48" s="56">
        <v>4</v>
      </c>
      <c r="P48" s="56">
        <v>5</v>
      </c>
      <c r="Q48" s="56">
        <v>6</v>
      </c>
      <c r="R48" s="56">
        <v>7</v>
      </c>
      <c r="S48" s="56">
        <v>8</v>
      </c>
      <c r="T48" s="56">
        <v>9</v>
      </c>
      <c r="U48" s="56">
        <v>10</v>
      </c>
      <c r="V48" s="56">
        <v>11</v>
      </c>
      <c r="W48" s="56">
        <v>12</v>
      </c>
    </row>
    <row r="49" spans="1:23">
      <c r="A49" t="s">
        <v>153</v>
      </c>
      <c r="B49" t="s">
        <v>154</v>
      </c>
      <c r="C49" t="s">
        <v>155</v>
      </c>
      <c r="D49" t="s">
        <v>156</v>
      </c>
      <c r="E49" t="s">
        <v>157</v>
      </c>
      <c r="F49" t="s">
        <v>158</v>
      </c>
      <c r="G49" t="s">
        <v>159</v>
      </c>
      <c r="H49" t="s">
        <v>160</v>
      </c>
      <c r="K49" s="56" t="s">
        <v>607</v>
      </c>
      <c r="L49" s="57">
        <v>2</v>
      </c>
      <c r="M49" s="58" t="s">
        <v>608</v>
      </c>
      <c r="N49" s="59" t="s">
        <v>608</v>
      </c>
      <c r="O49" s="60" t="s">
        <v>608</v>
      </c>
      <c r="P49" s="61" t="s">
        <v>608</v>
      </c>
      <c r="Q49" s="62" t="s">
        <v>608</v>
      </c>
      <c r="R49" s="63" t="s">
        <v>608</v>
      </c>
      <c r="S49" s="64" t="s">
        <v>608</v>
      </c>
      <c r="T49" s="65" t="s">
        <v>608</v>
      </c>
      <c r="U49" s="58"/>
      <c r="V49" s="60"/>
      <c r="W49" s="57">
        <v>2</v>
      </c>
    </row>
    <row r="50" spans="1:23">
      <c r="C50" t="s">
        <v>161</v>
      </c>
      <c r="D50" t="s">
        <v>162</v>
      </c>
      <c r="E50" t="s">
        <v>163</v>
      </c>
      <c r="K50" s="56" t="s">
        <v>609</v>
      </c>
      <c r="L50" s="57">
        <v>1.5</v>
      </c>
      <c r="M50" s="58" t="s">
        <v>610</v>
      </c>
      <c r="N50" s="59" t="s">
        <v>610</v>
      </c>
      <c r="O50" s="60" t="s">
        <v>610</v>
      </c>
      <c r="P50" s="61" t="s">
        <v>610</v>
      </c>
      <c r="Q50" s="62" t="s">
        <v>610</v>
      </c>
      <c r="R50" s="63" t="s">
        <v>610</v>
      </c>
      <c r="S50" s="64" t="s">
        <v>610</v>
      </c>
      <c r="T50" s="65" t="s">
        <v>610</v>
      </c>
      <c r="U50" s="58"/>
      <c r="V50" s="60"/>
      <c r="W50" s="57">
        <v>1.5</v>
      </c>
    </row>
    <row r="51" spans="1:23">
      <c r="A51" t="s">
        <v>164</v>
      </c>
      <c r="B51" t="s">
        <v>165</v>
      </c>
      <c r="C51" t="s">
        <v>166</v>
      </c>
      <c r="D51" t="s">
        <v>167</v>
      </c>
      <c r="E51" t="s">
        <v>168</v>
      </c>
      <c r="F51" t="s">
        <v>169</v>
      </c>
      <c r="G51" t="s">
        <v>170</v>
      </c>
      <c r="H51" t="s">
        <v>171</v>
      </c>
      <c r="K51" s="56" t="s">
        <v>611</v>
      </c>
      <c r="L51" s="57">
        <v>1</v>
      </c>
      <c r="M51" s="58" t="s">
        <v>612</v>
      </c>
      <c r="N51" s="59" t="s">
        <v>612</v>
      </c>
      <c r="O51" s="60" t="s">
        <v>612</v>
      </c>
      <c r="P51" s="61" t="s">
        <v>612</v>
      </c>
      <c r="Q51" s="62" t="s">
        <v>612</v>
      </c>
      <c r="R51" s="63" t="s">
        <v>612</v>
      </c>
      <c r="S51" s="64" t="s">
        <v>612</v>
      </c>
      <c r="T51" s="65" t="s">
        <v>612</v>
      </c>
      <c r="U51" s="58"/>
      <c r="V51" s="60"/>
      <c r="W51" s="57">
        <v>1</v>
      </c>
    </row>
    <row r="52" spans="1:23">
      <c r="C52" t="s">
        <v>172</v>
      </c>
      <c r="D52" t="s">
        <v>173</v>
      </c>
      <c r="E52" t="s">
        <v>174</v>
      </c>
      <c r="K52" s="56" t="s">
        <v>613</v>
      </c>
      <c r="L52" s="57">
        <v>0.75</v>
      </c>
      <c r="M52" s="58" t="s">
        <v>614</v>
      </c>
      <c r="N52" s="59" t="s">
        <v>614</v>
      </c>
      <c r="O52" s="60" t="s">
        <v>614</v>
      </c>
      <c r="P52" s="61" t="s">
        <v>614</v>
      </c>
      <c r="Q52" s="62" t="s">
        <v>614</v>
      </c>
      <c r="R52" s="63" t="s">
        <v>614</v>
      </c>
      <c r="S52" s="64" t="s">
        <v>614</v>
      </c>
      <c r="T52" s="65" t="s">
        <v>614</v>
      </c>
      <c r="U52" s="58"/>
      <c r="V52" s="60"/>
      <c r="W52" s="57">
        <v>0.75</v>
      </c>
    </row>
    <row r="53" spans="1:23">
      <c r="A53" t="s">
        <v>175</v>
      </c>
      <c r="B53" t="s">
        <v>176</v>
      </c>
      <c r="C53" t="s">
        <v>177</v>
      </c>
      <c r="D53" t="s">
        <v>178</v>
      </c>
      <c r="E53" t="s">
        <v>179</v>
      </c>
      <c r="F53" t="s">
        <v>180</v>
      </c>
      <c r="G53" t="s">
        <v>181</v>
      </c>
      <c r="H53" t="s">
        <v>182</v>
      </c>
      <c r="K53" s="56" t="s">
        <v>615</v>
      </c>
      <c r="L53" s="57">
        <v>0.5</v>
      </c>
      <c r="M53" s="58" t="s">
        <v>616</v>
      </c>
      <c r="N53" s="59" t="s">
        <v>616</v>
      </c>
      <c r="O53" s="60" t="s">
        <v>616</v>
      </c>
      <c r="P53" s="61" t="s">
        <v>616</v>
      </c>
      <c r="Q53" s="62" t="s">
        <v>616</v>
      </c>
      <c r="R53" s="63" t="s">
        <v>616</v>
      </c>
      <c r="S53" s="64" t="s">
        <v>616</v>
      </c>
      <c r="T53" s="65" t="s">
        <v>616</v>
      </c>
      <c r="U53" s="58"/>
      <c r="V53" s="60"/>
      <c r="W53" s="57">
        <v>0.5</v>
      </c>
    </row>
    <row r="54" spans="1:23">
      <c r="C54" t="s">
        <v>183</v>
      </c>
      <c r="D54" t="s">
        <v>184</v>
      </c>
      <c r="E54" t="s">
        <v>180</v>
      </c>
      <c r="K54" s="56" t="s">
        <v>617</v>
      </c>
      <c r="L54" s="57">
        <v>0.375</v>
      </c>
      <c r="M54" s="58" t="s">
        <v>618</v>
      </c>
      <c r="N54" s="59" t="s">
        <v>618</v>
      </c>
      <c r="O54" s="60" t="s">
        <v>618</v>
      </c>
      <c r="P54" s="61" t="s">
        <v>618</v>
      </c>
      <c r="Q54" s="62" t="s">
        <v>618</v>
      </c>
      <c r="R54" s="63" t="s">
        <v>618</v>
      </c>
      <c r="S54" s="64" t="s">
        <v>618</v>
      </c>
      <c r="T54" s="65" t="s">
        <v>618</v>
      </c>
      <c r="U54" s="58"/>
      <c r="V54" s="60"/>
      <c r="W54" s="57">
        <v>0.375</v>
      </c>
    </row>
    <row r="55" spans="1:23">
      <c r="K55" s="56" t="s">
        <v>619</v>
      </c>
      <c r="L55" s="57">
        <v>0.25</v>
      </c>
      <c r="M55" s="58" t="s">
        <v>620</v>
      </c>
      <c r="N55" s="59" t="s">
        <v>620</v>
      </c>
      <c r="O55" s="60" t="s">
        <v>620</v>
      </c>
      <c r="P55" s="61" t="s">
        <v>620</v>
      </c>
      <c r="Q55" s="62" t="s">
        <v>620</v>
      </c>
      <c r="R55" s="63" t="s">
        <v>620</v>
      </c>
      <c r="S55" s="64" t="s">
        <v>620</v>
      </c>
      <c r="T55" s="65" t="s">
        <v>620</v>
      </c>
      <c r="U55" s="58"/>
      <c r="V55" s="60"/>
      <c r="W55" s="57">
        <v>0.25</v>
      </c>
    </row>
    <row r="56" spans="1:23" ht="16" thickBot="1">
      <c r="A56" t="s">
        <v>180</v>
      </c>
      <c r="K56" s="56" t="s">
        <v>621</v>
      </c>
      <c r="L56" s="57">
        <v>0</v>
      </c>
      <c r="M56" s="66" t="s">
        <v>622</v>
      </c>
      <c r="N56" s="67" t="s">
        <v>623</v>
      </c>
      <c r="O56" s="68" t="s">
        <v>623</v>
      </c>
      <c r="P56" s="69" t="s">
        <v>623</v>
      </c>
      <c r="Q56" s="70" t="s">
        <v>622</v>
      </c>
      <c r="R56" s="71" t="s">
        <v>622</v>
      </c>
      <c r="S56" s="72" t="s">
        <v>622</v>
      </c>
      <c r="T56" s="73" t="s">
        <v>622</v>
      </c>
      <c r="U56" s="66"/>
      <c r="V56" s="68"/>
      <c r="W56" s="57">
        <v>0</v>
      </c>
    </row>
    <row r="57" spans="1:23" ht="16" thickBot="1">
      <c r="L57" s="42" t="s">
        <v>105</v>
      </c>
      <c r="M57" s="74" t="s">
        <v>624</v>
      </c>
      <c r="N57" s="75" t="s">
        <v>625</v>
      </c>
      <c r="O57" s="75" t="s">
        <v>626</v>
      </c>
      <c r="P57" s="75" t="s">
        <v>627</v>
      </c>
      <c r="Q57" s="75" t="s">
        <v>628</v>
      </c>
      <c r="R57" s="75" t="s">
        <v>629</v>
      </c>
      <c r="S57" s="75" t="s">
        <v>630</v>
      </c>
      <c r="T57" s="75" t="s">
        <v>631</v>
      </c>
      <c r="U57" s="75"/>
      <c r="V57" s="76"/>
      <c r="W57" s="1"/>
    </row>
    <row r="58" spans="1:23">
      <c r="A58" t="s">
        <v>114</v>
      </c>
    </row>
    <row r="60" spans="1:23">
      <c r="A60" t="s">
        <v>4</v>
      </c>
    </row>
    <row r="61" spans="1:23">
      <c r="A61" t="s">
        <v>103</v>
      </c>
      <c r="B61" t="s">
        <v>185</v>
      </c>
      <c r="C61">
        <v>0</v>
      </c>
    </row>
    <row r="63" spans="1:23">
      <c r="A63" t="s">
        <v>105</v>
      </c>
    </row>
    <row r="64" spans="1:23">
      <c r="A64" t="s">
        <v>103</v>
      </c>
      <c r="B64" t="s">
        <v>185</v>
      </c>
      <c r="C64" s="1" t="s">
        <v>196</v>
      </c>
      <c r="E64" s="1" t="s">
        <v>197</v>
      </c>
      <c r="F64" s="1" t="s">
        <v>198</v>
      </c>
      <c r="G64" s="1" t="s">
        <v>199</v>
      </c>
      <c r="H64" s="1" t="s">
        <v>191</v>
      </c>
    </row>
    <row r="65" spans="1:9">
      <c r="A65" s="77" t="s">
        <v>200</v>
      </c>
      <c r="B65" s="27" t="s">
        <v>201</v>
      </c>
      <c r="C65" s="27" t="s">
        <v>202</v>
      </c>
      <c r="D65" s="27"/>
      <c r="E65" s="27">
        <v>1.0369999999999999</v>
      </c>
      <c r="F65" s="27">
        <f>E65*5.5</f>
        <v>5.7035</v>
      </c>
      <c r="G65" s="27">
        <f>AVERAGE(F65:F66)</f>
        <v>5.7694999999999999</v>
      </c>
      <c r="H65" s="9">
        <f>_xlfn.STDEV.P(F65:F66)</f>
        <v>6.5999999999999837E-2</v>
      </c>
    </row>
    <row r="66" spans="1:9">
      <c r="A66" s="55" t="s">
        <v>204</v>
      </c>
      <c r="B66" t="s">
        <v>205</v>
      </c>
      <c r="C66" t="s">
        <v>27</v>
      </c>
      <c r="E66">
        <v>1.0609999999999999</v>
      </c>
      <c r="F66">
        <f t="shared" ref="F66:F128" si="0">E66*5.5</f>
        <v>5.8354999999999997</v>
      </c>
      <c r="H66" s="18"/>
      <c r="I66" s="1"/>
    </row>
    <row r="67" spans="1:9">
      <c r="A67" s="55" t="s">
        <v>206</v>
      </c>
      <c r="B67" s="2" t="s">
        <v>207</v>
      </c>
      <c r="C67" s="2" t="s">
        <v>208</v>
      </c>
      <c r="D67" s="2"/>
      <c r="E67" s="2">
        <v>0.53800000000000003</v>
      </c>
      <c r="F67" s="2">
        <f t="shared" si="0"/>
        <v>2.9590000000000001</v>
      </c>
      <c r="H67" s="18"/>
      <c r="I67" s="2" t="s">
        <v>209</v>
      </c>
    </row>
    <row r="68" spans="1:9">
      <c r="A68" s="78" t="s">
        <v>210</v>
      </c>
      <c r="B68" s="20" t="s">
        <v>211</v>
      </c>
      <c r="C68" s="20" t="s">
        <v>169</v>
      </c>
      <c r="D68" s="20"/>
      <c r="E68" s="20">
        <v>0.38100000000000001</v>
      </c>
      <c r="F68" s="20">
        <f t="shared" si="0"/>
        <v>2.0954999999999999</v>
      </c>
      <c r="G68" s="21"/>
      <c r="H68" s="79"/>
      <c r="I68" s="1"/>
    </row>
    <row r="69" spans="1:9">
      <c r="A69" s="77" t="s">
        <v>212</v>
      </c>
      <c r="B69" s="27" t="s">
        <v>213</v>
      </c>
      <c r="C69" s="27" t="s">
        <v>214</v>
      </c>
      <c r="D69" s="27"/>
      <c r="E69" s="27">
        <v>0.83099999999999996</v>
      </c>
      <c r="F69" s="27">
        <f t="shared" si="0"/>
        <v>4.5705</v>
      </c>
      <c r="G69" s="27">
        <f>AVERAGE(F69:F72)</f>
        <v>4.588375000000001</v>
      </c>
      <c r="H69" s="9">
        <f>_xlfn.STDEV.P(F69:F72)</f>
        <v>0.10387394704640816</v>
      </c>
    </row>
    <row r="70" spans="1:9">
      <c r="A70" s="55" t="s">
        <v>216</v>
      </c>
      <c r="B70" t="s">
        <v>217</v>
      </c>
      <c r="C70" t="s">
        <v>218</v>
      </c>
      <c r="E70">
        <v>0.81</v>
      </c>
      <c r="F70">
        <f t="shared" si="0"/>
        <v>4.4550000000000001</v>
      </c>
      <c r="H70" s="18"/>
      <c r="I70" s="1"/>
    </row>
    <row r="71" spans="1:9">
      <c r="A71" s="55" t="s">
        <v>210</v>
      </c>
      <c r="B71" t="s">
        <v>219</v>
      </c>
      <c r="C71" t="s">
        <v>220</v>
      </c>
      <c r="E71">
        <v>0.86299999999999999</v>
      </c>
      <c r="F71">
        <f t="shared" si="0"/>
        <v>4.7465000000000002</v>
      </c>
      <c r="H71" s="18"/>
      <c r="I71" s="1"/>
    </row>
    <row r="72" spans="1:9">
      <c r="A72" s="80"/>
      <c r="B72" s="21" t="s">
        <v>221</v>
      </c>
      <c r="C72" s="21" t="s">
        <v>222</v>
      </c>
      <c r="D72" s="21"/>
      <c r="E72" s="21">
        <v>0.83299999999999996</v>
      </c>
      <c r="F72" s="21">
        <f t="shared" si="0"/>
        <v>4.5815000000000001</v>
      </c>
      <c r="G72" s="21"/>
      <c r="H72" s="79"/>
    </row>
    <row r="73" spans="1:9">
      <c r="A73" s="77" t="s">
        <v>492</v>
      </c>
      <c r="B73" s="27" t="s">
        <v>493</v>
      </c>
      <c r="C73" s="27" t="s">
        <v>146</v>
      </c>
      <c r="D73" s="27"/>
      <c r="E73" s="27">
        <v>0.71599999999999997</v>
      </c>
      <c r="F73" s="27">
        <f t="shared" si="0"/>
        <v>3.9379999999999997</v>
      </c>
      <c r="G73" s="27">
        <f>AVERAGE(F73:F76)</f>
        <v>3.4677500000000001</v>
      </c>
      <c r="H73" s="9">
        <f>_xlfn.STDEV.P(F73:F76)</f>
        <v>0.35282617887566387</v>
      </c>
    </row>
    <row r="74" spans="1:9">
      <c r="A74" s="55" t="s">
        <v>223</v>
      </c>
      <c r="B74" t="s">
        <v>224</v>
      </c>
      <c r="C74" t="s">
        <v>225</v>
      </c>
      <c r="E74">
        <v>0.59</v>
      </c>
      <c r="F74">
        <f t="shared" si="0"/>
        <v>3.2449999999999997</v>
      </c>
      <c r="H74" s="18"/>
      <c r="I74" s="1"/>
    </row>
    <row r="75" spans="1:9">
      <c r="A75" s="55" t="s">
        <v>210</v>
      </c>
      <c r="B75" t="s">
        <v>227</v>
      </c>
      <c r="C75" t="s">
        <v>228</v>
      </c>
      <c r="E75">
        <v>0.55100000000000005</v>
      </c>
      <c r="F75">
        <f t="shared" si="0"/>
        <v>3.0305000000000004</v>
      </c>
      <c r="H75" s="18"/>
      <c r="I75" s="1"/>
    </row>
    <row r="76" spans="1:9">
      <c r="A76" s="80"/>
      <c r="B76" s="21" t="s">
        <v>229</v>
      </c>
      <c r="C76" s="21" t="s">
        <v>230</v>
      </c>
      <c r="D76" s="21"/>
      <c r="E76" s="21">
        <v>0.66500000000000004</v>
      </c>
      <c r="F76" s="21">
        <f t="shared" si="0"/>
        <v>3.6575000000000002</v>
      </c>
      <c r="G76" s="21"/>
      <c r="H76" s="79"/>
    </row>
    <row r="77" spans="1:9">
      <c r="A77" s="77" t="s">
        <v>231</v>
      </c>
      <c r="B77" s="27" t="s">
        <v>232</v>
      </c>
      <c r="C77" s="27" t="s">
        <v>233</v>
      </c>
      <c r="D77" s="27"/>
      <c r="E77" s="27">
        <v>0.44</v>
      </c>
      <c r="F77" s="27">
        <f t="shared" si="0"/>
        <v>2.42</v>
      </c>
      <c r="G77" s="27">
        <f>AVERAGE(F77:F80)</f>
        <v>2.0515000000000003</v>
      </c>
      <c r="H77" s="9">
        <f>_xlfn.STDEV.P(F77:F80)</f>
        <v>0.23233838468922857</v>
      </c>
    </row>
    <row r="78" spans="1:9">
      <c r="A78" s="55" t="s">
        <v>264</v>
      </c>
      <c r="B78" t="s">
        <v>503</v>
      </c>
      <c r="C78" t="s">
        <v>632</v>
      </c>
      <c r="E78">
        <v>0.378</v>
      </c>
      <c r="F78">
        <f t="shared" si="0"/>
        <v>2.0790000000000002</v>
      </c>
      <c r="H78" s="18"/>
      <c r="I78" s="1"/>
    </row>
    <row r="79" spans="1:9">
      <c r="A79" s="55" t="s">
        <v>210</v>
      </c>
      <c r="B79" t="s">
        <v>234</v>
      </c>
      <c r="C79" t="s">
        <v>235</v>
      </c>
      <c r="E79">
        <v>0.34100000000000003</v>
      </c>
      <c r="F79">
        <f t="shared" si="0"/>
        <v>1.8755000000000002</v>
      </c>
      <c r="H79" s="18"/>
      <c r="I79" s="1"/>
    </row>
    <row r="80" spans="1:9">
      <c r="A80" s="80"/>
      <c r="B80" s="21" t="s">
        <v>236</v>
      </c>
      <c r="C80" s="21" t="s">
        <v>53</v>
      </c>
      <c r="D80" s="21"/>
      <c r="E80" s="21">
        <v>0.33300000000000002</v>
      </c>
      <c r="F80" s="21">
        <f t="shared" si="0"/>
        <v>1.8315000000000001</v>
      </c>
      <c r="G80" s="21"/>
      <c r="H80" s="79"/>
    </row>
    <row r="81" spans="1:10">
      <c r="A81" s="77" t="s">
        <v>237</v>
      </c>
      <c r="B81" s="27" t="s">
        <v>238</v>
      </c>
      <c r="C81" s="27" t="s">
        <v>239</v>
      </c>
      <c r="D81" s="27"/>
      <c r="E81" s="27">
        <v>0.92</v>
      </c>
      <c r="F81" s="27">
        <f t="shared" si="0"/>
        <v>5.0600000000000005</v>
      </c>
      <c r="G81" s="27">
        <f>AVERAGE(F81:F84)</f>
        <v>5.2222499999999998</v>
      </c>
      <c r="H81" s="9">
        <f>_xlfn.STDEV.P(F81:F84)</f>
        <v>0.10395581994289667</v>
      </c>
    </row>
    <row r="82" spans="1:10">
      <c r="A82" s="55" t="s">
        <v>240</v>
      </c>
      <c r="B82" t="s">
        <v>241</v>
      </c>
      <c r="C82" t="s">
        <v>242</v>
      </c>
      <c r="E82">
        <v>0.94699999999999995</v>
      </c>
      <c r="F82">
        <f t="shared" si="0"/>
        <v>5.2084999999999999</v>
      </c>
      <c r="H82" s="18"/>
      <c r="I82" s="1"/>
    </row>
    <row r="83" spans="1:10">
      <c r="A83" s="55" t="s">
        <v>206</v>
      </c>
      <c r="B83" t="s">
        <v>514</v>
      </c>
      <c r="C83" t="s">
        <v>633</v>
      </c>
      <c r="E83">
        <v>0.97</v>
      </c>
      <c r="F83">
        <f t="shared" si="0"/>
        <v>5.335</v>
      </c>
      <c r="H83" s="18"/>
      <c r="I83" s="1"/>
    </row>
    <row r="84" spans="1:10">
      <c r="A84" s="78" t="s">
        <v>210</v>
      </c>
      <c r="B84" s="21" t="s">
        <v>243</v>
      </c>
      <c r="C84" s="21" t="s">
        <v>244</v>
      </c>
      <c r="D84" s="21"/>
      <c r="E84" s="21">
        <v>0.96099999999999997</v>
      </c>
      <c r="F84" s="21">
        <f t="shared" si="0"/>
        <v>5.2854999999999999</v>
      </c>
      <c r="G84" s="21"/>
      <c r="H84" s="79"/>
      <c r="I84" s="1"/>
    </row>
    <row r="85" spans="1:10">
      <c r="A85" s="77" t="s">
        <v>245</v>
      </c>
      <c r="B85" s="27" t="s">
        <v>246</v>
      </c>
      <c r="C85" s="27" t="s">
        <v>247</v>
      </c>
      <c r="D85" s="27"/>
      <c r="E85" s="27">
        <v>0.84199999999999997</v>
      </c>
      <c r="F85" s="27">
        <f t="shared" si="0"/>
        <v>4.6310000000000002</v>
      </c>
      <c r="G85" s="27">
        <f>AVERAGE(F85:F88)</f>
        <v>4.9087499999999995</v>
      </c>
      <c r="H85" s="9">
        <f>_xlfn.STDEV.P(F85:F88)</f>
        <v>0.22077208270068926</v>
      </c>
    </row>
    <row r="86" spans="1:10">
      <c r="A86" s="55" t="s">
        <v>216</v>
      </c>
      <c r="B86" t="s">
        <v>248</v>
      </c>
      <c r="C86" t="s">
        <v>249</v>
      </c>
      <c r="E86">
        <v>0.871</v>
      </c>
      <c r="F86">
        <f t="shared" si="0"/>
        <v>4.7904999999999998</v>
      </c>
      <c r="H86" s="18"/>
      <c r="I86" s="1"/>
    </row>
    <row r="87" spans="1:10">
      <c r="A87" s="55" t="s">
        <v>210</v>
      </c>
      <c r="B87" t="s">
        <v>250</v>
      </c>
      <c r="C87" t="s">
        <v>242</v>
      </c>
      <c r="E87">
        <v>0.94899999999999995</v>
      </c>
      <c r="F87">
        <f t="shared" si="0"/>
        <v>5.2195</v>
      </c>
      <c r="H87" s="18"/>
      <c r="I87" s="1"/>
    </row>
    <row r="88" spans="1:10">
      <c r="A88" s="80"/>
      <c r="B88" s="21" t="s">
        <v>252</v>
      </c>
      <c r="C88" s="21" t="s">
        <v>55</v>
      </c>
      <c r="D88" s="21"/>
      <c r="E88" s="21">
        <v>0.90800000000000003</v>
      </c>
      <c r="F88" s="21">
        <f t="shared" si="0"/>
        <v>4.9939999999999998</v>
      </c>
      <c r="G88" s="21"/>
      <c r="H88" s="79"/>
    </row>
    <row r="89" spans="1:10">
      <c r="A89" s="77" t="s">
        <v>253</v>
      </c>
      <c r="B89" s="27" t="s">
        <v>254</v>
      </c>
      <c r="C89" s="27" t="s">
        <v>152</v>
      </c>
      <c r="D89" s="27"/>
      <c r="E89" s="27">
        <v>0.8</v>
      </c>
      <c r="F89" s="27">
        <f t="shared" si="0"/>
        <v>4.4000000000000004</v>
      </c>
      <c r="G89" s="27">
        <f>AVERAGE(F89:F92)</f>
        <v>4.4893749999999999</v>
      </c>
      <c r="H89" s="9">
        <f>_xlfn.STDEV.P(F89:F92)</f>
        <v>6.0546856854835851E-2</v>
      </c>
    </row>
    <row r="90" spans="1:10">
      <c r="A90" s="55" t="s">
        <v>223</v>
      </c>
      <c r="B90" t="s">
        <v>256</v>
      </c>
      <c r="C90" t="s">
        <v>257</v>
      </c>
      <c r="E90">
        <v>0.81599999999999995</v>
      </c>
      <c r="F90">
        <f t="shared" si="0"/>
        <v>4.4879999999999995</v>
      </c>
      <c r="H90" s="18"/>
      <c r="I90" s="1"/>
    </row>
    <row r="91" spans="1:10">
      <c r="A91" s="55" t="s">
        <v>210</v>
      </c>
      <c r="B91" t="s">
        <v>258</v>
      </c>
      <c r="C91" t="s">
        <v>259</v>
      </c>
      <c r="E91">
        <v>0.81799999999999995</v>
      </c>
      <c r="F91">
        <f t="shared" si="0"/>
        <v>4.4989999999999997</v>
      </c>
      <c r="H91" s="18"/>
      <c r="I91" s="1"/>
    </row>
    <row r="92" spans="1:10">
      <c r="A92" s="80"/>
      <c r="B92" s="21" t="s">
        <v>260</v>
      </c>
      <c r="C92" s="21" t="s">
        <v>214</v>
      </c>
      <c r="D92" s="21"/>
      <c r="E92" s="21">
        <v>0.83099999999999996</v>
      </c>
      <c r="F92" s="21">
        <f t="shared" si="0"/>
        <v>4.5705</v>
      </c>
      <c r="G92" s="21"/>
      <c r="H92" s="79"/>
    </row>
    <row r="93" spans="1:10">
      <c r="A93" s="77" t="s">
        <v>261</v>
      </c>
      <c r="B93" s="27" t="s">
        <v>262</v>
      </c>
      <c r="C93" s="27" t="s">
        <v>263</v>
      </c>
      <c r="D93" s="27"/>
      <c r="E93" s="27">
        <v>0.68400000000000005</v>
      </c>
      <c r="F93" s="27">
        <f t="shared" si="0"/>
        <v>3.7620000000000005</v>
      </c>
      <c r="G93" s="27">
        <f>AVERAGE(F93:F96)</f>
        <v>3.6740000000000004</v>
      </c>
      <c r="H93" s="9">
        <f>_xlfn.STDEV.P(F93:F96)</f>
        <v>0.10937949990743248</v>
      </c>
    </row>
    <row r="94" spans="1:10">
      <c r="A94" s="55" t="s">
        <v>264</v>
      </c>
      <c r="B94" s="42" t="s">
        <v>265</v>
      </c>
      <c r="C94" t="s">
        <v>266</v>
      </c>
      <c r="E94">
        <v>0.67500000000000004</v>
      </c>
      <c r="F94">
        <f t="shared" si="0"/>
        <v>3.7125000000000004</v>
      </c>
      <c r="H94" s="18"/>
      <c r="I94" s="1"/>
      <c r="J94" s="2"/>
    </row>
    <row r="95" spans="1:10">
      <c r="A95" s="55" t="s">
        <v>210</v>
      </c>
      <c r="B95" t="s">
        <v>267</v>
      </c>
      <c r="C95" t="s">
        <v>268</v>
      </c>
      <c r="E95">
        <v>0.67900000000000005</v>
      </c>
      <c r="F95">
        <f t="shared" si="0"/>
        <v>3.7345000000000002</v>
      </c>
      <c r="H95" s="18"/>
      <c r="I95" s="1"/>
    </row>
    <row r="96" spans="1:10">
      <c r="A96" s="80"/>
      <c r="B96" s="21" t="s">
        <v>269</v>
      </c>
      <c r="C96" s="21" t="s">
        <v>270</v>
      </c>
      <c r="D96" s="21"/>
      <c r="E96" s="21">
        <v>0.63400000000000001</v>
      </c>
      <c r="F96" s="21">
        <f t="shared" si="0"/>
        <v>3.4870000000000001</v>
      </c>
      <c r="G96" s="21"/>
      <c r="H96" s="79"/>
    </row>
    <row r="97" spans="1:9">
      <c r="A97" s="81" t="s">
        <v>271</v>
      </c>
      <c r="B97" s="27" t="s">
        <v>272</v>
      </c>
      <c r="C97" s="27" t="s">
        <v>273</v>
      </c>
      <c r="D97" s="27"/>
      <c r="E97" s="27">
        <v>1.7410000000000001</v>
      </c>
      <c r="F97" s="27">
        <f t="shared" si="0"/>
        <v>9.5754999999999999</v>
      </c>
      <c r="G97" s="27">
        <f>AVERAGE(F97:F100)</f>
        <v>9.5191249999999989</v>
      </c>
      <c r="H97" s="9">
        <f>_xlfn.STDEV.P(F97:F100)</f>
        <v>0.41726436089726154</v>
      </c>
    </row>
    <row r="98" spans="1:9">
      <c r="A98" s="82" t="s">
        <v>204</v>
      </c>
      <c r="B98" t="s">
        <v>274</v>
      </c>
      <c r="C98" t="s">
        <v>275</v>
      </c>
      <c r="E98">
        <v>1.8080000000000001</v>
      </c>
      <c r="F98">
        <f t="shared" si="0"/>
        <v>9.9440000000000008</v>
      </c>
      <c r="H98" s="18"/>
      <c r="I98" s="1"/>
    </row>
    <row r="99" spans="1:9">
      <c r="A99" s="82" t="s">
        <v>206</v>
      </c>
      <c r="B99" t="s">
        <v>276</v>
      </c>
      <c r="C99" t="s">
        <v>277</v>
      </c>
      <c r="E99">
        <v>1.6060000000000001</v>
      </c>
      <c r="F99">
        <f t="shared" si="0"/>
        <v>8.8330000000000002</v>
      </c>
      <c r="H99" s="18"/>
      <c r="I99" s="1"/>
    </row>
    <row r="100" spans="1:9">
      <c r="A100" s="83" t="s">
        <v>278</v>
      </c>
      <c r="B100" s="21" t="s">
        <v>279</v>
      </c>
      <c r="C100" s="21" t="s">
        <v>280</v>
      </c>
      <c r="D100" s="21"/>
      <c r="E100" s="21">
        <v>1.768</v>
      </c>
      <c r="F100" s="21">
        <f t="shared" si="0"/>
        <v>9.7240000000000002</v>
      </c>
      <c r="G100" s="21"/>
      <c r="H100" s="79"/>
      <c r="I100" s="1"/>
    </row>
    <row r="101" spans="1:9">
      <c r="A101" s="81" t="s">
        <v>281</v>
      </c>
      <c r="B101" s="27" t="s">
        <v>282</v>
      </c>
      <c r="C101" s="27" t="s">
        <v>283</v>
      </c>
      <c r="D101" s="27"/>
      <c r="E101" s="27">
        <v>1.6879999999999999</v>
      </c>
      <c r="F101" s="27">
        <f t="shared" si="0"/>
        <v>9.2839999999999989</v>
      </c>
      <c r="G101" s="27">
        <f>AVERAGE(F101:F104)</f>
        <v>8.6404999999999994</v>
      </c>
      <c r="H101" s="9">
        <f>_xlfn.STDEV.P(F101:F104)</f>
        <v>0.78125171999810639</v>
      </c>
    </row>
    <row r="102" spans="1:9">
      <c r="A102" s="82" t="s">
        <v>216</v>
      </c>
      <c r="B102" t="s">
        <v>284</v>
      </c>
      <c r="C102" t="s">
        <v>285</v>
      </c>
      <c r="E102">
        <v>1.63</v>
      </c>
      <c r="F102">
        <f t="shared" si="0"/>
        <v>8.9649999999999999</v>
      </c>
      <c r="H102" s="18"/>
      <c r="I102" s="1"/>
    </row>
    <row r="103" spans="1:9">
      <c r="A103" s="82" t="s">
        <v>278</v>
      </c>
      <c r="B103" t="s">
        <v>286</v>
      </c>
      <c r="C103" t="s">
        <v>287</v>
      </c>
      <c r="E103">
        <v>1.6379999999999999</v>
      </c>
      <c r="F103">
        <f t="shared" si="0"/>
        <v>9.0090000000000003</v>
      </c>
      <c r="H103" s="18"/>
      <c r="I103" s="1"/>
    </row>
    <row r="104" spans="1:9">
      <c r="A104" s="84"/>
      <c r="B104" s="21" t="s">
        <v>288</v>
      </c>
      <c r="C104" s="21" t="s">
        <v>289</v>
      </c>
      <c r="D104" s="21"/>
      <c r="E104" s="21">
        <v>1.3280000000000001</v>
      </c>
      <c r="F104" s="21">
        <f t="shared" si="0"/>
        <v>7.3040000000000003</v>
      </c>
      <c r="G104" s="21"/>
      <c r="H104" s="79"/>
    </row>
    <row r="105" spans="1:9">
      <c r="A105" s="85" t="s">
        <v>290</v>
      </c>
      <c r="B105" t="s">
        <v>291</v>
      </c>
      <c r="C105" t="s">
        <v>292</v>
      </c>
      <c r="E105">
        <v>1.363</v>
      </c>
      <c r="F105">
        <f t="shared" si="0"/>
        <v>7.4965000000000002</v>
      </c>
      <c r="G105">
        <f>AVERAGE(F105:F108)</f>
        <v>7.6394999999999991</v>
      </c>
      <c r="H105">
        <f>_xlfn.STDEV.P(F105:F108)</f>
        <v>0.48762703473043784</v>
      </c>
    </row>
    <row r="106" spans="1:9">
      <c r="A106" s="86" t="s">
        <v>223</v>
      </c>
      <c r="B106" t="s">
        <v>293</v>
      </c>
      <c r="C106" t="s">
        <v>294</v>
      </c>
      <c r="E106">
        <v>1.31</v>
      </c>
      <c r="F106">
        <f t="shared" si="0"/>
        <v>7.2050000000000001</v>
      </c>
      <c r="I106" s="1"/>
    </row>
    <row r="107" spans="1:9">
      <c r="A107" s="86" t="s">
        <v>278</v>
      </c>
      <c r="B107" t="s">
        <v>295</v>
      </c>
      <c r="C107" t="s">
        <v>86</v>
      </c>
      <c r="E107">
        <v>1.5389999999999999</v>
      </c>
      <c r="F107">
        <f t="shared" si="0"/>
        <v>8.4644999999999992</v>
      </c>
      <c r="I107" s="1"/>
    </row>
    <row r="108" spans="1:9">
      <c r="A108" s="85"/>
      <c r="B108" t="s">
        <v>296</v>
      </c>
      <c r="C108" t="s">
        <v>297</v>
      </c>
      <c r="E108">
        <v>1.3440000000000001</v>
      </c>
      <c r="F108">
        <f t="shared" si="0"/>
        <v>7.3920000000000003</v>
      </c>
    </row>
    <row r="109" spans="1:9">
      <c r="A109" s="81" t="s">
        <v>298</v>
      </c>
      <c r="B109" s="27" t="s">
        <v>299</v>
      </c>
      <c r="C109" s="27" t="s">
        <v>300</v>
      </c>
      <c r="D109" s="27"/>
      <c r="E109" s="27">
        <v>1.0549999999999999</v>
      </c>
      <c r="F109" s="27">
        <f t="shared" si="0"/>
        <v>5.8024999999999993</v>
      </c>
      <c r="G109" s="27">
        <f>AVERAGE(F109:F112)</f>
        <v>6.1792499999999997</v>
      </c>
      <c r="H109" s="9">
        <f>_xlfn.STDEV.P(F109:F112)</f>
        <v>0.63014616360015963</v>
      </c>
    </row>
    <row r="110" spans="1:9">
      <c r="A110" s="82" t="s">
        <v>264</v>
      </c>
      <c r="B110" t="s">
        <v>301</v>
      </c>
      <c r="C110" t="s">
        <v>302</v>
      </c>
      <c r="E110">
        <v>0.997</v>
      </c>
      <c r="F110">
        <f t="shared" si="0"/>
        <v>5.4835000000000003</v>
      </c>
      <c r="H110" s="18"/>
      <c r="I110" s="1"/>
    </row>
    <row r="111" spans="1:9">
      <c r="A111" s="82" t="s">
        <v>278</v>
      </c>
      <c r="B111" t="s">
        <v>303</v>
      </c>
      <c r="C111" t="s">
        <v>304</v>
      </c>
      <c r="E111">
        <v>1.3009999999999999</v>
      </c>
      <c r="F111">
        <f t="shared" si="0"/>
        <v>7.1555</v>
      </c>
      <c r="H111" s="18"/>
      <c r="I111" s="1"/>
    </row>
    <row r="112" spans="1:9">
      <c r="A112" s="84"/>
      <c r="B112" s="21" t="s">
        <v>305</v>
      </c>
      <c r="C112" s="21" t="s">
        <v>306</v>
      </c>
      <c r="D112" s="21"/>
      <c r="E112" s="21">
        <v>1.141</v>
      </c>
      <c r="F112" s="21">
        <f t="shared" si="0"/>
        <v>6.2755000000000001</v>
      </c>
      <c r="G112" s="21"/>
      <c r="H112" s="79"/>
    </row>
    <row r="113" spans="1:9">
      <c r="A113" s="81" t="s">
        <v>307</v>
      </c>
      <c r="B113" s="27" t="s">
        <v>308</v>
      </c>
      <c r="C113" s="27" t="s">
        <v>309</v>
      </c>
      <c r="D113" s="27" t="s">
        <v>310</v>
      </c>
      <c r="E113" s="27">
        <v>2.355</v>
      </c>
      <c r="F113" s="27">
        <f t="shared" si="0"/>
        <v>12.952500000000001</v>
      </c>
      <c r="G113" s="27">
        <f>AVERAGE(F113:F116)</f>
        <v>10.85975</v>
      </c>
      <c r="H113" s="9">
        <f>_xlfn.STDEV.P(F113:F116)</f>
        <v>1.2175545418994611</v>
      </c>
    </row>
    <row r="114" spans="1:9">
      <c r="A114" s="82" t="s">
        <v>240</v>
      </c>
      <c r="B114" t="s">
        <v>311</v>
      </c>
      <c r="C114" t="s">
        <v>312</v>
      </c>
      <c r="E114">
        <v>1.8109999999999999</v>
      </c>
      <c r="F114">
        <f t="shared" si="0"/>
        <v>9.9604999999999997</v>
      </c>
      <c r="H114" s="18"/>
      <c r="I114" s="1"/>
    </row>
    <row r="115" spans="1:9">
      <c r="A115" s="82" t="s">
        <v>206</v>
      </c>
      <c r="B115" t="s">
        <v>313</v>
      </c>
      <c r="C115" t="s">
        <v>314</v>
      </c>
      <c r="E115">
        <v>1.8440000000000001</v>
      </c>
      <c r="F115">
        <f t="shared" si="0"/>
        <v>10.142000000000001</v>
      </c>
      <c r="H115" s="18"/>
      <c r="I115" s="1"/>
    </row>
    <row r="116" spans="1:9">
      <c r="A116" s="83" t="s">
        <v>278</v>
      </c>
      <c r="B116" s="21" t="s">
        <v>315</v>
      </c>
      <c r="C116" s="21" t="s">
        <v>316</v>
      </c>
      <c r="D116" s="21"/>
      <c r="E116" s="21">
        <v>1.8879999999999999</v>
      </c>
      <c r="F116" s="21">
        <f t="shared" si="0"/>
        <v>10.384</v>
      </c>
      <c r="G116" s="21"/>
      <c r="H116" s="79"/>
      <c r="I116" s="1"/>
    </row>
    <row r="117" spans="1:9">
      <c r="A117" s="81" t="s">
        <v>317</v>
      </c>
      <c r="B117" s="27" t="s">
        <v>318</v>
      </c>
      <c r="C117" s="27" t="s">
        <v>319</v>
      </c>
      <c r="D117" s="27"/>
      <c r="E117" s="27">
        <v>1.7450000000000001</v>
      </c>
      <c r="F117" s="27">
        <f t="shared" si="0"/>
        <v>9.5975000000000001</v>
      </c>
      <c r="G117" s="27">
        <f>AVERAGE(F117:F120)</f>
        <v>9.593375</v>
      </c>
      <c r="H117" s="9">
        <f>_xlfn.STDEV.P(F117:F120)</f>
        <v>0.12520052665624071</v>
      </c>
    </row>
    <row r="118" spans="1:9">
      <c r="A118" s="82" t="s">
        <v>216</v>
      </c>
      <c r="B118" t="s">
        <v>320</v>
      </c>
      <c r="C118" t="s">
        <v>321</v>
      </c>
      <c r="E118">
        <v>1.748</v>
      </c>
      <c r="F118">
        <f t="shared" si="0"/>
        <v>9.6140000000000008</v>
      </c>
      <c r="H118" s="18"/>
      <c r="I118" s="1"/>
    </row>
    <row r="119" spans="1:9">
      <c r="A119" s="82" t="s">
        <v>278</v>
      </c>
      <c r="B119" t="s">
        <v>322</v>
      </c>
      <c r="C119" t="s">
        <v>323</v>
      </c>
      <c r="E119">
        <v>1.71</v>
      </c>
      <c r="F119">
        <f t="shared" si="0"/>
        <v>9.4049999999999994</v>
      </c>
      <c r="H119" s="18"/>
      <c r="I119" s="1"/>
    </row>
    <row r="120" spans="1:9">
      <c r="A120" s="84"/>
      <c r="B120" s="21" t="s">
        <v>324</v>
      </c>
      <c r="C120" s="21" t="s">
        <v>144</v>
      </c>
      <c r="D120" s="21"/>
      <c r="E120" s="21">
        <v>1.774</v>
      </c>
      <c r="F120" s="21">
        <f t="shared" si="0"/>
        <v>9.7569999999999997</v>
      </c>
      <c r="G120" s="21"/>
      <c r="H120" s="79"/>
    </row>
    <row r="121" spans="1:9">
      <c r="A121" s="81" t="s">
        <v>325</v>
      </c>
      <c r="B121" s="27" t="s">
        <v>326</v>
      </c>
      <c r="C121" s="27" t="s">
        <v>327</v>
      </c>
      <c r="D121" s="27"/>
      <c r="E121" s="27">
        <v>1.627</v>
      </c>
      <c r="F121" s="27">
        <f t="shared" si="0"/>
        <v>8.9484999999999992</v>
      </c>
      <c r="G121" s="27">
        <f>AVERAGE(F121:F124)</f>
        <v>9.1506249999999998</v>
      </c>
      <c r="H121" s="9">
        <f>_xlfn.STDEV.P(F121:F124)</f>
        <v>0.18093140101983415</v>
      </c>
    </row>
    <row r="122" spans="1:9">
      <c r="A122" s="82" t="s">
        <v>223</v>
      </c>
      <c r="B122" t="s">
        <v>328</v>
      </c>
      <c r="C122" t="s">
        <v>329</v>
      </c>
      <c r="E122">
        <v>1.704</v>
      </c>
      <c r="F122">
        <f t="shared" si="0"/>
        <v>9.3719999999999999</v>
      </c>
      <c r="H122" s="18"/>
      <c r="I122" s="1"/>
    </row>
    <row r="123" spans="1:9">
      <c r="A123" s="82" t="s">
        <v>278</v>
      </c>
      <c r="B123" t="s">
        <v>330</v>
      </c>
      <c r="C123" t="s">
        <v>331</v>
      </c>
      <c r="E123">
        <v>1.6359999999999999</v>
      </c>
      <c r="F123">
        <f t="shared" si="0"/>
        <v>8.9979999999999993</v>
      </c>
      <c r="H123" s="18"/>
      <c r="I123" s="1"/>
    </row>
    <row r="124" spans="1:9">
      <c r="A124" s="84"/>
      <c r="B124" s="21" t="s">
        <v>332</v>
      </c>
      <c r="C124" s="21" t="s">
        <v>283</v>
      </c>
      <c r="D124" s="21"/>
      <c r="E124" s="21">
        <v>1.6879999999999999</v>
      </c>
      <c r="F124" s="21">
        <f t="shared" si="0"/>
        <v>9.2839999999999989</v>
      </c>
      <c r="G124" s="21"/>
      <c r="H124" s="79"/>
    </row>
    <row r="125" spans="1:9">
      <c r="A125" s="85" t="s">
        <v>333</v>
      </c>
      <c r="B125" t="s">
        <v>334</v>
      </c>
      <c r="C125" t="s">
        <v>335</v>
      </c>
      <c r="E125">
        <v>1.4990000000000001</v>
      </c>
      <c r="F125">
        <f t="shared" si="0"/>
        <v>8.2445000000000004</v>
      </c>
      <c r="G125">
        <f>AVERAGE(F125:F128)</f>
        <v>8.5786250000000006</v>
      </c>
      <c r="H125">
        <f>_xlfn.STDEV.P(F125:F128)</f>
        <v>0.22162253241717059</v>
      </c>
    </row>
    <row r="126" spans="1:9">
      <c r="A126" s="86" t="s">
        <v>264</v>
      </c>
      <c r="B126" t="s">
        <v>336</v>
      </c>
      <c r="C126" t="s">
        <v>337</v>
      </c>
      <c r="E126">
        <v>1.609</v>
      </c>
      <c r="F126">
        <f t="shared" si="0"/>
        <v>8.849499999999999</v>
      </c>
      <c r="I126" s="1"/>
    </row>
    <row r="127" spans="1:9">
      <c r="A127" s="86" t="s">
        <v>278</v>
      </c>
      <c r="B127" t="s">
        <v>338</v>
      </c>
      <c r="C127" t="s">
        <v>339</v>
      </c>
      <c r="E127">
        <v>1.5529999999999999</v>
      </c>
      <c r="F127">
        <f t="shared" si="0"/>
        <v>8.5414999999999992</v>
      </c>
      <c r="I127" s="1"/>
    </row>
    <row r="128" spans="1:9">
      <c r="A128" s="85"/>
      <c r="B128" t="s">
        <v>340</v>
      </c>
      <c r="C128" t="s">
        <v>341</v>
      </c>
      <c r="E128">
        <v>1.5780000000000001</v>
      </c>
      <c r="F128">
        <f t="shared" si="0"/>
        <v>8.6790000000000003</v>
      </c>
    </row>
    <row r="130" spans="1:3">
      <c r="A130" t="s">
        <v>105</v>
      </c>
    </row>
    <row r="132" spans="1:3">
      <c r="A132" t="s">
        <v>342</v>
      </c>
    </row>
    <row r="134" spans="1:3">
      <c r="A134" t="s">
        <v>4</v>
      </c>
    </row>
    <row r="135" spans="1:3">
      <c r="A135" t="s">
        <v>103</v>
      </c>
      <c r="B135" t="s">
        <v>343</v>
      </c>
      <c r="C135">
        <v>0</v>
      </c>
    </row>
    <row r="137" spans="1:3">
      <c r="A137" t="s">
        <v>4</v>
      </c>
    </row>
    <row r="138" spans="1:3">
      <c r="A138" t="s">
        <v>344</v>
      </c>
    </row>
    <row r="139" spans="1:3">
      <c r="A139" t="s">
        <v>345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AA5B7-AE1B-504F-BA20-26F74F93FDB7}">
  <dimension ref="A1:Z141"/>
  <sheetViews>
    <sheetView topLeftCell="A57" zoomScale="81" workbookViewId="0">
      <selection activeCell="X69" sqref="X69"/>
    </sheetView>
  </sheetViews>
  <sheetFormatPr baseColWidth="10" defaultColWidth="8.83203125" defaultRowHeight="15"/>
  <cols>
    <col min="2" max="2" width="11.1640625" customWidth="1"/>
    <col min="12" max="12" width="15.5" customWidth="1"/>
  </cols>
  <sheetData>
    <row r="1" spans="1:22">
      <c r="A1" t="s">
        <v>0</v>
      </c>
    </row>
    <row r="2" spans="1:22">
      <c r="A2" t="s">
        <v>1</v>
      </c>
    </row>
    <row r="4" spans="1:22">
      <c r="A4" t="s">
        <v>2</v>
      </c>
    </row>
    <row r="6" spans="1:22">
      <c r="A6" t="s">
        <v>3</v>
      </c>
    </row>
    <row r="7" spans="1:22">
      <c r="A7" t="s">
        <v>4</v>
      </c>
    </row>
    <row r="8" spans="1:22">
      <c r="A8" t="s">
        <v>5</v>
      </c>
      <c r="B8" t="s">
        <v>6</v>
      </c>
      <c r="C8">
        <v>0.3</v>
      </c>
      <c r="D8" t="s">
        <v>8</v>
      </c>
      <c r="E8" t="s">
        <v>9</v>
      </c>
      <c r="F8" t="s">
        <v>10</v>
      </c>
      <c r="G8" t="s">
        <v>11</v>
      </c>
      <c r="H8" t="b">
        <v>0</v>
      </c>
      <c r="I8">
        <v>1</v>
      </c>
      <c r="O8">
        <v>1</v>
      </c>
      <c r="P8">
        <v>520</v>
      </c>
      <c r="Q8">
        <v>1</v>
      </c>
      <c r="R8">
        <v>12</v>
      </c>
      <c r="S8">
        <v>96</v>
      </c>
      <c r="T8">
        <v>1</v>
      </c>
      <c r="U8">
        <v>8</v>
      </c>
      <c r="V8" t="s">
        <v>12</v>
      </c>
    </row>
    <row r="9" spans="1:22">
      <c r="A9">
        <v>24.3</v>
      </c>
      <c r="B9">
        <v>0.82494999999999996</v>
      </c>
      <c r="C9">
        <v>0.66915000000000002</v>
      </c>
      <c r="D9">
        <v>0.66605000000000003</v>
      </c>
      <c r="E9">
        <v>0.72414999999999996</v>
      </c>
      <c r="F9">
        <v>0.65754999999999997</v>
      </c>
      <c r="G9">
        <v>0.67584999999999995</v>
      </c>
      <c r="H9">
        <v>0.65564999999999996</v>
      </c>
      <c r="I9">
        <v>0.58184999999999998</v>
      </c>
      <c r="J9">
        <v>0.54164999999999996</v>
      </c>
      <c r="K9">
        <v>0.61595</v>
      </c>
      <c r="L9">
        <v>-1.75E-3</v>
      </c>
      <c r="M9">
        <v>0.72075</v>
      </c>
    </row>
    <row r="10" spans="1:22">
      <c r="B10">
        <v>0.65154999999999996</v>
      </c>
      <c r="C10">
        <v>0.39215</v>
      </c>
      <c r="D10">
        <v>0.75734999999999997</v>
      </c>
      <c r="E10">
        <v>0.74795</v>
      </c>
      <c r="F10">
        <v>0.40755000000000002</v>
      </c>
      <c r="G10">
        <v>0.71165</v>
      </c>
      <c r="H10">
        <v>0.87895000000000001</v>
      </c>
      <c r="I10">
        <v>0.36304999999999998</v>
      </c>
      <c r="J10">
        <v>0.59404999999999997</v>
      </c>
      <c r="K10">
        <v>0.62055000000000005</v>
      </c>
      <c r="L10">
        <v>1.9499999999999999E-3</v>
      </c>
      <c r="M10">
        <v>0.61895</v>
      </c>
    </row>
    <row r="11" spans="1:22">
      <c r="B11">
        <v>0.43735000000000002</v>
      </c>
      <c r="C11">
        <v>0.38874999999999998</v>
      </c>
      <c r="D11">
        <v>0.40125</v>
      </c>
      <c r="E11">
        <v>0.74124999999999996</v>
      </c>
      <c r="F11">
        <v>0.37354999999999999</v>
      </c>
      <c r="G11">
        <v>0.41625000000000001</v>
      </c>
      <c r="H11">
        <v>0.83875</v>
      </c>
      <c r="I11">
        <v>0.32464999999999999</v>
      </c>
      <c r="J11">
        <v>0.34594999999999998</v>
      </c>
      <c r="K11">
        <v>0.58635000000000004</v>
      </c>
      <c r="L11">
        <v>-2.2499999999999998E-3</v>
      </c>
      <c r="M11">
        <v>0.42935000000000001</v>
      </c>
    </row>
    <row r="12" spans="1:22">
      <c r="B12">
        <v>0.32715</v>
      </c>
      <c r="C12">
        <v>0.78005000000000002</v>
      </c>
      <c r="D12">
        <v>0.76644999999999996</v>
      </c>
      <c r="E12">
        <v>0.73365000000000002</v>
      </c>
      <c r="F12">
        <v>0.74275000000000002</v>
      </c>
      <c r="G12">
        <v>0.82384999999999997</v>
      </c>
      <c r="H12">
        <v>0.64185000000000003</v>
      </c>
      <c r="I12">
        <v>0.59435000000000004</v>
      </c>
      <c r="J12">
        <v>0.65305000000000002</v>
      </c>
      <c r="K12">
        <v>0.61775000000000002</v>
      </c>
      <c r="L12">
        <v>5.0000000000000002E-5</v>
      </c>
      <c r="M12">
        <v>0.31405</v>
      </c>
    </row>
    <row r="13" spans="1:22">
      <c r="B13">
        <v>0.21915000000000001</v>
      </c>
      <c r="C13">
        <v>0.76315</v>
      </c>
      <c r="D13">
        <v>0.37635000000000002</v>
      </c>
      <c r="E13">
        <v>0.91964999999999997</v>
      </c>
      <c r="F13">
        <v>0.72484999999999999</v>
      </c>
      <c r="G13">
        <v>0.48285</v>
      </c>
      <c r="H13">
        <v>0.67095000000000005</v>
      </c>
      <c r="I13">
        <v>0.62414999999999998</v>
      </c>
      <c r="J13">
        <v>0.33844999999999997</v>
      </c>
      <c r="K13">
        <v>0.58784999999999998</v>
      </c>
      <c r="L13">
        <v>1.865E-2</v>
      </c>
      <c r="M13">
        <v>0.23644999999999999</v>
      </c>
    </row>
    <row r="14" spans="1:22">
      <c r="B14">
        <v>0.16585</v>
      </c>
      <c r="C14">
        <v>0.75675000000000003</v>
      </c>
      <c r="D14">
        <v>0.74795</v>
      </c>
      <c r="E14">
        <v>0.78154999999999997</v>
      </c>
      <c r="F14">
        <v>0.82184999999999997</v>
      </c>
      <c r="G14">
        <v>0.91925000000000001</v>
      </c>
      <c r="H14">
        <v>0.72375</v>
      </c>
      <c r="I14">
        <v>0.53585000000000005</v>
      </c>
      <c r="J14">
        <v>0.66564999999999996</v>
      </c>
      <c r="K14">
        <v>0.56435000000000002</v>
      </c>
      <c r="L14">
        <v>-1.0499999999999999E-3</v>
      </c>
      <c r="M14">
        <v>0.17135</v>
      </c>
    </row>
    <row r="15" spans="1:22">
      <c r="B15">
        <v>0.11415</v>
      </c>
      <c r="C15">
        <v>0.72245000000000004</v>
      </c>
      <c r="D15">
        <v>0.69635000000000002</v>
      </c>
      <c r="E15">
        <v>0.44805</v>
      </c>
      <c r="F15">
        <v>0.66625000000000001</v>
      </c>
      <c r="G15">
        <v>0.95484999999999998</v>
      </c>
      <c r="H15">
        <v>0.42654999999999998</v>
      </c>
      <c r="I15">
        <v>0.54274999999999995</v>
      </c>
      <c r="J15">
        <v>0.61104999999999998</v>
      </c>
      <c r="K15">
        <v>0.80754999999999999</v>
      </c>
      <c r="L15">
        <v>1.4499999999999999E-3</v>
      </c>
      <c r="M15">
        <v>0.11244999999999999</v>
      </c>
    </row>
    <row r="16" spans="1:22">
      <c r="B16">
        <v>-8.4999999999999995E-4</v>
      </c>
      <c r="C16">
        <v>0.73165000000000002</v>
      </c>
      <c r="D16">
        <v>0.59284999999999999</v>
      </c>
      <c r="E16">
        <v>0.42494999999999999</v>
      </c>
      <c r="F16">
        <v>0.65085000000000004</v>
      </c>
      <c r="G16">
        <v>0.74024999999999996</v>
      </c>
      <c r="H16">
        <v>0.43725000000000003</v>
      </c>
      <c r="I16">
        <v>0.61575000000000002</v>
      </c>
      <c r="J16">
        <v>0.60304999999999997</v>
      </c>
      <c r="K16">
        <v>0.80954999999999999</v>
      </c>
      <c r="L16">
        <v>6.4999999999999997E-4</v>
      </c>
      <c r="M16">
        <v>8.4999999999999995E-4</v>
      </c>
    </row>
    <row r="18" spans="1:5">
      <c r="A18" t="s">
        <v>4</v>
      </c>
    </row>
    <row r="19" spans="1:5">
      <c r="A19" t="s">
        <v>103</v>
      </c>
      <c r="B19" t="s">
        <v>104</v>
      </c>
      <c r="C19">
        <v>0</v>
      </c>
      <c r="E19" t="s">
        <v>634</v>
      </c>
    </row>
    <row r="21" spans="1:5">
      <c r="A21" t="s">
        <v>105</v>
      </c>
    </row>
    <row r="23" spans="1:5">
      <c r="A23" t="s">
        <v>105</v>
      </c>
    </row>
    <row r="25" spans="1:5">
      <c r="A25" t="s">
        <v>4</v>
      </c>
    </row>
    <row r="26" spans="1:5">
      <c r="A26" t="s">
        <v>103</v>
      </c>
      <c r="B26" t="s">
        <v>106</v>
      </c>
      <c r="C26">
        <v>0</v>
      </c>
    </row>
    <row r="28" spans="1:5">
      <c r="A28" t="s">
        <v>105</v>
      </c>
    </row>
    <row r="30" spans="1:5">
      <c r="A30" t="s">
        <v>105</v>
      </c>
    </row>
    <row r="32" spans="1:5">
      <c r="A32" t="s">
        <v>4</v>
      </c>
    </row>
    <row r="33" spans="1:8">
      <c r="A33" t="s">
        <v>103</v>
      </c>
      <c r="B33" t="s">
        <v>107</v>
      </c>
      <c r="C33">
        <v>0</v>
      </c>
    </row>
    <row r="35" spans="1:8">
      <c r="A35" t="s">
        <v>105</v>
      </c>
    </row>
    <row r="37" spans="1:8">
      <c r="A37" t="s">
        <v>105</v>
      </c>
    </row>
    <row r="39" spans="1:8">
      <c r="A39" t="s">
        <v>4</v>
      </c>
    </row>
    <row r="40" spans="1:8">
      <c r="A40" t="s">
        <v>103</v>
      </c>
      <c r="B40" t="s">
        <v>108</v>
      </c>
      <c r="C40">
        <v>0</v>
      </c>
    </row>
    <row r="41" spans="1:8">
      <c r="A41" t="s">
        <v>109</v>
      </c>
      <c r="B41">
        <v>2</v>
      </c>
      <c r="C41">
        <v>2.0649999999999999</v>
      </c>
      <c r="D41" t="s">
        <v>112</v>
      </c>
      <c r="E41">
        <v>0.82499999999999996</v>
      </c>
      <c r="F41">
        <v>0.77300000000000002</v>
      </c>
      <c r="G41">
        <v>7.3999999999999996E-2</v>
      </c>
      <c r="H41">
        <v>9.5</v>
      </c>
    </row>
    <row r="42" spans="1:8">
      <c r="C42">
        <v>1.794</v>
      </c>
      <c r="D42" t="s">
        <v>118</v>
      </c>
      <c r="E42">
        <v>0.72099999999999997</v>
      </c>
    </row>
    <row r="43" spans="1:8">
      <c r="A43" t="s">
        <v>120</v>
      </c>
      <c r="B43">
        <v>1.5</v>
      </c>
      <c r="C43">
        <v>1.613</v>
      </c>
      <c r="D43" t="s">
        <v>123</v>
      </c>
      <c r="E43">
        <v>0.65200000000000002</v>
      </c>
      <c r="F43">
        <v>0.63500000000000001</v>
      </c>
      <c r="G43">
        <v>2.3E-2</v>
      </c>
      <c r="H43">
        <v>3.6</v>
      </c>
    </row>
    <row r="44" spans="1:8">
      <c r="C44">
        <v>1.5289999999999999</v>
      </c>
      <c r="D44" t="s">
        <v>129</v>
      </c>
      <c r="E44">
        <v>0.61899999999999999</v>
      </c>
    </row>
    <row r="45" spans="1:8">
      <c r="A45" t="s">
        <v>131</v>
      </c>
      <c r="B45">
        <v>1</v>
      </c>
      <c r="C45">
        <v>1.056</v>
      </c>
      <c r="D45" t="s">
        <v>134</v>
      </c>
      <c r="E45">
        <v>0.437</v>
      </c>
      <c r="F45">
        <v>0.433</v>
      </c>
      <c r="G45">
        <v>6.0000000000000001E-3</v>
      </c>
      <c r="H45">
        <v>1.3</v>
      </c>
    </row>
    <row r="46" spans="1:8">
      <c r="C46">
        <v>1.0349999999999999</v>
      </c>
      <c r="D46" t="s">
        <v>140</v>
      </c>
      <c r="E46">
        <v>0.42899999999999999</v>
      </c>
    </row>
    <row r="47" spans="1:8">
      <c r="A47" t="s">
        <v>142</v>
      </c>
      <c r="B47">
        <v>0.75</v>
      </c>
      <c r="C47">
        <v>0.76900000000000002</v>
      </c>
      <c r="D47" t="s">
        <v>145</v>
      </c>
      <c r="E47">
        <v>0.32700000000000001</v>
      </c>
      <c r="F47">
        <v>0.32100000000000001</v>
      </c>
      <c r="G47">
        <v>8.9999999999999993E-3</v>
      </c>
      <c r="H47">
        <v>2.9</v>
      </c>
    </row>
    <row r="48" spans="1:8">
      <c r="C48">
        <v>0.73499999999999999</v>
      </c>
      <c r="D48" t="s">
        <v>151</v>
      </c>
      <c r="E48">
        <v>0.314</v>
      </c>
    </row>
    <row r="49" spans="1:26">
      <c r="A49" t="s">
        <v>153</v>
      </c>
      <c r="B49">
        <v>0.5</v>
      </c>
      <c r="C49">
        <v>0.48699999999999999</v>
      </c>
      <c r="D49" t="s">
        <v>156</v>
      </c>
      <c r="E49">
        <v>0.219</v>
      </c>
      <c r="F49">
        <v>0.22800000000000001</v>
      </c>
      <c r="G49">
        <v>1.2E-2</v>
      </c>
      <c r="H49">
        <v>5.4</v>
      </c>
    </row>
    <row r="50" spans="1:26">
      <c r="C50">
        <v>0.53300000000000003</v>
      </c>
      <c r="D50" t="s">
        <v>162</v>
      </c>
      <c r="E50">
        <v>0.23599999999999999</v>
      </c>
    </row>
    <row r="51" spans="1:26">
      <c r="A51" t="s">
        <v>164</v>
      </c>
      <c r="B51">
        <v>0.375</v>
      </c>
      <c r="C51">
        <v>0.34899999999999998</v>
      </c>
      <c r="D51" t="s">
        <v>167</v>
      </c>
      <c r="E51">
        <v>0.16600000000000001</v>
      </c>
      <c r="F51">
        <v>0.16900000000000001</v>
      </c>
      <c r="G51">
        <v>4.0000000000000001E-3</v>
      </c>
      <c r="H51">
        <v>2.2999999999999998</v>
      </c>
    </row>
    <row r="52" spans="1:26">
      <c r="C52">
        <v>0.36299999999999999</v>
      </c>
      <c r="D52" t="s">
        <v>173</v>
      </c>
      <c r="E52">
        <v>0.17100000000000001</v>
      </c>
      <c r="J52" s="1" t="s">
        <v>635</v>
      </c>
      <c r="K52" t="s">
        <v>636</v>
      </c>
      <c r="M52" s="1" t="s">
        <v>606</v>
      </c>
      <c r="P52" s="87" t="s">
        <v>105</v>
      </c>
    </row>
    <row r="53" spans="1:26" ht="16" thickBot="1">
      <c r="A53" t="s">
        <v>175</v>
      </c>
      <c r="B53">
        <v>0.25</v>
      </c>
      <c r="C53">
        <v>0.214</v>
      </c>
      <c r="D53" t="s">
        <v>178</v>
      </c>
      <c r="E53">
        <v>0.114</v>
      </c>
      <c r="F53">
        <v>0.113</v>
      </c>
      <c r="G53">
        <v>1E-3</v>
      </c>
      <c r="H53">
        <v>1.1000000000000001</v>
      </c>
      <c r="J53" s="1"/>
      <c r="M53" s="88"/>
      <c r="P53" s="1" t="s">
        <v>105</v>
      </c>
      <c r="Y53" s="89" t="s">
        <v>637</v>
      </c>
      <c r="Z53" s="89" t="s">
        <v>638</v>
      </c>
    </row>
    <row r="54" spans="1:26">
      <c r="C54">
        <v>0.21</v>
      </c>
      <c r="D54" t="s">
        <v>184</v>
      </c>
      <c r="E54">
        <v>0.112</v>
      </c>
      <c r="K54" s="56">
        <v>1</v>
      </c>
      <c r="L54" s="56">
        <v>2</v>
      </c>
      <c r="M54" s="56">
        <v>3</v>
      </c>
      <c r="N54" s="56">
        <v>4</v>
      </c>
      <c r="O54" s="56">
        <v>5</v>
      </c>
      <c r="P54" s="56">
        <v>6</v>
      </c>
      <c r="Q54" s="56">
        <v>7</v>
      </c>
      <c r="R54" s="56">
        <v>8</v>
      </c>
      <c r="S54" s="56">
        <v>9</v>
      </c>
      <c r="T54" s="56">
        <v>10</v>
      </c>
      <c r="U54" s="56">
        <v>11</v>
      </c>
      <c r="V54" s="56">
        <v>12</v>
      </c>
      <c r="Y54" s="90" t="s">
        <v>608</v>
      </c>
      <c r="Z54" s="91" t="s">
        <v>639</v>
      </c>
    </row>
    <row r="55" spans="1:26">
      <c r="A55" t="s">
        <v>469</v>
      </c>
      <c r="J55" s="56" t="s">
        <v>607</v>
      </c>
      <c r="K55" s="57">
        <v>2</v>
      </c>
      <c r="L55" s="92" t="s">
        <v>608</v>
      </c>
      <c r="M55" s="92" t="s">
        <v>640</v>
      </c>
      <c r="N55" s="92" t="s">
        <v>620</v>
      </c>
      <c r="O55" s="93" t="s">
        <v>608</v>
      </c>
      <c r="P55" s="93" t="s">
        <v>640</v>
      </c>
      <c r="Q55" s="93" t="s">
        <v>620</v>
      </c>
      <c r="R55" s="94" t="s">
        <v>608</v>
      </c>
      <c r="S55" s="94" t="s">
        <v>640</v>
      </c>
      <c r="T55" s="94" t="s">
        <v>620</v>
      </c>
      <c r="U55" s="95"/>
      <c r="V55" s="57">
        <v>2</v>
      </c>
      <c r="Y55" s="96" t="s">
        <v>610</v>
      </c>
      <c r="Z55" s="97" t="s">
        <v>641</v>
      </c>
    </row>
    <row r="56" spans="1:26">
      <c r="A56">
        <v>0.113</v>
      </c>
      <c r="J56" s="56" t="s">
        <v>609</v>
      </c>
      <c r="K56" s="57">
        <v>1.5</v>
      </c>
      <c r="L56" s="92" t="s">
        <v>610</v>
      </c>
      <c r="M56" s="92" t="s">
        <v>642</v>
      </c>
      <c r="N56" s="92" t="s">
        <v>622</v>
      </c>
      <c r="O56" s="93" t="s">
        <v>610</v>
      </c>
      <c r="P56" s="93" t="s">
        <v>642</v>
      </c>
      <c r="Q56" s="93" t="s">
        <v>622</v>
      </c>
      <c r="R56" s="94" t="s">
        <v>610</v>
      </c>
      <c r="S56" s="94" t="s">
        <v>642</v>
      </c>
      <c r="T56" s="94" t="s">
        <v>622</v>
      </c>
      <c r="U56" s="95"/>
      <c r="V56" s="57">
        <v>1.5</v>
      </c>
      <c r="Y56" s="98" t="s">
        <v>612</v>
      </c>
      <c r="Z56" s="97" t="s">
        <v>641</v>
      </c>
    </row>
    <row r="57" spans="1:26">
      <c r="A57" t="s">
        <v>470</v>
      </c>
      <c r="J57" s="56" t="s">
        <v>611</v>
      </c>
      <c r="K57" s="57">
        <v>1</v>
      </c>
      <c r="L57" s="92" t="s">
        <v>612</v>
      </c>
      <c r="M57" s="92" t="s">
        <v>643</v>
      </c>
      <c r="N57" s="92" t="s">
        <v>644</v>
      </c>
      <c r="O57" s="93" t="s">
        <v>612</v>
      </c>
      <c r="P57" s="93" t="s">
        <v>643</v>
      </c>
      <c r="Q57" s="93" t="s">
        <v>644</v>
      </c>
      <c r="R57" s="94" t="s">
        <v>612</v>
      </c>
      <c r="S57" s="94" t="s">
        <v>643</v>
      </c>
      <c r="T57" s="94" t="s">
        <v>644</v>
      </c>
      <c r="U57" s="95"/>
      <c r="V57" s="57">
        <v>1</v>
      </c>
      <c r="Y57" s="98" t="s">
        <v>614</v>
      </c>
      <c r="Z57" s="99" t="s">
        <v>639</v>
      </c>
    </row>
    <row r="58" spans="1:26">
      <c r="A58">
        <v>0.77300000000000002</v>
      </c>
      <c r="J58" s="56" t="s">
        <v>613</v>
      </c>
      <c r="K58" s="57">
        <v>0.75</v>
      </c>
      <c r="L58" s="92" t="s">
        <v>614</v>
      </c>
      <c r="M58" s="92" t="s">
        <v>645</v>
      </c>
      <c r="N58" s="92" t="s">
        <v>646</v>
      </c>
      <c r="O58" s="93" t="s">
        <v>614</v>
      </c>
      <c r="P58" s="93" t="s">
        <v>645</v>
      </c>
      <c r="Q58" s="93" t="s">
        <v>646</v>
      </c>
      <c r="R58" s="94" t="s">
        <v>614</v>
      </c>
      <c r="S58" s="94" t="s">
        <v>645</v>
      </c>
      <c r="T58" s="94" t="s">
        <v>646</v>
      </c>
      <c r="U58" s="95"/>
      <c r="V58" s="57">
        <v>0.75</v>
      </c>
      <c r="Y58" s="96" t="s">
        <v>647</v>
      </c>
      <c r="Z58" s="99" t="s">
        <v>639</v>
      </c>
    </row>
    <row r="59" spans="1:26">
      <c r="J59" s="56" t="s">
        <v>615</v>
      </c>
      <c r="K59" s="57">
        <v>0.5</v>
      </c>
      <c r="L59" s="92" t="s">
        <v>647</v>
      </c>
      <c r="M59" s="92" t="s">
        <v>648</v>
      </c>
      <c r="N59" s="92" t="s">
        <v>649</v>
      </c>
      <c r="O59" s="93" t="s">
        <v>647</v>
      </c>
      <c r="P59" s="93" t="s">
        <v>648</v>
      </c>
      <c r="Q59" s="93" t="s">
        <v>649</v>
      </c>
      <c r="R59" s="94" t="s">
        <v>647</v>
      </c>
      <c r="S59" s="94" t="s">
        <v>648</v>
      </c>
      <c r="T59" s="94" t="s">
        <v>649</v>
      </c>
      <c r="U59" s="100"/>
      <c r="V59" s="57">
        <v>0.5</v>
      </c>
      <c r="Y59" s="96" t="s">
        <v>650</v>
      </c>
      <c r="Z59" s="101" t="s">
        <v>651</v>
      </c>
    </row>
    <row r="60" spans="1:26">
      <c r="A60" t="s">
        <v>4</v>
      </c>
      <c r="J60" s="56" t="s">
        <v>617</v>
      </c>
      <c r="K60" s="57">
        <v>0.375</v>
      </c>
      <c r="L60" s="92" t="s">
        <v>650</v>
      </c>
      <c r="M60" s="92" t="s">
        <v>652</v>
      </c>
      <c r="N60" s="92" t="s">
        <v>653</v>
      </c>
      <c r="O60" s="93" t="s">
        <v>650</v>
      </c>
      <c r="P60" s="93" t="s">
        <v>652</v>
      </c>
      <c r="Q60" s="93" t="s">
        <v>653</v>
      </c>
      <c r="R60" s="94" t="s">
        <v>650</v>
      </c>
      <c r="S60" s="94" t="s">
        <v>652</v>
      </c>
      <c r="T60" s="94" t="s">
        <v>653</v>
      </c>
      <c r="U60" s="100"/>
      <c r="V60" s="57">
        <v>0.375</v>
      </c>
      <c r="Y60" s="98" t="s">
        <v>654</v>
      </c>
      <c r="Z60" s="101" t="s">
        <v>651</v>
      </c>
    </row>
    <row r="61" spans="1:26">
      <c r="A61" t="s">
        <v>103</v>
      </c>
      <c r="B61" t="s">
        <v>185</v>
      </c>
      <c r="C61">
        <v>0</v>
      </c>
      <c r="J61" s="56" t="s">
        <v>619</v>
      </c>
      <c r="K61" s="57">
        <v>0.25</v>
      </c>
      <c r="L61" s="92" t="s">
        <v>654</v>
      </c>
      <c r="M61" s="92" t="s">
        <v>616</v>
      </c>
      <c r="N61" s="100" t="s">
        <v>655</v>
      </c>
      <c r="O61" s="93" t="s">
        <v>654</v>
      </c>
      <c r="P61" s="93" t="s">
        <v>616</v>
      </c>
      <c r="Q61" s="100" t="s">
        <v>656</v>
      </c>
      <c r="R61" s="94" t="s">
        <v>654</v>
      </c>
      <c r="S61" s="94" t="s">
        <v>616</v>
      </c>
      <c r="T61" s="100" t="s">
        <v>657</v>
      </c>
      <c r="U61" s="100"/>
      <c r="V61" s="57">
        <v>0.25</v>
      </c>
      <c r="Y61" s="98" t="s">
        <v>658</v>
      </c>
      <c r="Z61" s="101" t="s">
        <v>651</v>
      </c>
    </row>
    <row r="62" spans="1:26" ht="16" thickBot="1">
      <c r="J62" s="56" t="s">
        <v>621</v>
      </c>
      <c r="K62" s="57">
        <v>0</v>
      </c>
      <c r="L62" s="102" t="s">
        <v>658</v>
      </c>
      <c r="M62" s="102" t="s">
        <v>618</v>
      </c>
      <c r="N62" s="100" t="s">
        <v>655</v>
      </c>
      <c r="O62" s="103" t="s">
        <v>658</v>
      </c>
      <c r="P62" s="103" t="s">
        <v>618</v>
      </c>
      <c r="Q62" s="100" t="s">
        <v>656</v>
      </c>
      <c r="R62" s="104" t="s">
        <v>658</v>
      </c>
      <c r="S62" s="104" t="s">
        <v>618</v>
      </c>
      <c r="T62" s="100" t="s">
        <v>657</v>
      </c>
      <c r="U62" s="105"/>
      <c r="V62" s="57">
        <v>0</v>
      </c>
      <c r="Y62" s="96" t="s">
        <v>640</v>
      </c>
      <c r="Z62" s="106" t="s">
        <v>659</v>
      </c>
    </row>
    <row r="63" spans="1:26" ht="16" thickBot="1">
      <c r="A63" t="s">
        <v>105</v>
      </c>
      <c r="K63" s="42" t="s">
        <v>105</v>
      </c>
      <c r="L63" s="329" t="s">
        <v>660</v>
      </c>
      <c r="M63" s="330"/>
      <c r="N63" s="331"/>
      <c r="O63" s="329" t="s">
        <v>661</v>
      </c>
      <c r="P63" s="330"/>
      <c r="Q63" s="331"/>
      <c r="R63" s="329" t="s">
        <v>662</v>
      </c>
      <c r="S63" s="330"/>
      <c r="T63" s="331"/>
      <c r="V63" s="1"/>
      <c r="Y63" s="96" t="s">
        <v>642</v>
      </c>
      <c r="Z63" s="106" t="s">
        <v>659</v>
      </c>
    </row>
    <row r="64" spans="1:26">
      <c r="Y64" s="98" t="s">
        <v>643</v>
      </c>
      <c r="Z64" s="97" t="s">
        <v>641</v>
      </c>
    </row>
    <row r="65" spans="1:26" ht="16" thickBot="1">
      <c r="A65" t="s">
        <v>4</v>
      </c>
      <c r="M65" s="332" t="s">
        <v>197</v>
      </c>
      <c r="N65" s="332"/>
      <c r="O65" s="332"/>
      <c r="R65" s="333" t="s">
        <v>198</v>
      </c>
      <c r="S65" s="333"/>
      <c r="T65" s="333"/>
      <c r="U65" s="333"/>
      <c r="V65" s="1" t="s">
        <v>663</v>
      </c>
      <c r="W65" s="1" t="s">
        <v>191</v>
      </c>
      <c r="Y65" s="98" t="s">
        <v>645</v>
      </c>
      <c r="Z65" s="106" t="s">
        <v>659</v>
      </c>
    </row>
    <row r="66" spans="1:26" ht="16" thickBot="1">
      <c r="A66" t="s">
        <v>664</v>
      </c>
      <c r="B66" t="s">
        <v>665</v>
      </c>
      <c r="C66" t="s">
        <v>666</v>
      </c>
      <c r="D66" t="s">
        <v>185</v>
      </c>
      <c r="E66" s="1" t="s">
        <v>196</v>
      </c>
      <c r="G66" s="1" t="s">
        <v>197</v>
      </c>
      <c r="H66" s="1" t="s">
        <v>198</v>
      </c>
      <c r="I66" s="1" t="s">
        <v>105</v>
      </c>
      <c r="J66" s="1" t="s">
        <v>105</v>
      </c>
      <c r="K66" s="1" t="s">
        <v>206</v>
      </c>
      <c r="L66" s="91" t="s">
        <v>639</v>
      </c>
      <c r="M66" s="107">
        <v>1.659</v>
      </c>
      <c r="N66" s="107">
        <v>1.948</v>
      </c>
      <c r="O66" s="107">
        <v>1.9039999999999999</v>
      </c>
      <c r="P66" s="107"/>
      <c r="R66" s="107">
        <f>M66*5.5</f>
        <v>9.1244999999999994</v>
      </c>
      <c r="S66" s="107">
        <f>N66*5.5</f>
        <v>10.714</v>
      </c>
      <c r="T66" s="107">
        <f>O66*5.5</f>
        <v>10.472</v>
      </c>
      <c r="U66" s="107"/>
      <c r="V66">
        <f t="shared" ref="V66:V72" si="0">AVERAGE(R66:T66)</f>
        <v>10.103499999999999</v>
      </c>
      <c r="W66">
        <f t="shared" ref="W66:W72" si="1">_xlfn.STDEV.P(R66:T66)</f>
        <v>0.69927188322330469</v>
      </c>
      <c r="Y66" s="108" t="s">
        <v>648</v>
      </c>
      <c r="Z66" s="109" t="s">
        <v>641</v>
      </c>
    </row>
    <row r="67" spans="1:26">
      <c r="A67" s="92" t="s">
        <v>608</v>
      </c>
      <c r="B67" s="91" t="s">
        <v>639</v>
      </c>
      <c r="C67">
        <v>0</v>
      </c>
      <c r="D67" t="s">
        <v>201</v>
      </c>
      <c r="E67">
        <v>0.66900000000000004</v>
      </c>
      <c r="G67">
        <v>1.659</v>
      </c>
      <c r="H67">
        <f>G67*5.5</f>
        <v>9.1244999999999994</v>
      </c>
      <c r="L67" s="97" t="s">
        <v>667</v>
      </c>
      <c r="M67" s="107">
        <v>0.93799999999999994</v>
      </c>
      <c r="N67" s="107">
        <v>0.92900000000000005</v>
      </c>
      <c r="O67" s="107">
        <v>0.89700000000000002</v>
      </c>
      <c r="P67" s="107">
        <v>0.96199999999999997</v>
      </c>
      <c r="R67" s="107">
        <f t="shared" ref="R67:U72" si="2">M67*5.5</f>
        <v>5.1589999999999998</v>
      </c>
      <c r="S67" s="107">
        <f t="shared" si="2"/>
        <v>5.1095000000000006</v>
      </c>
      <c r="T67" s="107">
        <f t="shared" si="2"/>
        <v>4.9335000000000004</v>
      </c>
      <c r="U67" s="107">
        <f t="shared" si="2"/>
        <v>5.2909999999999995</v>
      </c>
      <c r="V67">
        <f t="shared" si="0"/>
        <v>5.067333333333333</v>
      </c>
      <c r="W67">
        <f t="shared" si="1"/>
        <v>9.6768050282908566E-2</v>
      </c>
      <c r="Y67" s="90" t="s">
        <v>652</v>
      </c>
      <c r="Z67" s="110" t="s">
        <v>668</v>
      </c>
    </row>
    <row r="68" spans="1:26">
      <c r="A68" s="92" t="s">
        <v>610</v>
      </c>
      <c r="B68" s="97" t="s">
        <v>667</v>
      </c>
      <c r="C68">
        <v>0</v>
      </c>
      <c r="D68" t="s">
        <v>205</v>
      </c>
      <c r="E68">
        <v>0.39200000000000002</v>
      </c>
      <c r="G68">
        <v>0.93799999999999994</v>
      </c>
      <c r="H68">
        <f t="shared" ref="H68:H131" si="3">G68*5.5</f>
        <v>5.1589999999999998</v>
      </c>
      <c r="L68" s="101" t="s">
        <v>669</v>
      </c>
      <c r="M68" s="107">
        <v>1.887</v>
      </c>
      <c r="N68" s="107">
        <v>1.798</v>
      </c>
      <c r="O68" s="107">
        <v>1.8220000000000001</v>
      </c>
      <c r="P68" s="107"/>
      <c r="R68" s="107">
        <f t="shared" si="2"/>
        <v>10.378500000000001</v>
      </c>
      <c r="S68" s="107">
        <f t="shared" si="2"/>
        <v>9.8889999999999993</v>
      </c>
      <c r="T68" s="107">
        <f t="shared" si="2"/>
        <v>10.021000000000001</v>
      </c>
      <c r="U68" s="107"/>
      <c r="V68" s="111">
        <f t="shared" si="0"/>
        <v>10.096166666666667</v>
      </c>
      <c r="W68" s="111">
        <f t="shared" si="1"/>
        <v>0.20678504674070544</v>
      </c>
      <c r="Y68" s="98" t="s">
        <v>616</v>
      </c>
      <c r="Z68" s="97" t="s">
        <v>670</v>
      </c>
    </row>
    <row r="69" spans="1:26" ht="16" thickBot="1">
      <c r="A69" s="92" t="s">
        <v>612</v>
      </c>
      <c r="B69" s="97" t="s">
        <v>667</v>
      </c>
      <c r="C69">
        <v>0</v>
      </c>
      <c r="D69" t="s">
        <v>207</v>
      </c>
      <c r="E69">
        <v>0.38900000000000001</v>
      </c>
      <c r="G69">
        <v>0.92900000000000005</v>
      </c>
      <c r="H69">
        <f t="shared" si="3"/>
        <v>5.1095000000000006</v>
      </c>
      <c r="L69" s="106" t="s">
        <v>671</v>
      </c>
      <c r="M69" s="107">
        <v>1.651</v>
      </c>
      <c r="N69" s="107">
        <v>1.889</v>
      </c>
      <c r="O69" s="107">
        <v>1.913</v>
      </c>
      <c r="P69" s="107"/>
      <c r="R69" s="107">
        <f t="shared" si="2"/>
        <v>9.0805000000000007</v>
      </c>
      <c r="S69" s="107">
        <f t="shared" si="2"/>
        <v>10.3895</v>
      </c>
      <c r="T69" s="107">
        <f t="shared" si="2"/>
        <v>10.5215</v>
      </c>
      <c r="U69" s="107"/>
      <c r="V69" s="112">
        <f t="shared" si="0"/>
        <v>9.9971666666666668</v>
      </c>
      <c r="W69" s="112">
        <f t="shared" si="1"/>
        <v>0.65041747277336293</v>
      </c>
      <c r="Y69" s="98" t="s">
        <v>618</v>
      </c>
      <c r="Z69" s="97" t="s">
        <v>670</v>
      </c>
    </row>
    <row r="70" spans="1:26">
      <c r="A70" s="92" t="s">
        <v>614</v>
      </c>
      <c r="B70" s="91" t="s">
        <v>639</v>
      </c>
      <c r="C70">
        <v>0</v>
      </c>
      <c r="D70" t="s">
        <v>211</v>
      </c>
      <c r="E70">
        <v>0.78</v>
      </c>
      <c r="F70" t="s">
        <v>310</v>
      </c>
      <c r="G70">
        <v>1.948</v>
      </c>
      <c r="H70">
        <f t="shared" si="3"/>
        <v>10.714</v>
      </c>
      <c r="L70" s="97" t="s">
        <v>672</v>
      </c>
      <c r="M70" s="107">
        <v>1.8029999999999999</v>
      </c>
      <c r="N70" s="107">
        <v>1.73</v>
      </c>
      <c r="O70" s="107">
        <v>1.4610000000000001</v>
      </c>
      <c r="P70" s="107"/>
      <c r="R70" s="107">
        <f t="shared" si="2"/>
        <v>9.9164999999999992</v>
      </c>
      <c r="S70" s="107">
        <f t="shared" si="2"/>
        <v>9.5150000000000006</v>
      </c>
      <c r="T70" s="107">
        <f t="shared" si="2"/>
        <v>8.0355000000000008</v>
      </c>
      <c r="U70" s="107"/>
      <c r="V70">
        <f t="shared" si="0"/>
        <v>9.1556666666666668</v>
      </c>
      <c r="W70">
        <f t="shared" si="1"/>
        <v>0.80885951946071655</v>
      </c>
      <c r="Y70" s="96" t="s">
        <v>620</v>
      </c>
      <c r="Z70" s="97" t="s">
        <v>670</v>
      </c>
    </row>
    <row r="71" spans="1:26">
      <c r="A71" s="92" t="s">
        <v>640</v>
      </c>
      <c r="B71" s="106" t="s">
        <v>671</v>
      </c>
      <c r="C71">
        <v>0</v>
      </c>
      <c r="D71" t="s">
        <v>213</v>
      </c>
      <c r="E71">
        <v>0.66600000000000004</v>
      </c>
      <c r="G71">
        <v>1.651</v>
      </c>
      <c r="H71">
        <f t="shared" si="3"/>
        <v>9.0805000000000007</v>
      </c>
      <c r="L71" s="101" t="s">
        <v>673</v>
      </c>
      <c r="M71" s="107">
        <v>1.8640000000000001</v>
      </c>
      <c r="N71" s="107">
        <v>1.847</v>
      </c>
      <c r="O71" s="107">
        <v>1.8640000000000001</v>
      </c>
      <c r="P71" s="107"/>
      <c r="R71" s="107">
        <f t="shared" si="2"/>
        <v>10.252000000000001</v>
      </c>
      <c r="S71" s="107">
        <f t="shared" si="2"/>
        <v>10.1585</v>
      </c>
      <c r="T71" s="107">
        <f t="shared" si="2"/>
        <v>10.252000000000001</v>
      </c>
      <c r="U71" s="107"/>
      <c r="V71" s="113">
        <f t="shared" si="0"/>
        <v>10.220833333333333</v>
      </c>
      <c r="W71" s="113">
        <f t="shared" si="1"/>
        <v>4.4076322693961736E-2</v>
      </c>
      <c r="Y71" s="96" t="s">
        <v>622</v>
      </c>
      <c r="Z71" s="101" t="s">
        <v>668</v>
      </c>
    </row>
    <row r="72" spans="1:26">
      <c r="A72" s="92" t="s">
        <v>642</v>
      </c>
      <c r="B72" s="106" t="s">
        <v>671</v>
      </c>
      <c r="C72">
        <v>0</v>
      </c>
      <c r="D72" t="s">
        <v>217</v>
      </c>
      <c r="E72">
        <v>0.75700000000000001</v>
      </c>
      <c r="G72">
        <v>1.889</v>
      </c>
      <c r="H72">
        <f t="shared" si="3"/>
        <v>10.3895</v>
      </c>
      <c r="L72" s="106" t="s">
        <v>674</v>
      </c>
      <c r="M72" s="107">
        <v>1.827</v>
      </c>
      <c r="N72" s="107">
        <v>2.3119999999999998</v>
      </c>
      <c r="O72" s="107">
        <v>1.952</v>
      </c>
      <c r="P72" s="107"/>
      <c r="R72" s="107">
        <f t="shared" si="2"/>
        <v>10.048500000000001</v>
      </c>
      <c r="S72" s="107">
        <f t="shared" si="2"/>
        <v>12.715999999999999</v>
      </c>
      <c r="T72" s="107">
        <f t="shared" si="2"/>
        <v>10.736000000000001</v>
      </c>
      <c r="U72" s="107"/>
      <c r="V72" s="114">
        <f t="shared" si="0"/>
        <v>11.166833333333335</v>
      </c>
      <c r="W72" s="114">
        <f t="shared" si="1"/>
        <v>1.1308115325827841</v>
      </c>
      <c r="Y72" s="98" t="s">
        <v>644</v>
      </c>
      <c r="Z72" s="101" t="s">
        <v>668</v>
      </c>
    </row>
    <row r="73" spans="1:26">
      <c r="A73" s="92" t="s">
        <v>643</v>
      </c>
      <c r="B73" s="97" t="s">
        <v>667</v>
      </c>
      <c r="C73">
        <v>0</v>
      </c>
      <c r="D73" t="s">
        <v>219</v>
      </c>
      <c r="E73">
        <v>0.40100000000000002</v>
      </c>
      <c r="G73">
        <v>0.96199999999999997</v>
      </c>
      <c r="H73">
        <f t="shared" si="3"/>
        <v>5.2909999999999995</v>
      </c>
      <c r="Y73" s="98" t="s">
        <v>646</v>
      </c>
      <c r="Z73" s="106" t="s">
        <v>675</v>
      </c>
    </row>
    <row r="74" spans="1:26">
      <c r="A74" s="92" t="s">
        <v>645</v>
      </c>
      <c r="B74" s="106" t="s">
        <v>671</v>
      </c>
      <c r="C74">
        <v>0</v>
      </c>
      <c r="D74" t="s">
        <v>221</v>
      </c>
      <c r="E74">
        <v>0.76600000000000001</v>
      </c>
      <c r="G74">
        <v>1.913</v>
      </c>
      <c r="H74">
        <f t="shared" si="3"/>
        <v>10.5215</v>
      </c>
      <c r="K74" s="1" t="s">
        <v>676</v>
      </c>
      <c r="L74" s="99" t="s">
        <v>639</v>
      </c>
      <c r="M74" s="107">
        <v>1.629</v>
      </c>
      <c r="N74" s="107">
        <v>1.851</v>
      </c>
      <c r="O74" s="107">
        <v>1.804</v>
      </c>
      <c r="P74" s="107"/>
      <c r="R74" s="107">
        <f>M74*5.5</f>
        <v>8.9595000000000002</v>
      </c>
      <c r="S74" s="107">
        <f>N74*5.5</f>
        <v>10.1805</v>
      </c>
      <c r="T74" s="107">
        <f>O74*5.5</f>
        <v>9.9220000000000006</v>
      </c>
      <c r="U74" s="107"/>
      <c r="V74">
        <f t="shared" ref="V74:V80" si="4">AVERAGE(R74:T74)</f>
        <v>9.6873333333333331</v>
      </c>
      <c r="W74">
        <f t="shared" ref="W74:W80" si="5">_xlfn.STDEV.P(R74:T74)</f>
        <v>0.52536437091053512</v>
      </c>
      <c r="Y74" s="96" t="s">
        <v>649</v>
      </c>
      <c r="Z74" s="106" t="s">
        <v>675</v>
      </c>
    </row>
    <row r="75" spans="1:26" ht="16" thickBot="1">
      <c r="A75" s="92" t="s">
        <v>620</v>
      </c>
      <c r="B75" s="97" t="s">
        <v>672</v>
      </c>
      <c r="C75">
        <v>0</v>
      </c>
      <c r="D75" t="s">
        <v>493</v>
      </c>
      <c r="E75">
        <v>0.72399999999999998</v>
      </c>
      <c r="G75">
        <v>1.8029999999999999</v>
      </c>
      <c r="H75">
        <f t="shared" si="3"/>
        <v>9.9164999999999992</v>
      </c>
      <c r="L75" s="97" t="s">
        <v>667</v>
      </c>
      <c r="M75" s="107">
        <v>0.97799999999999998</v>
      </c>
      <c r="N75" s="107">
        <v>0.89</v>
      </c>
      <c r="O75" s="107">
        <v>1.0009999999999999</v>
      </c>
      <c r="P75" s="107">
        <v>1.1739999999999999</v>
      </c>
      <c r="R75" s="107">
        <f t="shared" ref="R75:U80" si="6">M75*5.5</f>
        <v>5.3789999999999996</v>
      </c>
      <c r="S75" s="107">
        <f t="shared" si="6"/>
        <v>4.8950000000000005</v>
      </c>
      <c r="T75" s="107">
        <f t="shared" si="6"/>
        <v>5.5054999999999996</v>
      </c>
      <c r="U75" s="107">
        <f t="shared" si="6"/>
        <v>6.4569999999999999</v>
      </c>
      <c r="V75">
        <f t="shared" si="4"/>
        <v>5.2598333333333338</v>
      </c>
      <c r="W75">
        <f t="shared" si="5"/>
        <v>0.26309451195762718</v>
      </c>
      <c r="Y75" s="108" t="s">
        <v>653</v>
      </c>
      <c r="Z75" s="115" t="s">
        <v>675</v>
      </c>
    </row>
    <row r="76" spans="1:26">
      <c r="A76" s="92" t="s">
        <v>622</v>
      </c>
      <c r="B76" s="101" t="s">
        <v>673</v>
      </c>
      <c r="C76">
        <v>0</v>
      </c>
      <c r="D76" t="s">
        <v>224</v>
      </c>
      <c r="E76">
        <v>0.748</v>
      </c>
      <c r="G76">
        <v>1.8640000000000001</v>
      </c>
      <c r="H76">
        <f t="shared" si="3"/>
        <v>10.252000000000001</v>
      </c>
      <c r="L76" s="101" t="s">
        <v>669</v>
      </c>
      <c r="M76" s="107">
        <v>1.887</v>
      </c>
      <c r="N76" s="107">
        <v>1.798</v>
      </c>
      <c r="O76" s="107">
        <v>1.8220000000000001</v>
      </c>
      <c r="P76" s="107"/>
      <c r="R76" s="107">
        <f t="shared" si="6"/>
        <v>10.378500000000001</v>
      </c>
      <c r="S76" s="107">
        <f t="shared" si="6"/>
        <v>9.8889999999999993</v>
      </c>
      <c r="T76" s="107">
        <f t="shared" si="6"/>
        <v>10.021000000000001</v>
      </c>
      <c r="U76" s="107"/>
      <c r="V76" s="111">
        <f t="shared" si="4"/>
        <v>10.096166666666667</v>
      </c>
      <c r="W76" s="111">
        <f t="shared" si="5"/>
        <v>0.20678504674070544</v>
      </c>
    </row>
    <row r="77" spans="1:26">
      <c r="A77" s="92" t="s">
        <v>644</v>
      </c>
      <c r="B77" s="101" t="s">
        <v>673</v>
      </c>
      <c r="C77">
        <v>0</v>
      </c>
      <c r="D77" t="s">
        <v>227</v>
      </c>
      <c r="E77">
        <v>0.74099999999999999</v>
      </c>
      <c r="G77">
        <v>1.847</v>
      </c>
      <c r="H77">
        <f t="shared" si="3"/>
        <v>10.1585</v>
      </c>
      <c r="L77" s="106" t="s">
        <v>671</v>
      </c>
      <c r="M77" s="107">
        <v>1.677</v>
      </c>
      <c r="N77" s="107">
        <v>1.77</v>
      </c>
      <c r="O77" s="107">
        <v>2.0619999999999998</v>
      </c>
      <c r="P77" s="107"/>
      <c r="R77" s="107">
        <f t="shared" si="6"/>
        <v>9.2234999999999996</v>
      </c>
      <c r="S77" s="107">
        <f t="shared" si="6"/>
        <v>9.7349999999999994</v>
      </c>
      <c r="T77" s="107">
        <f t="shared" si="6"/>
        <v>11.340999999999999</v>
      </c>
      <c r="U77" s="107"/>
      <c r="V77" s="112">
        <f t="shared" si="4"/>
        <v>10.099833333333335</v>
      </c>
      <c r="W77" s="112">
        <f t="shared" si="5"/>
        <v>0.9021378620932734</v>
      </c>
    </row>
    <row r="78" spans="1:26" ht="16" thickBot="1">
      <c r="A78" s="92" t="s">
        <v>646</v>
      </c>
      <c r="B78" s="115" t="s">
        <v>674</v>
      </c>
      <c r="C78" s="36">
        <v>0</v>
      </c>
      <c r="D78" s="36" t="s">
        <v>229</v>
      </c>
      <c r="E78" s="36">
        <v>0.73399999999999999</v>
      </c>
      <c r="F78" s="36"/>
      <c r="G78" s="36">
        <v>1.827</v>
      </c>
      <c r="H78" s="36">
        <f t="shared" si="3"/>
        <v>10.048500000000001</v>
      </c>
      <c r="L78" s="97" t="s">
        <v>672</v>
      </c>
      <c r="M78" s="107">
        <v>1.6240000000000001</v>
      </c>
      <c r="N78" s="107">
        <v>2.403</v>
      </c>
      <c r="O78" s="107">
        <v>1.8440000000000001</v>
      </c>
      <c r="P78" s="107"/>
      <c r="R78" s="107">
        <f t="shared" si="6"/>
        <v>8.9320000000000004</v>
      </c>
      <c r="S78" s="107">
        <f t="shared" si="6"/>
        <v>13.2165</v>
      </c>
      <c r="T78" s="107">
        <f t="shared" si="6"/>
        <v>10.142000000000001</v>
      </c>
      <c r="U78" s="107"/>
      <c r="V78">
        <f t="shared" si="4"/>
        <v>10.763500000000001</v>
      </c>
      <c r="W78">
        <f t="shared" si="5"/>
        <v>1.8035024720434019</v>
      </c>
    </row>
    <row r="79" spans="1:26">
      <c r="A79" s="93" t="s">
        <v>608</v>
      </c>
      <c r="B79" s="116" t="s">
        <v>639</v>
      </c>
      <c r="C79">
        <v>6</v>
      </c>
      <c r="D79" t="s">
        <v>232</v>
      </c>
      <c r="E79">
        <v>0.65800000000000003</v>
      </c>
      <c r="G79">
        <v>1.629</v>
      </c>
      <c r="H79">
        <f t="shared" si="3"/>
        <v>8.9595000000000002</v>
      </c>
      <c r="L79" s="101" t="s">
        <v>673</v>
      </c>
      <c r="M79" s="107">
        <v>2.206</v>
      </c>
      <c r="N79" s="107">
        <v>2.101</v>
      </c>
      <c r="O79" s="107">
        <v>2.3109999999999999</v>
      </c>
      <c r="P79" s="107"/>
      <c r="R79" s="107">
        <f t="shared" si="6"/>
        <v>12.132999999999999</v>
      </c>
      <c r="S79" s="107">
        <f t="shared" si="6"/>
        <v>11.5555</v>
      </c>
      <c r="T79" s="107">
        <f t="shared" si="6"/>
        <v>12.7105</v>
      </c>
      <c r="U79" s="107"/>
      <c r="V79" s="113">
        <f t="shared" si="4"/>
        <v>12.133000000000001</v>
      </c>
      <c r="W79" s="113">
        <f t="shared" si="5"/>
        <v>0.47152677548576155</v>
      </c>
    </row>
    <row r="80" spans="1:26">
      <c r="A80" s="93" t="s">
        <v>610</v>
      </c>
      <c r="B80" s="97" t="s">
        <v>667</v>
      </c>
      <c r="C80">
        <v>6</v>
      </c>
      <c r="D80" t="s">
        <v>503</v>
      </c>
      <c r="E80">
        <v>0.40799999999999997</v>
      </c>
      <c r="G80">
        <v>0.97799999999999998</v>
      </c>
      <c r="H80">
        <f t="shared" si="3"/>
        <v>5.3789999999999996</v>
      </c>
      <c r="L80" s="106" t="s">
        <v>674</v>
      </c>
      <c r="M80" s="107">
        <v>1.5880000000000001</v>
      </c>
      <c r="N80" s="107">
        <v>1.6639999999999999</v>
      </c>
      <c r="O80" s="107">
        <v>1.8009999999999999</v>
      </c>
      <c r="P80" s="107"/>
      <c r="R80" s="107">
        <f t="shared" si="6"/>
        <v>8.734</v>
      </c>
      <c r="S80" s="107">
        <f t="shared" si="6"/>
        <v>9.1519999999999992</v>
      </c>
      <c r="T80" s="107">
        <f t="shared" si="6"/>
        <v>9.9055</v>
      </c>
      <c r="U80" s="107"/>
      <c r="V80" s="114">
        <f t="shared" si="4"/>
        <v>9.2638333333333325</v>
      </c>
      <c r="W80" s="114">
        <f t="shared" si="5"/>
        <v>0.48475635346246088</v>
      </c>
    </row>
    <row r="81" spans="1:23" ht="16" thickBot="1">
      <c r="A81" s="93" t="s">
        <v>612</v>
      </c>
      <c r="B81" s="97" t="s">
        <v>667</v>
      </c>
      <c r="C81">
        <v>6</v>
      </c>
      <c r="D81" t="s">
        <v>234</v>
      </c>
      <c r="E81">
        <v>0.374</v>
      </c>
      <c r="G81">
        <v>0.89</v>
      </c>
      <c r="H81">
        <f t="shared" si="3"/>
        <v>4.8950000000000005</v>
      </c>
    </row>
    <row r="82" spans="1:23">
      <c r="A82" s="93" t="s">
        <v>614</v>
      </c>
      <c r="B82" s="91" t="s">
        <v>639</v>
      </c>
      <c r="C82">
        <v>6</v>
      </c>
      <c r="D82" t="s">
        <v>236</v>
      </c>
      <c r="E82">
        <v>0.74299999999999999</v>
      </c>
      <c r="G82">
        <v>1.851</v>
      </c>
      <c r="H82">
        <f t="shared" si="3"/>
        <v>10.1805</v>
      </c>
      <c r="K82" s="1" t="s">
        <v>223</v>
      </c>
      <c r="L82" s="99" t="s">
        <v>639</v>
      </c>
      <c r="M82" s="107">
        <v>1.4319999999999999</v>
      </c>
      <c r="N82" s="107">
        <v>1.4650000000000001</v>
      </c>
      <c r="O82" s="107">
        <v>1.542</v>
      </c>
      <c r="P82" s="107"/>
      <c r="R82" s="107">
        <f>M82*5.5</f>
        <v>7.8759999999999994</v>
      </c>
      <c r="S82" s="107">
        <f>N82*5.5</f>
        <v>8.057500000000001</v>
      </c>
      <c r="T82" s="107">
        <f>O82*5.5</f>
        <v>8.4809999999999999</v>
      </c>
      <c r="U82" s="107"/>
      <c r="V82">
        <f t="shared" ref="V82:V88" si="7">AVERAGE(R82:T82)</f>
        <v>8.1381666666666668</v>
      </c>
      <c r="W82">
        <f t="shared" ref="W82:W88" si="8">_xlfn.STDEV.P(R82:T82)</f>
        <v>0.25349106931452681</v>
      </c>
    </row>
    <row r="83" spans="1:23">
      <c r="A83" s="93" t="s">
        <v>640</v>
      </c>
      <c r="B83" s="106" t="s">
        <v>671</v>
      </c>
      <c r="C83">
        <v>6</v>
      </c>
      <c r="D83" t="s">
        <v>238</v>
      </c>
      <c r="E83">
        <v>0.67600000000000005</v>
      </c>
      <c r="G83">
        <v>1.677</v>
      </c>
      <c r="H83">
        <f t="shared" si="3"/>
        <v>9.2234999999999996</v>
      </c>
      <c r="L83" s="97" t="s">
        <v>667</v>
      </c>
      <c r="M83" s="107">
        <v>0.86199999999999999</v>
      </c>
      <c r="N83" s="107">
        <v>0.76200000000000001</v>
      </c>
      <c r="O83" s="107">
        <v>0.81799999999999995</v>
      </c>
      <c r="P83" s="107">
        <v>0.79800000000000004</v>
      </c>
      <c r="R83" s="107">
        <f t="shared" ref="R83:U88" si="9">M83*5.5</f>
        <v>4.7409999999999997</v>
      </c>
      <c r="S83" s="107">
        <f t="shared" si="9"/>
        <v>4.1909999999999998</v>
      </c>
      <c r="T83" s="107">
        <f t="shared" si="9"/>
        <v>4.4989999999999997</v>
      </c>
      <c r="U83" s="107">
        <f t="shared" si="9"/>
        <v>4.3890000000000002</v>
      </c>
      <c r="V83">
        <f t="shared" si="7"/>
        <v>4.4769999999999994</v>
      </c>
      <c r="W83">
        <f t="shared" si="8"/>
        <v>0.22507480238060107</v>
      </c>
    </row>
    <row r="84" spans="1:23">
      <c r="A84" s="93" t="s">
        <v>642</v>
      </c>
      <c r="B84" s="106" t="s">
        <v>671</v>
      </c>
      <c r="C84">
        <v>6</v>
      </c>
      <c r="D84" t="s">
        <v>241</v>
      </c>
      <c r="E84">
        <v>0.71199999999999997</v>
      </c>
      <c r="G84">
        <v>1.77</v>
      </c>
      <c r="H84">
        <f t="shared" si="3"/>
        <v>9.7349999999999994</v>
      </c>
      <c r="L84" s="101" t="s">
        <v>669</v>
      </c>
      <c r="M84" s="107">
        <v>1.3120000000000001</v>
      </c>
      <c r="N84" s="107">
        <v>1.33</v>
      </c>
      <c r="O84" s="107">
        <v>1.52</v>
      </c>
      <c r="P84" s="107"/>
      <c r="R84" s="107">
        <f t="shared" si="9"/>
        <v>7.2160000000000002</v>
      </c>
      <c r="S84" s="107">
        <f t="shared" si="9"/>
        <v>7.3150000000000004</v>
      </c>
      <c r="T84" s="107">
        <f t="shared" si="9"/>
        <v>8.36</v>
      </c>
      <c r="U84" s="107"/>
      <c r="V84" s="111">
        <f t="shared" si="7"/>
        <v>7.6303333333333327</v>
      </c>
      <c r="W84" s="111">
        <f t="shared" si="8"/>
        <v>0.51753282236223608</v>
      </c>
    </row>
    <row r="85" spans="1:23">
      <c r="A85" s="93" t="s">
        <v>643</v>
      </c>
      <c r="B85" s="97" t="s">
        <v>667</v>
      </c>
      <c r="C85">
        <v>6</v>
      </c>
      <c r="D85" t="s">
        <v>514</v>
      </c>
      <c r="E85">
        <v>0.41599999999999998</v>
      </c>
      <c r="G85">
        <v>1.0009999999999999</v>
      </c>
      <c r="H85">
        <f t="shared" si="3"/>
        <v>5.5054999999999996</v>
      </c>
      <c r="L85" s="106" t="s">
        <v>671</v>
      </c>
      <c r="M85" s="107">
        <v>1.327</v>
      </c>
      <c r="N85" s="107">
        <v>1.464</v>
      </c>
      <c r="O85" s="107">
        <v>1.617</v>
      </c>
      <c r="P85" s="107"/>
      <c r="R85" s="107">
        <f t="shared" si="9"/>
        <v>7.2984999999999998</v>
      </c>
      <c r="S85" s="107">
        <f t="shared" si="9"/>
        <v>8.0519999999999996</v>
      </c>
      <c r="T85" s="107">
        <f t="shared" si="9"/>
        <v>8.8934999999999995</v>
      </c>
      <c r="U85" s="107"/>
      <c r="V85" s="112">
        <f t="shared" si="7"/>
        <v>8.0813333333333333</v>
      </c>
      <c r="W85" s="112">
        <f t="shared" si="8"/>
        <v>0.65148629217266629</v>
      </c>
    </row>
    <row r="86" spans="1:23">
      <c r="A86" s="93" t="s">
        <v>645</v>
      </c>
      <c r="B86" s="106" t="s">
        <v>671</v>
      </c>
      <c r="C86">
        <v>6</v>
      </c>
      <c r="D86" t="s">
        <v>243</v>
      </c>
      <c r="E86">
        <v>0.82399999999999995</v>
      </c>
      <c r="F86" t="s">
        <v>310</v>
      </c>
      <c r="G86">
        <v>2.0619999999999998</v>
      </c>
      <c r="H86">
        <f t="shared" si="3"/>
        <v>11.340999999999999</v>
      </c>
      <c r="L86" s="97" t="s">
        <v>672</v>
      </c>
      <c r="M86" s="107">
        <v>1.508</v>
      </c>
      <c r="N86" s="107">
        <v>1.4870000000000001</v>
      </c>
      <c r="O86" s="107">
        <v>1.5209999999999999</v>
      </c>
      <c r="P86" s="107"/>
      <c r="R86" s="107">
        <f t="shared" si="9"/>
        <v>8.2940000000000005</v>
      </c>
      <c r="S86" s="107">
        <f t="shared" si="9"/>
        <v>8.1784999999999997</v>
      </c>
      <c r="T86" s="107">
        <f t="shared" si="9"/>
        <v>8.365499999999999</v>
      </c>
      <c r="U86" s="107"/>
      <c r="V86">
        <f t="shared" si="7"/>
        <v>8.2793333333333337</v>
      </c>
      <c r="W86">
        <f t="shared" si="8"/>
        <v>7.70436384279857E-2</v>
      </c>
    </row>
    <row r="87" spans="1:23">
      <c r="A87" s="93" t="s">
        <v>620</v>
      </c>
      <c r="B87" s="97" t="s">
        <v>672</v>
      </c>
      <c r="C87">
        <v>6</v>
      </c>
      <c r="D87" t="s">
        <v>246</v>
      </c>
      <c r="E87">
        <v>0.65600000000000003</v>
      </c>
      <c r="G87">
        <v>1.6240000000000001</v>
      </c>
      <c r="H87">
        <f t="shared" si="3"/>
        <v>8.9320000000000004</v>
      </c>
      <c r="L87" s="101" t="s">
        <v>673</v>
      </c>
      <c r="M87" s="107">
        <v>1.65</v>
      </c>
      <c r="N87" s="107">
        <v>1.5329999999999999</v>
      </c>
      <c r="O87" s="107">
        <v>1.444</v>
      </c>
      <c r="P87" s="107"/>
      <c r="R87" s="107">
        <f t="shared" si="9"/>
        <v>9.0749999999999993</v>
      </c>
      <c r="S87" s="107">
        <f t="shared" si="9"/>
        <v>8.4314999999999998</v>
      </c>
      <c r="T87" s="107">
        <f t="shared" si="9"/>
        <v>7.9420000000000002</v>
      </c>
      <c r="U87" s="107"/>
      <c r="V87" s="113">
        <f t="shared" si="7"/>
        <v>8.4828333333333337</v>
      </c>
      <c r="W87" s="113">
        <f t="shared" si="8"/>
        <v>0.46396737193710275</v>
      </c>
    </row>
    <row r="88" spans="1:23">
      <c r="A88" s="93" t="s">
        <v>622</v>
      </c>
      <c r="B88" s="101" t="s">
        <v>673</v>
      </c>
      <c r="C88">
        <v>6</v>
      </c>
      <c r="D88" t="s">
        <v>248</v>
      </c>
      <c r="E88">
        <v>0.879</v>
      </c>
      <c r="F88" t="s">
        <v>310</v>
      </c>
      <c r="G88">
        <v>2.206</v>
      </c>
      <c r="H88">
        <f t="shared" si="3"/>
        <v>12.132999999999999</v>
      </c>
      <c r="L88" s="106" t="s">
        <v>674</v>
      </c>
      <c r="M88" s="107">
        <v>1.5249999999999999</v>
      </c>
      <c r="N88" s="107">
        <v>1.448</v>
      </c>
      <c r="O88" s="107">
        <v>1.3859999999999999</v>
      </c>
      <c r="P88" s="107"/>
      <c r="R88" s="107">
        <f t="shared" si="9"/>
        <v>8.3874999999999993</v>
      </c>
      <c r="S88" s="107">
        <f>O87*5.5</f>
        <v>7.9420000000000002</v>
      </c>
      <c r="T88" s="107">
        <f t="shared" si="9"/>
        <v>7.6229999999999993</v>
      </c>
      <c r="U88" s="107"/>
      <c r="V88" s="114">
        <f t="shared" si="7"/>
        <v>7.9841666666666669</v>
      </c>
      <c r="W88" s="114">
        <f t="shared" si="8"/>
        <v>0.3135268019732213</v>
      </c>
    </row>
    <row r="89" spans="1:23">
      <c r="A89" s="93" t="s">
        <v>644</v>
      </c>
      <c r="B89" s="101" t="s">
        <v>673</v>
      </c>
      <c r="C89">
        <v>6</v>
      </c>
      <c r="D89" t="s">
        <v>250</v>
      </c>
      <c r="E89">
        <v>0.83899999999999997</v>
      </c>
      <c r="F89" t="s">
        <v>310</v>
      </c>
      <c r="G89">
        <v>2.101</v>
      </c>
      <c r="H89">
        <f t="shared" si="3"/>
        <v>11.5555</v>
      </c>
      <c r="O89" t="s">
        <v>105</v>
      </c>
    </row>
    <row r="90" spans="1:23" ht="16" thickBot="1">
      <c r="A90" s="93" t="s">
        <v>646</v>
      </c>
      <c r="B90" s="115" t="s">
        <v>674</v>
      </c>
      <c r="C90" s="36">
        <v>6</v>
      </c>
      <c r="D90" s="36" t="s">
        <v>252</v>
      </c>
      <c r="E90" s="36">
        <v>0.64200000000000002</v>
      </c>
      <c r="F90" s="36"/>
      <c r="G90" s="36">
        <v>1.5880000000000001</v>
      </c>
      <c r="H90" s="36">
        <f t="shared" si="3"/>
        <v>8.734</v>
      </c>
      <c r="M90" t="s">
        <v>105</v>
      </c>
    </row>
    <row r="91" spans="1:23">
      <c r="A91" s="94" t="s">
        <v>608</v>
      </c>
      <c r="B91" s="116" t="s">
        <v>639</v>
      </c>
      <c r="C91">
        <v>24</v>
      </c>
      <c r="D91" t="s">
        <v>254</v>
      </c>
      <c r="E91">
        <v>0.58199999999999996</v>
      </c>
      <c r="G91">
        <v>1.4319999999999999</v>
      </c>
      <c r="H91">
        <f t="shared" si="3"/>
        <v>7.8759999999999994</v>
      </c>
    </row>
    <row r="92" spans="1:23">
      <c r="A92" s="94" t="s">
        <v>610</v>
      </c>
      <c r="B92" s="97" t="s">
        <v>667</v>
      </c>
      <c r="C92">
        <v>24</v>
      </c>
      <c r="D92" t="s">
        <v>256</v>
      </c>
      <c r="E92">
        <v>0.36299999999999999</v>
      </c>
      <c r="G92">
        <v>0.86199999999999999</v>
      </c>
      <c r="H92">
        <f t="shared" si="3"/>
        <v>4.7409999999999997</v>
      </c>
    </row>
    <row r="93" spans="1:23" ht="16" thickBot="1">
      <c r="A93" s="94" t="s">
        <v>612</v>
      </c>
      <c r="B93" s="97" t="s">
        <v>667</v>
      </c>
      <c r="C93">
        <v>24</v>
      </c>
      <c r="D93" t="s">
        <v>258</v>
      </c>
      <c r="E93">
        <v>0.32500000000000001</v>
      </c>
      <c r="G93">
        <v>0.76200000000000001</v>
      </c>
      <c r="H93">
        <f t="shared" si="3"/>
        <v>4.1909999999999998</v>
      </c>
    </row>
    <row r="94" spans="1:23">
      <c r="A94" s="94" t="s">
        <v>614</v>
      </c>
      <c r="B94" s="91" t="s">
        <v>639</v>
      </c>
      <c r="C94">
        <v>24</v>
      </c>
      <c r="D94" t="s">
        <v>260</v>
      </c>
      <c r="E94">
        <v>0.59399999999999997</v>
      </c>
      <c r="G94">
        <v>1.4650000000000001</v>
      </c>
      <c r="H94">
        <f t="shared" si="3"/>
        <v>8.057500000000001</v>
      </c>
    </row>
    <row r="95" spans="1:23">
      <c r="A95" s="94" t="s">
        <v>640</v>
      </c>
      <c r="B95" s="106" t="s">
        <v>671</v>
      </c>
      <c r="C95">
        <v>24</v>
      </c>
      <c r="D95" t="s">
        <v>262</v>
      </c>
      <c r="E95">
        <v>0.54200000000000004</v>
      </c>
      <c r="G95">
        <v>1.327</v>
      </c>
      <c r="H95">
        <f t="shared" si="3"/>
        <v>7.2984999999999998</v>
      </c>
    </row>
    <row r="96" spans="1:23">
      <c r="A96" s="94" t="s">
        <v>642</v>
      </c>
      <c r="B96" s="106" t="s">
        <v>671</v>
      </c>
      <c r="C96">
        <v>24</v>
      </c>
      <c r="D96" t="s">
        <v>265</v>
      </c>
      <c r="E96">
        <v>0.59399999999999997</v>
      </c>
      <c r="G96">
        <v>1.464</v>
      </c>
      <c r="H96">
        <f t="shared" si="3"/>
        <v>8.0519999999999996</v>
      </c>
    </row>
    <row r="97" spans="1:8">
      <c r="A97" s="94" t="s">
        <v>643</v>
      </c>
      <c r="B97" s="97" t="s">
        <v>667</v>
      </c>
      <c r="C97">
        <v>24</v>
      </c>
      <c r="D97" t="s">
        <v>267</v>
      </c>
      <c r="E97">
        <v>0.34599999999999997</v>
      </c>
      <c r="G97">
        <v>0.81799999999999995</v>
      </c>
      <c r="H97">
        <f t="shared" si="3"/>
        <v>4.4989999999999997</v>
      </c>
    </row>
    <row r="98" spans="1:8" ht="16" thickBot="1">
      <c r="A98" s="94" t="s">
        <v>645</v>
      </c>
      <c r="B98" s="115" t="s">
        <v>671</v>
      </c>
      <c r="C98" s="36">
        <v>24</v>
      </c>
      <c r="D98" s="36" t="s">
        <v>269</v>
      </c>
      <c r="E98" s="36">
        <v>0.65300000000000002</v>
      </c>
      <c r="F98" s="36"/>
      <c r="G98" s="36">
        <v>1.617</v>
      </c>
      <c r="H98" s="36">
        <f t="shared" si="3"/>
        <v>8.8934999999999995</v>
      </c>
    </row>
    <row r="99" spans="1:8">
      <c r="A99" s="92" t="s">
        <v>647</v>
      </c>
      <c r="B99" s="116" t="s">
        <v>639</v>
      </c>
      <c r="C99">
        <v>0</v>
      </c>
      <c r="D99" t="s">
        <v>272</v>
      </c>
      <c r="E99">
        <v>0.76300000000000001</v>
      </c>
      <c r="G99">
        <v>1.9039999999999999</v>
      </c>
      <c r="H99">
        <f t="shared" si="3"/>
        <v>10.472</v>
      </c>
    </row>
    <row r="100" spans="1:8">
      <c r="A100" s="92" t="s">
        <v>650</v>
      </c>
      <c r="B100" s="101" t="s">
        <v>669</v>
      </c>
      <c r="C100">
        <v>0</v>
      </c>
      <c r="D100" t="s">
        <v>274</v>
      </c>
      <c r="E100">
        <v>0.75700000000000001</v>
      </c>
      <c r="G100">
        <v>1.887</v>
      </c>
      <c r="H100">
        <f t="shared" si="3"/>
        <v>10.378500000000001</v>
      </c>
    </row>
    <row r="101" spans="1:8">
      <c r="A101" s="92" t="s">
        <v>654</v>
      </c>
      <c r="B101" s="101" t="s">
        <v>669</v>
      </c>
      <c r="C101">
        <v>0</v>
      </c>
      <c r="D101" t="s">
        <v>276</v>
      </c>
      <c r="E101">
        <v>0.72199999999999998</v>
      </c>
      <c r="G101">
        <v>1.798</v>
      </c>
      <c r="H101">
        <f t="shared" si="3"/>
        <v>9.8889999999999993</v>
      </c>
    </row>
    <row r="102" spans="1:8">
      <c r="A102" s="102" t="s">
        <v>658</v>
      </c>
      <c r="B102" s="101" t="s">
        <v>669</v>
      </c>
      <c r="C102">
        <v>0</v>
      </c>
      <c r="D102" t="s">
        <v>279</v>
      </c>
      <c r="E102">
        <v>0.73199999999999998</v>
      </c>
      <c r="G102">
        <v>1.8220000000000001</v>
      </c>
      <c r="H102">
        <f t="shared" si="3"/>
        <v>10.021000000000001</v>
      </c>
    </row>
    <row r="103" spans="1:8">
      <c r="A103" s="92" t="s">
        <v>648</v>
      </c>
      <c r="B103" s="97" t="s">
        <v>667</v>
      </c>
      <c r="C103">
        <v>0</v>
      </c>
      <c r="D103" t="s">
        <v>282</v>
      </c>
      <c r="E103">
        <v>0.376</v>
      </c>
      <c r="G103">
        <v>0.89700000000000002</v>
      </c>
      <c r="H103">
        <f t="shared" si="3"/>
        <v>4.9335000000000004</v>
      </c>
    </row>
    <row r="104" spans="1:8">
      <c r="A104" s="92" t="s">
        <v>652</v>
      </c>
      <c r="B104" s="101" t="s">
        <v>673</v>
      </c>
      <c r="C104">
        <v>0</v>
      </c>
      <c r="D104" t="s">
        <v>284</v>
      </c>
      <c r="E104">
        <v>0.748</v>
      </c>
      <c r="G104">
        <v>1.8640000000000001</v>
      </c>
      <c r="H104">
        <f t="shared" si="3"/>
        <v>10.252000000000001</v>
      </c>
    </row>
    <row r="105" spans="1:8">
      <c r="A105" s="92" t="s">
        <v>616</v>
      </c>
      <c r="B105" s="97" t="s">
        <v>672</v>
      </c>
      <c r="C105">
        <v>0</v>
      </c>
      <c r="D105" t="s">
        <v>286</v>
      </c>
      <c r="E105">
        <v>0.69599999999999995</v>
      </c>
      <c r="G105">
        <v>1.73</v>
      </c>
      <c r="H105">
        <f t="shared" si="3"/>
        <v>9.5150000000000006</v>
      </c>
    </row>
    <row r="106" spans="1:8">
      <c r="A106" s="102" t="s">
        <v>618</v>
      </c>
      <c r="B106" s="97" t="s">
        <v>672</v>
      </c>
      <c r="C106">
        <v>0</v>
      </c>
      <c r="D106" t="s">
        <v>288</v>
      </c>
      <c r="E106">
        <v>0.59299999999999997</v>
      </c>
      <c r="G106">
        <v>1.4610000000000001</v>
      </c>
      <c r="H106">
        <f t="shared" si="3"/>
        <v>8.0355000000000008</v>
      </c>
    </row>
    <row r="107" spans="1:8">
      <c r="A107" s="92" t="s">
        <v>649</v>
      </c>
      <c r="B107" s="106" t="s">
        <v>674</v>
      </c>
      <c r="C107">
        <v>0</v>
      </c>
      <c r="D107" t="s">
        <v>291</v>
      </c>
      <c r="E107">
        <v>0.92</v>
      </c>
      <c r="F107" t="s">
        <v>310</v>
      </c>
      <c r="G107">
        <v>2.3119999999999998</v>
      </c>
      <c r="H107">
        <f t="shared" si="3"/>
        <v>12.715999999999999</v>
      </c>
    </row>
    <row r="108" spans="1:8">
      <c r="A108" s="92" t="s">
        <v>653</v>
      </c>
      <c r="B108" s="106" t="s">
        <v>674</v>
      </c>
      <c r="C108">
        <v>0</v>
      </c>
      <c r="D108" t="s">
        <v>293</v>
      </c>
      <c r="E108">
        <v>0.78200000000000003</v>
      </c>
      <c r="F108" t="s">
        <v>310</v>
      </c>
      <c r="G108">
        <v>1.952</v>
      </c>
      <c r="H108">
        <f t="shared" si="3"/>
        <v>10.736000000000001</v>
      </c>
    </row>
    <row r="109" spans="1:8">
      <c r="A109" s="100" t="s">
        <v>655</v>
      </c>
      <c r="B109" t="s">
        <v>105</v>
      </c>
      <c r="C109">
        <v>0</v>
      </c>
      <c r="D109" t="s">
        <v>295</v>
      </c>
      <c r="E109">
        <v>0.44800000000000001</v>
      </c>
      <c r="G109">
        <v>1.0840000000000001</v>
      </c>
      <c r="H109">
        <f t="shared" si="3"/>
        <v>5.9620000000000006</v>
      </c>
    </row>
    <row r="110" spans="1:8" ht="16" thickBot="1">
      <c r="A110" s="100" t="s">
        <v>655</v>
      </c>
      <c r="B110" s="117" t="s">
        <v>105</v>
      </c>
      <c r="C110" s="36">
        <v>0</v>
      </c>
      <c r="D110" s="36" t="s">
        <v>296</v>
      </c>
      <c r="E110" s="36">
        <v>0.42499999999999999</v>
      </c>
      <c r="F110" s="36"/>
      <c r="G110" s="36">
        <v>1.0229999999999999</v>
      </c>
      <c r="H110" s="36">
        <f t="shared" si="3"/>
        <v>5.6264999999999992</v>
      </c>
    </row>
    <row r="111" spans="1:8">
      <c r="A111" s="93" t="s">
        <v>647</v>
      </c>
      <c r="B111" s="116" t="s">
        <v>639</v>
      </c>
      <c r="C111">
        <v>6</v>
      </c>
      <c r="D111" t="s">
        <v>299</v>
      </c>
      <c r="E111">
        <v>0.72499999999999998</v>
      </c>
      <c r="G111">
        <v>1.804</v>
      </c>
      <c r="H111">
        <f t="shared" si="3"/>
        <v>9.9220000000000006</v>
      </c>
    </row>
    <row r="112" spans="1:8">
      <c r="A112" s="93" t="s">
        <v>650</v>
      </c>
      <c r="B112" s="101" t="s">
        <v>669</v>
      </c>
      <c r="C112">
        <v>6</v>
      </c>
      <c r="D112" t="s">
        <v>301</v>
      </c>
      <c r="E112">
        <v>0.82199999999999995</v>
      </c>
      <c r="F112" t="s">
        <v>310</v>
      </c>
      <c r="G112">
        <v>2.0569999999999999</v>
      </c>
      <c r="H112">
        <f t="shared" si="3"/>
        <v>11.313499999999999</v>
      </c>
    </row>
    <row r="113" spans="1:25">
      <c r="A113" s="93" t="s">
        <v>654</v>
      </c>
      <c r="B113" s="101" t="s">
        <v>669</v>
      </c>
      <c r="C113">
        <v>6</v>
      </c>
      <c r="D113" t="s">
        <v>303</v>
      </c>
      <c r="E113">
        <v>0.66600000000000004</v>
      </c>
      <c r="G113">
        <v>1.6519999999999999</v>
      </c>
      <c r="H113">
        <f t="shared" si="3"/>
        <v>9.0860000000000003</v>
      </c>
    </row>
    <row r="114" spans="1:25">
      <c r="A114" s="103" t="s">
        <v>658</v>
      </c>
      <c r="B114" s="101" t="s">
        <v>669</v>
      </c>
      <c r="C114">
        <v>6</v>
      </c>
      <c r="D114" t="s">
        <v>305</v>
      </c>
      <c r="E114">
        <v>0.65100000000000002</v>
      </c>
      <c r="G114">
        <v>1.6120000000000001</v>
      </c>
      <c r="H114">
        <f t="shared" si="3"/>
        <v>8.8659999999999997</v>
      </c>
      <c r="X114" s="1"/>
      <c r="Y114" s="1"/>
    </row>
    <row r="115" spans="1:25">
      <c r="A115" s="93" t="s">
        <v>648</v>
      </c>
      <c r="B115" s="97" t="s">
        <v>667</v>
      </c>
      <c r="C115">
        <v>6</v>
      </c>
      <c r="D115" t="s">
        <v>308</v>
      </c>
      <c r="E115">
        <v>0.48299999999999998</v>
      </c>
      <c r="G115">
        <v>1.1739999999999999</v>
      </c>
      <c r="H115">
        <f t="shared" si="3"/>
        <v>6.4569999999999999</v>
      </c>
    </row>
    <row r="116" spans="1:25">
      <c r="A116" s="93" t="s">
        <v>652</v>
      </c>
      <c r="B116" s="101" t="s">
        <v>673</v>
      </c>
      <c r="C116">
        <v>6</v>
      </c>
      <c r="D116" t="s">
        <v>311</v>
      </c>
      <c r="E116">
        <v>0.91900000000000004</v>
      </c>
      <c r="F116" t="s">
        <v>310</v>
      </c>
      <c r="G116">
        <v>2.3109999999999999</v>
      </c>
      <c r="H116">
        <f t="shared" si="3"/>
        <v>12.7105</v>
      </c>
    </row>
    <row r="117" spans="1:25">
      <c r="A117" s="93" t="s">
        <v>616</v>
      </c>
      <c r="B117" s="97" t="s">
        <v>672</v>
      </c>
      <c r="C117">
        <v>6</v>
      </c>
      <c r="D117" t="s">
        <v>313</v>
      </c>
      <c r="E117">
        <v>0.95499999999999996</v>
      </c>
      <c r="F117" t="s">
        <v>310</v>
      </c>
      <c r="G117">
        <v>2.403</v>
      </c>
      <c r="H117">
        <f t="shared" si="3"/>
        <v>13.2165</v>
      </c>
    </row>
    <row r="118" spans="1:25">
      <c r="A118" s="103" t="s">
        <v>618</v>
      </c>
      <c r="B118" s="97" t="s">
        <v>672</v>
      </c>
      <c r="C118">
        <v>6</v>
      </c>
      <c r="D118" t="s">
        <v>315</v>
      </c>
      <c r="E118">
        <v>0.74</v>
      </c>
      <c r="G118">
        <v>1.8440000000000001</v>
      </c>
      <c r="H118">
        <f t="shared" si="3"/>
        <v>10.142000000000001</v>
      </c>
    </row>
    <row r="119" spans="1:25">
      <c r="A119" s="93" t="s">
        <v>649</v>
      </c>
      <c r="B119" s="106" t="s">
        <v>674</v>
      </c>
      <c r="C119">
        <v>6</v>
      </c>
      <c r="D119" t="s">
        <v>318</v>
      </c>
      <c r="E119">
        <v>0.67100000000000004</v>
      </c>
      <c r="G119">
        <v>1.6639999999999999</v>
      </c>
      <c r="H119">
        <f t="shared" si="3"/>
        <v>9.1519999999999992</v>
      </c>
    </row>
    <row r="120" spans="1:25">
      <c r="A120" s="93" t="s">
        <v>653</v>
      </c>
      <c r="B120" s="106" t="s">
        <v>674</v>
      </c>
      <c r="C120">
        <v>6</v>
      </c>
      <c r="D120" t="s">
        <v>320</v>
      </c>
      <c r="E120">
        <v>0.72399999999999998</v>
      </c>
      <c r="G120">
        <v>1.8009999999999999</v>
      </c>
      <c r="H120">
        <f t="shared" si="3"/>
        <v>9.9055</v>
      </c>
    </row>
    <row r="121" spans="1:25">
      <c r="A121" s="100" t="s">
        <v>656</v>
      </c>
      <c r="B121" t="s">
        <v>322</v>
      </c>
      <c r="C121">
        <v>6</v>
      </c>
      <c r="D121" t="s">
        <v>322</v>
      </c>
      <c r="E121">
        <v>0.42699999999999999</v>
      </c>
      <c r="G121">
        <v>1.028</v>
      </c>
      <c r="H121">
        <f t="shared" si="3"/>
        <v>5.6539999999999999</v>
      </c>
    </row>
    <row r="122" spans="1:25" ht="16" thickBot="1">
      <c r="A122" s="100" t="s">
        <v>656</v>
      </c>
      <c r="B122" s="117" t="s">
        <v>324</v>
      </c>
      <c r="C122" s="36">
        <v>6</v>
      </c>
      <c r="D122" s="36" t="s">
        <v>324</v>
      </c>
      <c r="E122" s="36">
        <v>0.437</v>
      </c>
      <c r="F122" s="36"/>
      <c r="G122" s="36">
        <v>1.0549999999999999</v>
      </c>
      <c r="H122" s="36">
        <f t="shared" si="3"/>
        <v>5.8024999999999993</v>
      </c>
    </row>
    <row r="123" spans="1:25">
      <c r="A123" s="94" t="s">
        <v>647</v>
      </c>
      <c r="B123" s="116" t="s">
        <v>639</v>
      </c>
      <c r="C123">
        <v>24</v>
      </c>
      <c r="D123" t="s">
        <v>326</v>
      </c>
      <c r="E123">
        <v>0.624</v>
      </c>
      <c r="G123">
        <v>1.542</v>
      </c>
      <c r="H123">
        <f t="shared" si="3"/>
        <v>8.4809999999999999</v>
      </c>
    </row>
    <row r="124" spans="1:25">
      <c r="A124" s="94" t="s">
        <v>650</v>
      </c>
      <c r="B124" s="101" t="s">
        <v>669</v>
      </c>
      <c r="C124">
        <v>24</v>
      </c>
      <c r="D124" t="s">
        <v>328</v>
      </c>
      <c r="E124">
        <v>0.53600000000000003</v>
      </c>
      <c r="G124">
        <v>1.3120000000000001</v>
      </c>
      <c r="H124">
        <f t="shared" si="3"/>
        <v>7.2160000000000002</v>
      </c>
    </row>
    <row r="125" spans="1:25">
      <c r="A125" s="94" t="s">
        <v>654</v>
      </c>
      <c r="B125" s="101" t="s">
        <v>669</v>
      </c>
      <c r="C125">
        <v>24</v>
      </c>
      <c r="D125" t="s">
        <v>330</v>
      </c>
      <c r="E125">
        <v>0.54300000000000004</v>
      </c>
      <c r="G125">
        <v>1.33</v>
      </c>
      <c r="H125">
        <f t="shared" si="3"/>
        <v>7.3150000000000004</v>
      </c>
    </row>
    <row r="126" spans="1:25">
      <c r="A126" s="104" t="s">
        <v>658</v>
      </c>
      <c r="B126" s="101" t="s">
        <v>669</v>
      </c>
      <c r="C126">
        <v>24</v>
      </c>
      <c r="D126" t="s">
        <v>332</v>
      </c>
      <c r="E126">
        <v>0.61599999999999999</v>
      </c>
      <c r="G126">
        <v>1.52</v>
      </c>
      <c r="H126">
        <f t="shared" si="3"/>
        <v>8.36</v>
      </c>
    </row>
    <row r="127" spans="1:25">
      <c r="A127" s="94" t="s">
        <v>648</v>
      </c>
      <c r="B127" s="97" t="s">
        <v>667</v>
      </c>
      <c r="C127">
        <v>24</v>
      </c>
      <c r="D127" t="s">
        <v>334</v>
      </c>
      <c r="E127">
        <v>0.33800000000000002</v>
      </c>
      <c r="G127">
        <v>0.79800000000000004</v>
      </c>
      <c r="H127">
        <f t="shared" si="3"/>
        <v>4.3890000000000002</v>
      </c>
    </row>
    <row r="128" spans="1:25">
      <c r="A128" s="94" t="s">
        <v>652</v>
      </c>
      <c r="B128" s="101" t="s">
        <v>673</v>
      </c>
      <c r="C128">
        <v>24</v>
      </c>
      <c r="D128" t="s">
        <v>336</v>
      </c>
      <c r="E128">
        <v>0.66600000000000004</v>
      </c>
      <c r="G128">
        <v>1.65</v>
      </c>
      <c r="H128">
        <f t="shared" si="3"/>
        <v>9.0749999999999993</v>
      </c>
      <c r="X128" s="1"/>
      <c r="Y128" s="1"/>
    </row>
    <row r="129" spans="1:8">
      <c r="A129" s="94" t="s">
        <v>616</v>
      </c>
      <c r="B129" s="97" t="s">
        <v>672</v>
      </c>
      <c r="C129">
        <v>24</v>
      </c>
      <c r="D129" t="s">
        <v>338</v>
      </c>
      <c r="E129">
        <v>0.61099999999999999</v>
      </c>
      <c r="G129">
        <v>1.508</v>
      </c>
      <c r="H129">
        <f t="shared" si="3"/>
        <v>8.2940000000000005</v>
      </c>
    </row>
    <row r="130" spans="1:8">
      <c r="A130" s="104" t="s">
        <v>618</v>
      </c>
      <c r="B130" s="97" t="s">
        <v>672</v>
      </c>
      <c r="C130">
        <v>24</v>
      </c>
      <c r="D130" t="s">
        <v>340</v>
      </c>
      <c r="E130">
        <v>0.60299999999999998</v>
      </c>
      <c r="G130">
        <v>1.4870000000000001</v>
      </c>
      <c r="H130">
        <f t="shared" si="3"/>
        <v>8.1784999999999997</v>
      </c>
    </row>
    <row r="131" spans="1:8">
      <c r="A131" s="94" t="s">
        <v>620</v>
      </c>
      <c r="B131" s="97" t="s">
        <v>672</v>
      </c>
      <c r="C131">
        <v>24</v>
      </c>
      <c r="D131" t="s">
        <v>677</v>
      </c>
      <c r="E131">
        <v>0.61599999999999999</v>
      </c>
      <c r="G131">
        <v>1.5209999999999999</v>
      </c>
      <c r="H131">
        <f t="shared" si="3"/>
        <v>8.365499999999999</v>
      </c>
    </row>
    <row r="132" spans="1:8">
      <c r="A132" s="94" t="s">
        <v>622</v>
      </c>
      <c r="B132" s="101" t="s">
        <v>673</v>
      </c>
      <c r="C132">
        <v>24</v>
      </c>
      <c r="D132" t="s">
        <v>678</v>
      </c>
      <c r="E132">
        <v>0.621</v>
      </c>
      <c r="G132">
        <v>1.5329999999999999</v>
      </c>
      <c r="H132">
        <f t="shared" ref="H132:H138" si="10">G132*5.5</f>
        <v>8.4314999999999998</v>
      </c>
    </row>
    <row r="133" spans="1:8">
      <c r="A133" s="94" t="s">
        <v>644</v>
      </c>
      <c r="B133" s="101" t="s">
        <v>673</v>
      </c>
      <c r="C133">
        <v>24</v>
      </c>
      <c r="D133" t="s">
        <v>679</v>
      </c>
      <c r="E133">
        <v>0.58599999999999997</v>
      </c>
      <c r="G133">
        <v>1.444</v>
      </c>
      <c r="H133">
        <f t="shared" si="10"/>
        <v>7.9420000000000002</v>
      </c>
    </row>
    <row r="134" spans="1:8">
      <c r="A134" s="94" t="s">
        <v>646</v>
      </c>
      <c r="B134" s="106" t="s">
        <v>674</v>
      </c>
      <c r="C134">
        <v>24</v>
      </c>
      <c r="D134" t="s">
        <v>680</v>
      </c>
      <c r="E134">
        <v>0.61799999999999999</v>
      </c>
      <c r="G134">
        <v>1.5249999999999999</v>
      </c>
      <c r="H134">
        <f t="shared" si="10"/>
        <v>8.3874999999999993</v>
      </c>
    </row>
    <row r="135" spans="1:8">
      <c r="A135" s="94" t="s">
        <v>649</v>
      </c>
      <c r="B135" s="106" t="s">
        <v>674</v>
      </c>
      <c r="C135">
        <v>24</v>
      </c>
      <c r="D135" t="s">
        <v>681</v>
      </c>
      <c r="E135">
        <v>0.58799999999999997</v>
      </c>
      <c r="G135">
        <v>1.448</v>
      </c>
      <c r="H135">
        <f t="shared" si="10"/>
        <v>7.9639999999999995</v>
      </c>
    </row>
    <row r="136" spans="1:8">
      <c r="A136" s="94" t="s">
        <v>653</v>
      </c>
      <c r="B136" s="106" t="s">
        <v>674</v>
      </c>
      <c r="C136">
        <v>24</v>
      </c>
      <c r="D136" t="s">
        <v>682</v>
      </c>
      <c r="E136">
        <v>0.56399999999999995</v>
      </c>
      <c r="G136">
        <v>1.3859999999999999</v>
      </c>
      <c r="H136">
        <f t="shared" si="10"/>
        <v>7.6229999999999993</v>
      </c>
    </row>
    <row r="137" spans="1:8">
      <c r="A137" s="100" t="s">
        <v>657</v>
      </c>
      <c r="D137" t="s">
        <v>683</v>
      </c>
      <c r="E137">
        <v>0.80800000000000005</v>
      </c>
      <c r="F137" t="s">
        <v>310</v>
      </c>
      <c r="G137">
        <v>2.02</v>
      </c>
      <c r="H137">
        <f t="shared" si="10"/>
        <v>11.11</v>
      </c>
    </row>
    <row r="138" spans="1:8">
      <c r="A138" s="100" t="s">
        <v>657</v>
      </c>
      <c r="D138" t="s">
        <v>684</v>
      </c>
      <c r="E138">
        <v>0.81</v>
      </c>
      <c r="F138" t="s">
        <v>310</v>
      </c>
      <c r="G138">
        <v>2.0249999999999999</v>
      </c>
      <c r="H138">
        <f t="shared" si="10"/>
        <v>11.137499999999999</v>
      </c>
    </row>
    <row r="139" spans="1:8">
      <c r="A139" t="s">
        <v>4</v>
      </c>
    </row>
    <row r="140" spans="1:8">
      <c r="A140" t="s">
        <v>685</v>
      </c>
    </row>
    <row r="141" spans="1:8">
      <c r="A141" t="s">
        <v>345</v>
      </c>
    </row>
  </sheetData>
  <mergeCells count="5">
    <mergeCell ref="L63:N63"/>
    <mergeCell ref="O63:Q63"/>
    <mergeCell ref="R63:T63"/>
    <mergeCell ref="M65:O65"/>
    <mergeCell ref="R65:U65"/>
  </mergeCell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B0BA2-98A6-4B42-9BF1-D37C71CEDD16}">
  <dimension ref="A1:AE117"/>
  <sheetViews>
    <sheetView topLeftCell="A59" zoomScale="177" workbookViewId="0">
      <selection activeCell="X69" sqref="X69"/>
    </sheetView>
  </sheetViews>
  <sheetFormatPr baseColWidth="10" defaultColWidth="8.83203125" defaultRowHeight="15"/>
  <cols>
    <col min="2" max="2" width="11.83203125" customWidth="1"/>
  </cols>
  <sheetData>
    <row r="1" spans="6:27">
      <c r="F1" t="s">
        <v>0</v>
      </c>
    </row>
    <row r="2" spans="6:27">
      <c r="F2" t="s">
        <v>1</v>
      </c>
    </row>
    <row r="4" spans="6:27">
      <c r="F4" t="s">
        <v>2</v>
      </c>
    </row>
    <row r="6" spans="6:27">
      <c r="F6" t="s">
        <v>3</v>
      </c>
    </row>
    <row r="7" spans="6:27">
      <c r="F7" t="s">
        <v>4</v>
      </c>
    </row>
    <row r="8" spans="6:27">
      <c r="F8" t="s">
        <v>5</v>
      </c>
      <c r="G8" t="s">
        <v>6</v>
      </c>
      <c r="H8">
        <v>0.3</v>
      </c>
      <c r="I8" t="s">
        <v>8</v>
      </c>
      <c r="J8" t="s">
        <v>9</v>
      </c>
      <c r="K8" t="s">
        <v>10</v>
      </c>
      <c r="L8" t="s">
        <v>11</v>
      </c>
      <c r="M8" t="b">
        <v>0</v>
      </c>
      <c r="N8">
        <v>1</v>
      </c>
      <c r="T8">
        <v>1</v>
      </c>
      <c r="U8">
        <v>520</v>
      </c>
      <c r="V8">
        <v>1</v>
      </c>
      <c r="W8">
        <v>12</v>
      </c>
      <c r="X8">
        <v>96</v>
      </c>
      <c r="Y8">
        <v>1</v>
      </c>
      <c r="Z8">
        <v>8</v>
      </c>
      <c r="AA8" t="s">
        <v>12</v>
      </c>
    </row>
    <row r="9" spans="6:27">
      <c r="F9">
        <v>24.3</v>
      </c>
      <c r="G9">
        <v>0.83745000000000003</v>
      </c>
      <c r="H9">
        <v>0.61224999999999996</v>
      </c>
      <c r="I9">
        <v>0.51885000000000003</v>
      </c>
      <c r="J9">
        <v>0.55574999999999997</v>
      </c>
      <c r="K9">
        <v>0.61675000000000002</v>
      </c>
      <c r="L9">
        <v>0.43195</v>
      </c>
      <c r="M9">
        <v>0.47875000000000001</v>
      </c>
      <c r="N9">
        <v>0.22585</v>
      </c>
      <c r="O9">
        <v>0.30145</v>
      </c>
      <c r="P9">
        <v>3.2499999999999999E-3</v>
      </c>
      <c r="Q9">
        <v>3.15E-3</v>
      </c>
      <c r="R9">
        <v>0.75505</v>
      </c>
    </row>
    <row r="10" spans="6:27">
      <c r="G10">
        <v>0.61345000000000005</v>
      </c>
      <c r="H10">
        <v>0.31355</v>
      </c>
      <c r="I10">
        <v>0.46965000000000001</v>
      </c>
      <c r="J10">
        <v>0.98345000000000005</v>
      </c>
      <c r="K10">
        <v>0.20535</v>
      </c>
      <c r="L10">
        <v>0.54515000000000002</v>
      </c>
      <c r="M10">
        <v>0.53174999999999994</v>
      </c>
      <c r="N10">
        <v>0.19505</v>
      </c>
      <c r="O10">
        <v>0.15845000000000001</v>
      </c>
      <c r="P10">
        <v>3.2499999999999999E-3</v>
      </c>
      <c r="Q10">
        <v>3.0500000000000002E-3</v>
      </c>
      <c r="R10">
        <v>0.58445000000000003</v>
      </c>
    </row>
    <row r="11" spans="6:27">
      <c r="G11">
        <v>0.41565000000000002</v>
      </c>
      <c r="H11">
        <v>0.27625</v>
      </c>
      <c r="I11">
        <v>0.29775000000000001</v>
      </c>
      <c r="J11">
        <v>0.56135000000000002</v>
      </c>
      <c r="K11">
        <v>0.22395000000000001</v>
      </c>
      <c r="L11">
        <v>0.23394999999999999</v>
      </c>
      <c r="M11">
        <v>0.47994999999999999</v>
      </c>
      <c r="N11">
        <v>0.18715000000000001</v>
      </c>
      <c r="O11">
        <v>0.25824999999999998</v>
      </c>
      <c r="P11">
        <v>4.45E-3</v>
      </c>
      <c r="Q11">
        <v>4.2500000000000003E-3</v>
      </c>
      <c r="R11">
        <v>0.40134999999999998</v>
      </c>
    </row>
    <row r="12" spans="6:27">
      <c r="G12">
        <v>0.32355</v>
      </c>
      <c r="H12">
        <v>0.61834999999999996</v>
      </c>
      <c r="I12">
        <v>0.56674999999999998</v>
      </c>
      <c r="J12">
        <v>0.59094999999999998</v>
      </c>
      <c r="K12">
        <v>0.57304999999999995</v>
      </c>
      <c r="L12">
        <v>0.42885000000000001</v>
      </c>
      <c r="M12">
        <v>0.47494999999999998</v>
      </c>
      <c r="N12">
        <v>0.21085000000000001</v>
      </c>
      <c r="O12">
        <v>0.22894999999999999</v>
      </c>
      <c r="P12">
        <v>3.15E-3</v>
      </c>
      <c r="Q12">
        <v>3.4499999999999999E-3</v>
      </c>
      <c r="R12">
        <v>0.30175000000000002</v>
      </c>
    </row>
    <row r="13" spans="6:27">
      <c r="G13">
        <v>0.21554999999999999</v>
      </c>
      <c r="H13">
        <v>0.57164999999999999</v>
      </c>
      <c r="I13">
        <v>0.29954999999999998</v>
      </c>
      <c r="J13">
        <v>0.57155</v>
      </c>
      <c r="K13">
        <v>0.50255000000000005</v>
      </c>
      <c r="L13">
        <v>0.21165</v>
      </c>
      <c r="M13">
        <v>0.45445000000000002</v>
      </c>
      <c r="N13">
        <v>0.57625000000000004</v>
      </c>
      <c r="O13">
        <v>0.48544999999999999</v>
      </c>
      <c r="P13">
        <v>3.4499999999999999E-3</v>
      </c>
      <c r="Q13">
        <v>4.0499999999999998E-3</v>
      </c>
      <c r="R13">
        <v>0.20874999999999999</v>
      </c>
    </row>
    <row r="14" spans="6:27">
      <c r="G14">
        <v>0.16435</v>
      </c>
      <c r="H14">
        <v>0.47165000000000001</v>
      </c>
      <c r="I14">
        <v>0.55884999999999996</v>
      </c>
      <c r="J14">
        <v>0.58414999999999995</v>
      </c>
      <c r="K14">
        <v>0.34205000000000002</v>
      </c>
      <c r="L14">
        <v>0.43085000000000001</v>
      </c>
      <c r="M14">
        <v>0.48325000000000001</v>
      </c>
      <c r="N14">
        <v>0.43375000000000002</v>
      </c>
      <c r="O14">
        <v>0.64754999999999996</v>
      </c>
      <c r="P14">
        <v>3.7499999999999999E-3</v>
      </c>
      <c r="Q14">
        <v>3.2499999999999999E-3</v>
      </c>
      <c r="R14">
        <v>0.15475</v>
      </c>
    </row>
    <row r="15" spans="6:27">
      <c r="G15">
        <v>0.11165</v>
      </c>
      <c r="H15">
        <v>0.52834999999999999</v>
      </c>
      <c r="I15">
        <v>0.63324999999999998</v>
      </c>
      <c r="J15">
        <v>0.43304999999999999</v>
      </c>
      <c r="K15">
        <v>0.45374999999999999</v>
      </c>
      <c r="L15">
        <v>0.55615000000000003</v>
      </c>
      <c r="M15">
        <v>-4.4999999999999999E-4</v>
      </c>
      <c r="N15">
        <v>0.36404999999999998</v>
      </c>
      <c r="O15">
        <v>0.79844999999999999</v>
      </c>
      <c r="P15">
        <v>3.3500000000000001E-3</v>
      </c>
      <c r="Q15">
        <v>2.2499999999999998E-3</v>
      </c>
      <c r="R15">
        <v>0.10505</v>
      </c>
    </row>
    <row r="16" spans="6:27">
      <c r="G16">
        <v>1.4999999999999999E-4</v>
      </c>
      <c r="H16">
        <v>0.51234999999999997</v>
      </c>
      <c r="I16">
        <v>0.62605</v>
      </c>
      <c r="J16">
        <v>0.42175000000000001</v>
      </c>
      <c r="K16">
        <v>0.40694999999999998</v>
      </c>
      <c r="L16">
        <v>0.54554999999999998</v>
      </c>
      <c r="M16">
        <v>1.4999999999999999E-4</v>
      </c>
      <c r="N16">
        <v>0.38135000000000002</v>
      </c>
      <c r="O16">
        <v>0.81625000000000003</v>
      </c>
      <c r="P16">
        <v>3.7499999999999999E-3</v>
      </c>
      <c r="Q16">
        <v>4.0499999999999998E-3</v>
      </c>
      <c r="R16">
        <v>-1.4999999999999999E-4</v>
      </c>
    </row>
    <row r="18" spans="6:8">
      <c r="F18" t="s">
        <v>4</v>
      </c>
    </row>
    <row r="19" spans="6:8">
      <c r="F19" t="s">
        <v>103</v>
      </c>
      <c r="G19" t="s">
        <v>104</v>
      </c>
      <c r="H19">
        <v>0</v>
      </c>
    </row>
    <row r="21" spans="6:8">
      <c r="F21" t="s">
        <v>105</v>
      </c>
    </row>
    <row r="23" spans="6:8">
      <c r="F23" t="s">
        <v>105</v>
      </c>
    </row>
    <row r="25" spans="6:8">
      <c r="F25" t="s">
        <v>4</v>
      </c>
    </row>
    <row r="26" spans="6:8">
      <c r="F26" t="s">
        <v>103</v>
      </c>
      <c r="G26" t="s">
        <v>106</v>
      </c>
      <c r="H26">
        <v>0</v>
      </c>
    </row>
    <row r="28" spans="6:8">
      <c r="F28" t="s">
        <v>105</v>
      </c>
    </row>
    <row r="30" spans="6:8">
      <c r="F30" t="s">
        <v>105</v>
      </c>
    </row>
    <row r="32" spans="6:8">
      <c r="F32" t="s">
        <v>4</v>
      </c>
    </row>
    <row r="33" spans="6:31">
      <c r="F33" t="s">
        <v>103</v>
      </c>
      <c r="G33" t="s">
        <v>107</v>
      </c>
      <c r="H33">
        <v>0</v>
      </c>
    </row>
    <row r="35" spans="6:31">
      <c r="F35" t="s">
        <v>105</v>
      </c>
    </row>
    <row r="37" spans="6:31">
      <c r="F37" t="s">
        <v>105</v>
      </c>
    </row>
    <row r="39" spans="6:31">
      <c r="F39" t="s">
        <v>4</v>
      </c>
    </row>
    <row r="40" spans="6:31" ht="16" thickBot="1">
      <c r="F40" t="s">
        <v>103</v>
      </c>
      <c r="G40" t="s">
        <v>108</v>
      </c>
      <c r="H40">
        <v>0</v>
      </c>
      <c r="AD40" s="89" t="s">
        <v>637</v>
      </c>
      <c r="AE40" s="89" t="s">
        <v>638</v>
      </c>
    </row>
    <row r="41" spans="6:31">
      <c r="F41" t="s">
        <v>109</v>
      </c>
      <c r="G41">
        <v>2</v>
      </c>
      <c r="H41">
        <v>2.1030000000000002</v>
      </c>
      <c r="I41" t="s">
        <v>112</v>
      </c>
      <c r="J41">
        <v>0.83699999999999997</v>
      </c>
      <c r="K41">
        <v>0.79600000000000004</v>
      </c>
      <c r="L41">
        <v>5.8000000000000003E-2</v>
      </c>
      <c r="M41">
        <v>7.3</v>
      </c>
      <c r="AD41" s="90" t="s">
        <v>608</v>
      </c>
      <c r="AE41" s="91" t="s">
        <v>639</v>
      </c>
    </row>
    <row r="42" spans="6:31">
      <c r="H42">
        <v>1.893</v>
      </c>
      <c r="I42" t="s">
        <v>118</v>
      </c>
      <c r="J42">
        <v>0.755</v>
      </c>
      <c r="AD42" s="96" t="s">
        <v>610</v>
      </c>
      <c r="AE42" s="97" t="s">
        <v>641</v>
      </c>
    </row>
    <row r="43" spans="6:31">
      <c r="F43" t="s">
        <v>120</v>
      </c>
      <c r="G43">
        <v>1.5</v>
      </c>
      <c r="H43">
        <v>1.5309999999999999</v>
      </c>
      <c r="I43" t="s">
        <v>123</v>
      </c>
      <c r="J43">
        <v>0.61299999999999999</v>
      </c>
      <c r="K43">
        <v>0.59899999999999998</v>
      </c>
      <c r="L43">
        <v>2.1000000000000001E-2</v>
      </c>
      <c r="M43">
        <v>3.4</v>
      </c>
      <c r="AD43" s="98" t="s">
        <v>612</v>
      </c>
      <c r="AE43" s="97" t="s">
        <v>641</v>
      </c>
    </row>
    <row r="44" spans="6:31">
      <c r="H44">
        <v>1.4570000000000001</v>
      </c>
      <c r="I44" t="s">
        <v>129</v>
      </c>
      <c r="J44">
        <v>0.58399999999999996</v>
      </c>
      <c r="AD44" s="98" t="s">
        <v>614</v>
      </c>
      <c r="AE44" s="99" t="s">
        <v>639</v>
      </c>
    </row>
    <row r="45" spans="6:31">
      <c r="F45" t="s">
        <v>131</v>
      </c>
      <c r="G45">
        <v>1</v>
      </c>
      <c r="H45">
        <v>1.0249999999999999</v>
      </c>
      <c r="I45" t="s">
        <v>134</v>
      </c>
      <c r="J45">
        <v>0.41599999999999998</v>
      </c>
      <c r="K45">
        <v>0.40899999999999997</v>
      </c>
      <c r="L45">
        <v>0.01</v>
      </c>
      <c r="M45">
        <v>2.5</v>
      </c>
      <c r="AD45" s="96" t="s">
        <v>647</v>
      </c>
      <c r="AE45" s="99" t="s">
        <v>639</v>
      </c>
    </row>
    <row r="46" spans="6:31">
      <c r="H46">
        <v>0.98899999999999999</v>
      </c>
      <c r="I46" t="s">
        <v>140</v>
      </c>
      <c r="J46">
        <v>0.40100000000000002</v>
      </c>
      <c r="AD46" s="96" t="s">
        <v>650</v>
      </c>
      <c r="AE46" s="101" t="s">
        <v>651</v>
      </c>
    </row>
    <row r="47" spans="6:31">
      <c r="F47" t="s">
        <v>142</v>
      </c>
      <c r="G47">
        <v>0.75</v>
      </c>
      <c r="H47">
        <v>0.79</v>
      </c>
      <c r="I47" t="s">
        <v>145</v>
      </c>
      <c r="J47">
        <v>0.32400000000000001</v>
      </c>
      <c r="K47">
        <v>0.313</v>
      </c>
      <c r="L47">
        <v>1.4999999999999999E-2</v>
      </c>
      <c r="M47">
        <v>4.9000000000000004</v>
      </c>
      <c r="AD47" s="98" t="s">
        <v>654</v>
      </c>
      <c r="AE47" s="101" t="s">
        <v>651</v>
      </c>
    </row>
    <row r="48" spans="6:31">
      <c r="H48">
        <v>0.73399999999999999</v>
      </c>
      <c r="I48" t="s">
        <v>151</v>
      </c>
      <c r="J48">
        <v>0.30199999999999999</v>
      </c>
      <c r="AD48" s="98" t="s">
        <v>658</v>
      </c>
      <c r="AE48" s="101" t="s">
        <v>651</v>
      </c>
    </row>
    <row r="49" spans="6:31">
      <c r="F49" t="s">
        <v>153</v>
      </c>
      <c r="G49">
        <v>0.5</v>
      </c>
      <c r="H49">
        <v>0.51400000000000001</v>
      </c>
      <c r="I49" t="s">
        <v>156</v>
      </c>
      <c r="J49">
        <v>0.216</v>
      </c>
      <c r="K49">
        <v>0.21199999999999999</v>
      </c>
      <c r="L49">
        <v>5.0000000000000001E-3</v>
      </c>
      <c r="M49">
        <v>2.2999999999999998</v>
      </c>
      <c r="AD49" s="96" t="s">
        <v>640</v>
      </c>
      <c r="AE49" s="106" t="s">
        <v>659</v>
      </c>
    </row>
    <row r="50" spans="6:31">
      <c r="H50">
        <v>0.496</v>
      </c>
      <c r="I50" t="s">
        <v>162</v>
      </c>
      <c r="J50">
        <v>0.20899999999999999</v>
      </c>
      <c r="AD50" s="96" t="s">
        <v>642</v>
      </c>
      <c r="AE50" s="106" t="s">
        <v>659</v>
      </c>
    </row>
    <row r="51" spans="6:31">
      <c r="F51" t="s">
        <v>164</v>
      </c>
      <c r="G51">
        <v>0.375</v>
      </c>
      <c r="H51">
        <v>0.38300000000000001</v>
      </c>
      <c r="I51" t="s">
        <v>167</v>
      </c>
      <c r="J51">
        <v>0.16400000000000001</v>
      </c>
      <c r="K51">
        <v>0.16</v>
      </c>
      <c r="L51">
        <v>7.0000000000000001E-3</v>
      </c>
      <c r="M51">
        <v>4.3</v>
      </c>
      <c r="O51" s="1" t="s">
        <v>686</v>
      </c>
      <c r="P51" t="s">
        <v>687</v>
      </c>
      <c r="R51" s="1" t="s">
        <v>606</v>
      </c>
      <c r="AD51" s="98" t="s">
        <v>643</v>
      </c>
      <c r="AE51" s="97" t="s">
        <v>641</v>
      </c>
    </row>
    <row r="52" spans="6:31">
      <c r="H52">
        <v>0.35799999999999998</v>
      </c>
      <c r="I52" t="s">
        <v>173</v>
      </c>
      <c r="J52">
        <v>0.155</v>
      </c>
      <c r="P52" s="1">
        <v>1</v>
      </c>
      <c r="Q52" s="1">
        <v>2</v>
      </c>
      <c r="R52" s="56">
        <v>3</v>
      </c>
      <c r="S52" s="56">
        <v>4</v>
      </c>
      <c r="T52" s="56">
        <v>5</v>
      </c>
      <c r="U52" s="56">
        <v>6</v>
      </c>
      <c r="V52" s="56">
        <v>7</v>
      </c>
      <c r="W52" s="56">
        <v>8</v>
      </c>
      <c r="X52" s="56">
        <v>9</v>
      </c>
      <c r="Y52" s="56">
        <v>10</v>
      </c>
      <c r="Z52" s="56">
        <v>11</v>
      </c>
      <c r="AA52" s="56">
        <v>12</v>
      </c>
      <c r="AD52" s="98" t="s">
        <v>645</v>
      </c>
      <c r="AE52" s="106" t="s">
        <v>659</v>
      </c>
    </row>
    <row r="53" spans="6:31" ht="16" thickBot="1">
      <c r="F53" t="s">
        <v>175</v>
      </c>
      <c r="G53">
        <v>0.25</v>
      </c>
      <c r="H53">
        <v>0.248</v>
      </c>
      <c r="I53" t="s">
        <v>178</v>
      </c>
      <c r="J53">
        <v>0.112</v>
      </c>
      <c r="K53">
        <v>0.108</v>
      </c>
      <c r="L53">
        <v>5.0000000000000001E-3</v>
      </c>
      <c r="M53">
        <v>4.3</v>
      </c>
      <c r="P53" s="57">
        <v>2</v>
      </c>
      <c r="Q53" s="118" t="s">
        <v>608</v>
      </c>
      <c r="R53" s="118" t="s">
        <v>640</v>
      </c>
      <c r="S53" s="118" t="s">
        <v>620</v>
      </c>
      <c r="T53" s="119" t="s">
        <v>608</v>
      </c>
      <c r="U53" s="120" t="s">
        <v>640</v>
      </c>
      <c r="V53" s="119" t="s">
        <v>620</v>
      </c>
      <c r="W53" s="107"/>
      <c r="X53" s="107"/>
      <c r="Y53" s="107"/>
      <c r="Z53" s="107"/>
      <c r="AA53" s="57">
        <v>2</v>
      </c>
      <c r="AD53" s="108" t="s">
        <v>648</v>
      </c>
      <c r="AE53" s="109" t="s">
        <v>641</v>
      </c>
    </row>
    <row r="54" spans="6:31">
      <c r="H54">
        <v>0.23100000000000001</v>
      </c>
      <c r="I54" t="s">
        <v>184</v>
      </c>
      <c r="J54">
        <v>0.105</v>
      </c>
      <c r="O54" s="56" t="s">
        <v>609</v>
      </c>
      <c r="P54" s="57">
        <v>1.5</v>
      </c>
      <c r="Q54" s="118" t="s">
        <v>610</v>
      </c>
      <c r="R54" s="118" t="s">
        <v>642</v>
      </c>
      <c r="S54" s="118" t="s">
        <v>622</v>
      </c>
      <c r="T54" s="119" t="s">
        <v>610</v>
      </c>
      <c r="U54" s="120" t="s">
        <v>642</v>
      </c>
      <c r="V54" s="119" t="s">
        <v>622</v>
      </c>
      <c r="W54" s="107"/>
      <c r="X54" s="107"/>
      <c r="Y54" s="107"/>
      <c r="Z54" s="107"/>
      <c r="AA54" s="57">
        <v>1.5</v>
      </c>
      <c r="AD54" s="90" t="s">
        <v>652</v>
      </c>
      <c r="AE54" s="110" t="s">
        <v>668</v>
      </c>
    </row>
    <row r="55" spans="6:31">
      <c r="O55" s="56" t="s">
        <v>611</v>
      </c>
      <c r="P55" s="57">
        <v>1</v>
      </c>
      <c r="Q55" s="118" t="s">
        <v>612</v>
      </c>
      <c r="R55" s="118" t="s">
        <v>643</v>
      </c>
      <c r="S55" s="118" t="s">
        <v>644</v>
      </c>
      <c r="T55" s="119" t="s">
        <v>612</v>
      </c>
      <c r="U55" s="119" t="s">
        <v>643</v>
      </c>
      <c r="V55" s="119" t="s">
        <v>644</v>
      </c>
      <c r="W55" s="107"/>
      <c r="X55" s="107"/>
      <c r="Y55" s="107"/>
      <c r="Z55" s="107"/>
      <c r="AA55" s="57">
        <v>1</v>
      </c>
      <c r="AD55" s="98" t="s">
        <v>616</v>
      </c>
      <c r="AE55" s="97" t="s">
        <v>670</v>
      </c>
    </row>
    <row r="56" spans="6:31">
      <c r="F56">
        <v>0.108</v>
      </c>
      <c r="O56" s="56" t="s">
        <v>613</v>
      </c>
      <c r="P56" s="57">
        <v>0.75</v>
      </c>
      <c r="Q56" s="118" t="s">
        <v>614</v>
      </c>
      <c r="R56" s="118" t="s">
        <v>645</v>
      </c>
      <c r="S56" s="118" t="s">
        <v>646</v>
      </c>
      <c r="T56" s="119" t="s">
        <v>614</v>
      </c>
      <c r="U56" s="119" t="s">
        <v>645</v>
      </c>
      <c r="V56" s="119" t="s">
        <v>646</v>
      </c>
      <c r="W56" s="107"/>
      <c r="X56" s="107"/>
      <c r="Y56" s="107"/>
      <c r="Z56" s="107"/>
      <c r="AA56" s="57">
        <v>0.75</v>
      </c>
      <c r="AD56" s="98" t="s">
        <v>618</v>
      </c>
      <c r="AE56" s="97" t="s">
        <v>670</v>
      </c>
    </row>
    <row r="57" spans="6:31">
      <c r="O57" s="56" t="s">
        <v>615</v>
      </c>
      <c r="P57" s="57">
        <v>0.5</v>
      </c>
      <c r="Q57" s="118" t="s">
        <v>647</v>
      </c>
      <c r="R57" s="118" t="s">
        <v>648</v>
      </c>
      <c r="S57" s="118" t="s">
        <v>649</v>
      </c>
      <c r="T57" s="119" t="s">
        <v>647</v>
      </c>
      <c r="U57" s="119" t="s">
        <v>648</v>
      </c>
      <c r="V57" s="119" t="s">
        <v>649</v>
      </c>
      <c r="W57" s="107"/>
      <c r="X57" s="107"/>
      <c r="Y57" s="107"/>
      <c r="Z57" s="107"/>
      <c r="AA57" s="57">
        <v>0.5</v>
      </c>
      <c r="AD57" s="96" t="s">
        <v>620</v>
      </c>
      <c r="AE57" s="97" t="s">
        <v>670</v>
      </c>
    </row>
    <row r="58" spans="6:31">
      <c r="F58">
        <v>0.79600000000000004</v>
      </c>
      <c r="O58" s="56" t="s">
        <v>617</v>
      </c>
      <c r="P58" s="57">
        <v>0.375</v>
      </c>
      <c r="Q58" s="118" t="s">
        <v>650</v>
      </c>
      <c r="R58" s="118" t="s">
        <v>652</v>
      </c>
      <c r="S58" s="118" t="s">
        <v>653</v>
      </c>
      <c r="T58" s="119" t="s">
        <v>650</v>
      </c>
      <c r="U58" s="119" t="s">
        <v>652</v>
      </c>
      <c r="V58" s="119" t="s">
        <v>653</v>
      </c>
      <c r="W58" s="107"/>
      <c r="X58" s="107"/>
      <c r="Y58" s="107"/>
      <c r="Z58" s="107"/>
      <c r="AA58" s="57">
        <v>0.375</v>
      </c>
      <c r="AD58" s="96" t="s">
        <v>622</v>
      </c>
      <c r="AE58" s="101" t="s">
        <v>668</v>
      </c>
    </row>
    <row r="59" spans="6:31">
      <c r="O59" s="56" t="s">
        <v>619</v>
      </c>
      <c r="P59" s="57">
        <v>0.25</v>
      </c>
      <c r="Q59" s="118" t="s">
        <v>654</v>
      </c>
      <c r="R59" s="118" t="s">
        <v>616</v>
      </c>
      <c r="S59" s="100" t="s">
        <v>655</v>
      </c>
      <c r="T59" s="119" t="s">
        <v>654</v>
      </c>
      <c r="U59" s="119" t="s">
        <v>616</v>
      </c>
      <c r="V59" s="100"/>
      <c r="W59" s="107"/>
      <c r="X59" s="107"/>
      <c r="Y59" s="107"/>
      <c r="Z59" s="107"/>
      <c r="AA59" s="57">
        <v>0.25</v>
      </c>
      <c r="AD59" s="98" t="s">
        <v>644</v>
      </c>
      <c r="AE59" s="101" t="s">
        <v>668</v>
      </c>
    </row>
    <row r="60" spans="6:31" ht="16" thickBot="1">
      <c r="F60" t="s">
        <v>4</v>
      </c>
      <c r="O60" s="56" t="s">
        <v>621</v>
      </c>
      <c r="P60" s="57">
        <v>0</v>
      </c>
      <c r="Q60" s="121" t="s">
        <v>658</v>
      </c>
      <c r="R60" s="121" t="s">
        <v>618</v>
      </c>
      <c r="S60" s="100" t="s">
        <v>655</v>
      </c>
      <c r="T60" s="122" t="s">
        <v>658</v>
      </c>
      <c r="U60" s="122" t="s">
        <v>618</v>
      </c>
      <c r="V60" s="123"/>
      <c r="W60" s="107"/>
      <c r="X60" s="107"/>
      <c r="Y60" s="107"/>
      <c r="Z60" s="107"/>
      <c r="AA60" s="57">
        <v>0</v>
      </c>
      <c r="AD60" s="98" t="s">
        <v>646</v>
      </c>
      <c r="AE60" s="106" t="s">
        <v>675</v>
      </c>
    </row>
    <row r="61" spans="6:31" ht="16" thickBot="1">
      <c r="F61" t="s">
        <v>103</v>
      </c>
      <c r="G61" t="s">
        <v>185</v>
      </c>
      <c r="H61">
        <v>0</v>
      </c>
      <c r="Q61" s="74" t="s">
        <v>688</v>
      </c>
      <c r="R61" s="75"/>
      <c r="S61" s="76"/>
      <c r="T61" s="74" t="s">
        <v>689</v>
      </c>
      <c r="U61" s="75"/>
      <c r="V61" s="76"/>
      <c r="AD61" s="96" t="s">
        <v>649</v>
      </c>
      <c r="AE61" s="106" t="s">
        <v>675</v>
      </c>
    </row>
    <row r="62" spans="6:31" ht="16" thickBot="1">
      <c r="AD62" s="108" t="s">
        <v>653</v>
      </c>
      <c r="AE62" s="115" t="s">
        <v>675</v>
      </c>
    </row>
    <row r="63" spans="6:31">
      <c r="F63" t="s">
        <v>105</v>
      </c>
    </row>
    <row r="64" spans="6:31" ht="16" thickBot="1">
      <c r="M64" s="332" t="s">
        <v>197</v>
      </c>
      <c r="N64" s="332"/>
      <c r="O64" s="332"/>
      <c r="S64" s="332" t="s">
        <v>198</v>
      </c>
      <c r="T64" s="332"/>
      <c r="U64" s="332"/>
      <c r="W64" s="1" t="s">
        <v>690</v>
      </c>
      <c r="X64" s="1" t="s">
        <v>191</v>
      </c>
      <c r="Z64" s="1"/>
      <c r="AA64" s="1"/>
    </row>
    <row r="65" spans="1:26" ht="16" thickBot="1">
      <c r="A65" s="1" t="s">
        <v>664</v>
      </c>
      <c r="B65" s="1" t="s">
        <v>665</v>
      </c>
      <c r="C65" s="1" t="s">
        <v>666</v>
      </c>
      <c r="D65" s="1" t="s">
        <v>691</v>
      </c>
      <c r="E65" s="1" t="s">
        <v>196</v>
      </c>
      <c r="G65" s="1" t="s">
        <v>197</v>
      </c>
      <c r="H65" s="1" t="s">
        <v>198</v>
      </c>
      <c r="I65" s="1"/>
      <c r="J65" s="1"/>
      <c r="K65" s="1" t="s">
        <v>264</v>
      </c>
      <c r="L65" s="91" t="s">
        <v>639</v>
      </c>
      <c r="M65" s="107">
        <f>G66</f>
        <v>1.528</v>
      </c>
      <c r="N65" s="107">
        <f>G69</f>
        <v>1.5429999999999999</v>
      </c>
      <c r="O65" s="107">
        <f>G90</f>
        <v>1.4239999999999999</v>
      </c>
      <c r="P65" s="107"/>
      <c r="R65" s="91" t="s">
        <v>639</v>
      </c>
      <c r="S65" s="107">
        <f t="shared" ref="S65:V71" si="0">M65*5.5</f>
        <v>8.4039999999999999</v>
      </c>
      <c r="T65" s="107">
        <f t="shared" si="0"/>
        <v>8.4864999999999995</v>
      </c>
      <c r="U65" s="107">
        <f t="shared" si="0"/>
        <v>7.8319999999999999</v>
      </c>
      <c r="V65" s="107"/>
      <c r="W65">
        <f t="shared" ref="W65:W71" si="1">AVERAGE(S65:U65)</f>
        <v>8.2408333333333328</v>
      </c>
      <c r="X65">
        <f t="shared" ref="X65:X71" si="2">_xlfn.STDEV.P(S65:U65)</f>
        <v>0.29104419290242195</v>
      </c>
    </row>
    <row r="66" spans="1:26">
      <c r="A66" s="92" t="s">
        <v>608</v>
      </c>
      <c r="B66" s="91" t="s">
        <v>639</v>
      </c>
      <c r="C66">
        <v>48</v>
      </c>
      <c r="D66" t="s">
        <v>201</v>
      </c>
      <c r="E66">
        <v>0.61199999999999999</v>
      </c>
      <c r="G66">
        <v>1.528</v>
      </c>
      <c r="H66">
        <f>G66*5.5</f>
        <v>8.4039999999999999</v>
      </c>
      <c r="L66" s="97" t="s">
        <v>667</v>
      </c>
      <c r="M66" s="107">
        <f>G67</f>
        <v>0.76400000000000001</v>
      </c>
      <c r="N66" s="107">
        <f>G68</f>
        <v>0.66900000000000004</v>
      </c>
      <c r="O66" s="107">
        <f>G72</f>
        <v>0.72399999999999998</v>
      </c>
      <c r="P66" s="107">
        <f>G94</f>
        <v>0.72799999999999998</v>
      </c>
      <c r="R66" s="97" t="s">
        <v>667</v>
      </c>
      <c r="S66" s="107">
        <f t="shared" si="0"/>
        <v>4.202</v>
      </c>
      <c r="T66" s="107">
        <f t="shared" si="0"/>
        <v>3.6795</v>
      </c>
      <c r="U66" s="107">
        <f t="shared" si="0"/>
        <v>3.9819999999999998</v>
      </c>
      <c r="V66" s="107">
        <f t="shared" si="0"/>
        <v>4.0039999999999996</v>
      </c>
      <c r="W66">
        <f t="shared" si="1"/>
        <v>3.9544999999999999</v>
      </c>
      <c r="X66">
        <f t="shared" si="2"/>
        <v>0.21419422650171188</v>
      </c>
    </row>
    <row r="67" spans="1:26">
      <c r="A67" s="92" t="s">
        <v>610</v>
      </c>
      <c r="B67" s="97" t="s">
        <v>667</v>
      </c>
      <c r="C67">
        <v>48</v>
      </c>
      <c r="D67" t="s">
        <v>205</v>
      </c>
      <c r="E67">
        <v>0.314</v>
      </c>
      <c r="G67">
        <v>0.76400000000000001</v>
      </c>
      <c r="H67">
        <f t="shared" ref="H67:H111" si="3">G67*5.5</f>
        <v>4.202</v>
      </c>
      <c r="L67" s="101" t="s">
        <v>669</v>
      </c>
      <c r="M67" s="107">
        <f>G91</f>
        <v>1.1679999999999999</v>
      </c>
      <c r="N67" s="107">
        <f>G92</f>
        <v>1.3129999999999999</v>
      </c>
      <c r="O67" s="107">
        <f>G93</f>
        <v>1.272</v>
      </c>
      <c r="P67" s="107"/>
      <c r="R67" s="101" t="s">
        <v>669</v>
      </c>
      <c r="S67" s="107">
        <f t="shared" si="0"/>
        <v>6.4239999999999995</v>
      </c>
      <c r="T67" s="107">
        <f t="shared" si="0"/>
        <v>7.2214999999999998</v>
      </c>
      <c r="U67" s="107">
        <f t="shared" si="0"/>
        <v>6.9960000000000004</v>
      </c>
      <c r="V67" s="107"/>
      <c r="W67" s="111">
        <f t="shared" si="1"/>
        <v>6.8805000000000005</v>
      </c>
      <c r="X67" s="111">
        <f t="shared" si="2"/>
        <v>0.33566525984478468</v>
      </c>
    </row>
    <row r="68" spans="1:26" ht="16" thickBot="1">
      <c r="A68" s="92" t="s">
        <v>612</v>
      </c>
      <c r="B68" s="97" t="s">
        <v>667</v>
      </c>
      <c r="C68">
        <v>48</v>
      </c>
      <c r="D68" t="s">
        <v>207</v>
      </c>
      <c r="E68">
        <v>0.27600000000000002</v>
      </c>
      <c r="G68">
        <v>0.66900000000000004</v>
      </c>
      <c r="H68">
        <f t="shared" si="3"/>
        <v>3.6795</v>
      </c>
      <c r="L68" s="106" t="s">
        <v>671</v>
      </c>
      <c r="M68" s="107">
        <f>G70</f>
        <v>1.2889999999999999</v>
      </c>
      <c r="N68">
        <f>G71</f>
        <v>1.163</v>
      </c>
      <c r="O68" s="107">
        <f>G73</f>
        <v>1.411</v>
      </c>
      <c r="P68" s="107"/>
      <c r="R68" s="106" t="s">
        <v>671</v>
      </c>
      <c r="S68" s="107">
        <f t="shared" si="0"/>
        <v>7.0894999999999992</v>
      </c>
      <c r="T68" s="107">
        <f t="shared" si="0"/>
        <v>6.3965000000000005</v>
      </c>
      <c r="U68" s="107">
        <f t="shared" si="0"/>
        <v>7.7605000000000004</v>
      </c>
      <c r="V68" s="107"/>
      <c r="W68" s="112">
        <f t="shared" si="1"/>
        <v>7.0821666666666667</v>
      </c>
      <c r="X68" s="112">
        <f t="shared" si="2"/>
        <v>0.55687481138542749</v>
      </c>
      <c r="Z68" s="2" t="s">
        <v>692</v>
      </c>
    </row>
    <row r="69" spans="1:26">
      <c r="A69" s="92" t="s">
        <v>614</v>
      </c>
      <c r="B69" s="91" t="s">
        <v>639</v>
      </c>
      <c r="C69">
        <v>48</v>
      </c>
      <c r="D69" t="s">
        <v>211</v>
      </c>
      <c r="E69">
        <v>0.61799999999999999</v>
      </c>
      <c r="G69">
        <v>1.5429999999999999</v>
      </c>
      <c r="H69">
        <f t="shared" si="3"/>
        <v>8.4864999999999995</v>
      </c>
      <c r="L69" s="97" t="s">
        <v>672</v>
      </c>
      <c r="M69" s="107">
        <f>G74</f>
        <v>1.383</v>
      </c>
      <c r="N69" s="107">
        <f>G96</f>
        <v>1.581</v>
      </c>
      <c r="O69" s="107">
        <f>G97</f>
        <v>1.5629999999999999</v>
      </c>
      <c r="P69" s="107"/>
      <c r="R69" s="97" t="s">
        <v>672</v>
      </c>
      <c r="S69" s="107">
        <f t="shared" si="0"/>
        <v>7.6065000000000005</v>
      </c>
      <c r="T69" s="107">
        <f t="shared" si="0"/>
        <v>8.6954999999999991</v>
      </c>
      <c r="U69" s="107">
        <f t="shared" si="0"/>
        <v>8.5964999999999989</v>
      </c>
      <c r="V69" s="107"/>
      <c r="W69">
        <f t="shared" si="1"/>
        <v>8.2995000000000001</v>
      </c>
      <c r="X69">
        <f t="shared" si="2"/>
        <v>0.49168892604979353</v>
      </c>
      <c r="Z69" s="2" t="s">
        <v>693</v>
      </c>
    </row>
    <row r="70" spans="1:26">
      <c r="A70" s="92" t="s">
        <v>640</v>
      </c>
      <c r="B70" s="106" t="s">
        <v>671</v>
      </c>
      <c r="C70">
        <v>48</v>
      </c>
      <c r="D70" t="s">
        <v>213</v>
      </c>
      <c r="E70">
        <v>0.51900000000000002</v>
      </c>
      <c r="G70">
        <v>1.2889999999999999</v>
      </c>
      <c r="H70">
        <f t="shared" si="3"/>
        <v>7.0894999999999992</v>
      </c>
      <c r="L70" s="101" t="s">
        <v>673</v>
      </c>
      <c r="M70" s="107">
        <f>G75</f>
        <v>2.476</v>
      </c>
      <c r="N70" s="107">
        <f>G76</f>
        <v>1.397</v>
      </c>
      <c r="O70" s="107">
        <f>G95</f>
        <v>1.391</v>
      </c>
      <c r="P70" s="107"/>
      <c r="R70" s="101" t="s">
        <v>673</v>
      </c>
      <c r="S70" s="124">
        <f t="shared" si="0"/>
        <v>13.618</v>
      </c>
      <c r="T70" s="107">
        <f t="shared" si="0"/>
        <v>7.6835000000000004</v>
      </c>
      <c r="U70" s="107">
        <f t="shared" si="0"/>
        <v>7.6505000000000001</v>
      </c>
      <c r="V70" s="107"/>
      <c r="W70" s="113">
        <f>AVERAGE(T70:U70)</f>
        <v>7.6669999999999998</v>
      </c>
      <c r="X70" s="113">
        <f>_xlfn.STDEV.P(T70:U70)</f>
        <v>1.6500000000000181E-2</v>
      </c>
      <c r="Z70" s="2" t="s">
        <v>694</v>
      </c>
    </row>
    <row r="71" spans="1:26">
      <c r="A71" s="92" t="s">
        <v>642</v>
      </c>
      <c r="B71" s="106" t="s">
        <v>671</v>
      </c>
      <c r="C71">
        <v>48</v>
      </c>
      <c r="D71" t="s">
        <v>217</v>
      </c>
      <c r="E71">
        <v>0.47</v>
      </c>
      <c r="G71">
        <v>1.163</v>
      </c>
      <c r="H71">
        <f t="shared" si="3"/>
        <v>6.3965000000000005</v>
      </c>
      <c r="L71" s="106" t="s">
        <v>674</v>
      </c>
      <c r="M71" s="107">
        <f>G77</f>
        <v>1.4730000000000001</v>
      </c>
      <c r="N71" s="107">
        <f>G98</f>
        <v>1.4239999999999999</v>
      </c>
      <c r="O71" s="107">
        <f>G99</f>
        <v>1.456</v>
      </c>
      <c r="P71" s="107"/>
      <c r="R71" s="106" t="s">
        <v>674</v>
      </c>
      <c r="S71" s="107">
        <f t="shared" si="0"/>
        <v>8.1014999999999997</v>
      </c>
      <c r="T71" s="107">
        <f t="shared" si="0"/>
        <v>7.8319999999999999</v>
      </c>
      <c r="U71" s="107">
        <f t="shared" si="0"/>
        <v>8.0079999999999991</v>
      </c>
      <c r="V71" s="107"/>
      <c r="W71" s="114">
        <f t="shared" si="1"/>
        <v>7.9804999999999993</v>
      </c>
      <c r="X71" s="114">
        <f t="shared" si="2"/>
        <v>0.11172809255807889</v>
      </c>
      <c r="Z71" s="2" t="s">
        <v>695</v>
      </c>
    </row>
    <row r="72" spans="1:26">
      <c r="A72" s="92" t="s">
        <v>643</v>
      </c>
      <c r="B72" s="97" t="s">
        <v>667</v>
      </c>
      <c r="C72">
        <v>48</v>
      </c>
      <c r="D72" t="s">
        <v>219</v>
      </c>
      <c r="E72">
        <v>0.29799999999999999</v>
      </c>
      <c r="G72">
        <v>0.72399999999999998</v>
      </c>
      <c r="H72">
        <f t="shared" si="3"/>
        <v>3.9819999999999998</v>
      </c>
      <c r="Z72" s="2" t="s">
        <v>696</v>
      </c>
    </row>
    <row r="73" spans="1:26" ht="16" thickBot="1">
      <c r="A73" s="92" t="s">
        <v>645</v>
      </c>
      <c r="B73" s="106" t="s">
        <v>671</v>
      </c>
      <c r="C73">
        <v>48</v>
      </c>
      <c r="D73" t="s">
        <v>221</v>
      </c>
      <c r="E73">
        <v>0.56699999999999995</v>
      </c>
      <c r="G73">
        <v>1.411</v>
      </c>
      <c r="H73">
        <f t="shared" si="3"/>
        <v>7.7605000000000004</v>
      </c>
      <c r="M73" s="332" t="s">
        <v>197</v>
      </c>
      <c r="N73" s="332"/>
      <c r="O73" s="332"/>
      <c r="S73" s="332" t="s">
        <v>198</v>
      </c>
      <c r="T73" s="332"/>
      <c r="U73" s="332"/>
      <c r="W73" s="1" t="s">
        <v>690</v>
      </c>
      <c r="X73" s="1" t="s">
        <v>191</v>
      </c>
    </row>
    <row r="74" spans="1:26">
      <c r="A74" s="92" t="s">
        <v>620</v>
      </c>
      <c r="B74" s="97" t="s">
        <v>672</v>
      </c>
      <c r="C74">
        <v>48</v>
      </c>
      <c r="D74" t="s">
        <v>493</v>
      </c>
      <c r="E74">
        <v>0.55600000000000005</v>
      </c>
      <c r="G74">
        <v>1.383</v>
      </c>
      <c r="H74">
        <f t="shared" si="3"/>
        <v>7.6065000000000005</v>
      </c>
      <c r="K74" s="1" t="s">
        <v>697</v>
      </c>
      <c r="L74" s="91" t="s">
        <v>639</v>
      </c>
      <c r="M74" s="107">
        <f>G78</f>
        <v>1.5389999999999999</v>
      </c>
      <c r="N74" s="107">
        <f>G81</f>
        <v>1.427</v>
      </c>
      <c r="O74" s="107">
        <f>G102</f>
        <v>1.2470000000000001</v>
      </c>
      <c r="P74" s="107"/>
      <c r="R74" s="91" t="s">
        <v>639</v>
      </c>
      <c r="S74" s="107">
        <f t="shared" ref="S74:V80" si="4">M74*5.5</f>
        <v>8.4644999999999992</v>
      </c>
      <c r="T74" s="107">
        <f t="shared" si="4"/>
        <v>7.8485000000000005</v>
      </c>
      <c r="U74" s="107">
        <f t="shared" si="4"/>
        <v>6.8585000000000003</v>
      </c>
      <c r="V74" s="107"/>
      <c r="W74">
        <f t="shared" ref="W74:W80" si="5">AVERAGE(S74:U74)</f>
        <v>7.7238333333333324</v>
      </c>
      <c r="X74">
        <f t="shared" ref="X74:X80" si="6">_xlfn.STDEV.P(S74:U74)</f>
        <v>0.6615463366655091</v>
      </c>
    </row>
    <row r="75" spans="1:26">
      <c r="A75" s="92" t="s">
        <v>622</v>
      </c>
      <c r="B75" s="101" t="s">
        <v>673</v>
      </c>
      <c r="C75">
        <v>48</v>
      </c>
      <c r="D75" t="s">
        <v>224</v>
      </c>
      <c r="E75">
        <v>0.98299999999999998</v>
      </c>
      <c r="F75" t="s">
        <v>310</v>
      </c>
      <c r="G75">
        <v>2.476</v>
      </c>
      <c r="H75">
        <f t="shared" si="3"/>
        <v>13.618</v>
      </c>
      <c r="L75" s="97" t="s">
        <v>667</v>
      </c>
      <c r="M75" s="107">
        <f>G79</f>
        <v>0.48799999999999999</v>
      </c>
      <c r="N75" s="107">
        <f>G80</f>
        <v>0.53500000000000003</v>
      </c>
      <c r="O75" s="107">
        <f>G84</f>
        <v>0.56100000000000005</v>
      </c>
      <c r="P75" s="107">
        <f>G106</f>
        <v>0.504</v>
      </c>
      <c r="R75" s="97" t="s">
        <v>667</v>
      </c>
      <c r="S75" s="107">
        <f t="shared" si="4"/>
        <v>2.6840000000000002</v>
      </c>
      <c r="T75" s="107">
        <f t="shared" si="4"/>
        <v>2.9425000000000003</v>
      </c>
      <c r="U75" s="107">
        <f t="shared" si="4"/>
        <v>3.0855000000000001</v>
      </c>
      <c r="V75" s="107">
        <f t="shared" si="4"/>
        <v>2.7720000000000002</v>
      </c>
      <c r="W75">
        <f t="shared" si="5"/>
        <v>2.9039999999999999</v>
      </c>
      <c r="X75">
        <f t="shared" si="6"/>
        <v>0.16615705421879223</v>
      </c>
    </row>
    <row r="76" spans="1:26">
      <c r="A76" s="92" t="s">
        <v>644</v>
      </c>
      <c r="B76" s="125" t="s">
        <v>673</v>
      </c>
      <c r="C76">
        <v>48</v>
      </c>
      <c r="D76" t="s">
        <v>227</v>
      </c>
      <c r="E76">
        <v>0.56100000000000005</v>
      </c>
      <c r="G76">
        <v>1.397</v>
      </c>
      <c r="H76">
        <f t="shared" si="3"/>
        <v>7.6835000000000004</v>
      </c>
      <c r="L76" s="101" t="s">
        <v>669</v>
      </c>
      <c r="M76" s="107">
        <f>G103</f>
        <v>0.83699999999999997</v>
      </c>
      <c r="N76" s="107">
        <f>G104</f>
        <v>1.1220000000000001</v>
      </c>
      <c r="O76" s="107">
        <f>G105</f>
        <v>1.0029999999999999</v>
      </c>
      <c r="P76" s="107"/>
      <c r="R76" s="101" t="s">
        <v>669</v>
      </c>
      <c r="S76" s="107">
        <f t="shared" si="4"/>
        <v>4.6034999999999995</v>
      </c>
      <c r="T76" s="107">
        <f t="shared" si="4"/>
        <v>6.1710000000000003</v>
      </c>
      <c r="U76" s="107">
        <f t="shared" si="4"/>
        <v>5.5164999999999997</v>
      </c>
      <c r="V76" s="107"/>
      <c r="W76" s="111">
        <f t="shared" si="5"/>
        <v>5.4303333333333335</v>
      </c>
      <c r="X76" s="111">
        <f t="shared" si="6"/>
        <v>0.64282324337427532</v>
      </c>
    </row>
    <row r="77" spans="1:26" ht="16" thickBot="1">
      <c r="A77" s="126" t="s">
        <v>646</v>
      </c>
      <c r="B77" s="127" t="s">
        <v>674</v>
      </c>
      <c r="C77" s="36">
        <v>48</v>
      </c>
      <c r="D77" t="s">
        <v>229</v>
      </c>
      <c r="E77">
        <v>0.59099999999999997</v>
      </c>
      <c r="G77">
        <v>1.4730000000000001</v>
      </c>
      <c r="H77">
        <f t="shared" si="3"/>
        <v>8.1014999999999997</v>
      </c>
      <c r="L77" s="106" t="s">
        <v>671</v>
      </c>
      <c r="M77" s="107">
        <f>G82</f>
        <v>1.0669999999999999</v>
      </c>
      <c r="N77">
        <f>G83</f>
        <v>1.3560000000000001</v>
      </c>
      <c r="O77" s="107">
        <f>G85</f>
        <v>1.0589999999999999</v>
      </c>
      <c r="P77" s="107"/>
      <c r="R77" s="106" t="s">
        <v>671</v>
      </c>
      <c r="S77" s="107">
        <f t="shared" si="4"/>
        <v>5.8685</v>
      </c>
      <c r="T77" s="107">
        <f t="shared" si="4"/>
        <v>7.4580000000000002</v>
      </c>
      <c r="U77" s="107">
        <f t="shared" si="4"/>
        <v>5.8244999999999996</v>
      </c>
      <c r="V77" s="107"/>
      <c r="W77" s="112">
        <f t="shared" si="5"/>
        <v>6.3836666666666666</v>
      </c>
      <c r="X77" s="112">
        <f t="shared" si="6"/>
        <v>0.75988072894515779</v>
      </c>
    </row>
    <row r="78" spans="1:26">
      <c r="A78" s="93" t="s">
        <v>608</v>
      </c>
      <c r="B78" s="116" t="s">
        <v>639</v>
      </c>
      <c r="C78">
        <v>72</v>
      </c>
      <c r="D78" t="s">
        <v>232</v>
      </c>
      <c r="E78">
        <v>0.61699999999999999</v>
      </c>
      <c r="G78">
        <v>1.5389999999999999</v>
      </c>
      <c r="H78">
        <f t="shared" si="3"/>
        <v>8.4644999999999992</v>
      </c>
      <c r="L78" s="97" t="s">
        <v>672</v>
      </c>
      <c r="M78" s="107">
        <f>G86</f>
        <v>1.1859999999999999</v>
      </c>
      <c r="N78" s="107">
        <f>G108</f>
        <v>1.3839999999999999</v>
      </c>
      <c r="O78" s="107">
        <f>G109</f>
        <v>1.357</v>
      </c>
      <c r="P78" s="107"/>
      <c r="R78" s="97" t="s">
        <v>672</v>
      </c>
      <c r="S78" s="107">
        <f t="shared" si="4"/>
        <v>6.5229999999999997</v>
      </c>
      <c r="T78" s="107">
        <f t="shared" si="4"/>
        <v>7.6119999999999992</v>
      </c>
      <c r="U78" s="107">
        <f t="shared" si="4"/>
        <v>7.4634999999999998</v>
      </c>
      <c r="V78" s="107"/>
      <c r="W78">
        <f t="shared" si="5"/>
        <v>7.1994999999999996</v>
      </c>
      <c r="X78">
        <f t="shared" si="6"/>
        <v>0.482184093474681</v>
      </c>
    </row>
    <row r="79" spans="1:26">
      <c r="A79" s="93" t="s">
        <v>610</v>
      </c>
      <c r="B79" s="97" t="s">
        <v>667</v>
      </c>
      <c r="C79">
        <v>72</v>
      </c>
      <c r="D79" t="s">
        <v>503</v>
      </c>
      <c r="E79">
        <v>0.20499999999999999</v>
      </c>
      <c r="G79">
        <v>0.48799999999999999</v>
      </c>
      <c r="H79">
        <f t="shared" si="3"/>
        <v>2.6840000000000002</v>
      </c>
      <c r="L79" s="101" t="s">
        <v>673</v>
      </c>
      <c r="M79" s="107">
        <f>G87</f>
        <v>1.3220000000000001</v>
      </c>
      <c r="N79" s="107">
        <f>G88</f>
        <v>1.1890000000000001</v>
      </c>
      <c r="O79" s="107">
        <f>G107</f>
        <v>1.0640000000000001</v>
      </c>
      <c r="P79" s="107"/>
      <c r="R79" s="101" t="s">
        <v>673</v>
      </c>
      <c r="S79" s="107">
        <f t="shared" si="4"/>
        <v>7.2710000000000008</v>
      </c>
      <c r="T79" s="107">
        <f t="shared" si="4"/>
        <v>6.5395000000000003</v>
      </c>
      <c r="U79" s="107">
        <f t="shared" si="4"/>
        <v>5.8520000000000003</v>
      </c>
      <c r="V79" s="107"/>
      <c r="W79" s="113">
        <f t="shared" si="5"/>
        <v>6.5541666666666671</v>
      </c>
      <c r="X79" s="113">
        <f t="shared" si="6"/>
        <v>0.57939714838403877</v>
      </c>
    </row>
    <row r="80" spans="1:26" ht="16" thickBot="1">
      <c r="A80" s="93" t="s">
        <v>612</v>
      </c>
      <c r="B80" s="97" t="s">
        <v>667</v>
      </c>
      <c r="C80">
        <v>72</v>
      </c>
      <c r="D80" t="s">
        <v>234</v>
      </c>
      <c r="E80">
        <v>0.224</v>
      </c>
      <c r="G80">
        <v>0.53500000000000003</v>
      </c>
      <c r="H80">
        <f t="shared" si="3"/>
        <v>2.9425000000000003</v>
      </c>
      <c r="L80" s="106" t="s">
        <v>674</v>
      </c>
      <c r="M80" s="107">
        <f>G89</f>
        <v>1.177</v>
      </c>
      <c r="N80" s="107">
        <f>G110</f>
        <v>1.1240000000000001</v>
      </c>
      <c r="O80" s="107">
        <f>G111</f>
        <v>1.198</v>
      </c>
      <c r="P80" s="107"/>
      <c r="R80" s="106" t="s">
        <v>674</v>
      </c>
      <c r="S80" s="107">
        <f t="shared" si="4"/>
        <v>6.4735000000000005</v>
      </c>
      <c r="T80" s="107">
        <f t="shared" si="4"/>
        <v>6.1820000000000004</v>
      </c>
      <c r="U80" s="107">
        <f t="shared" si="4"/>
        <v>6.5889999999999995</v>
      </c>
      <c r="V80" s="107"/>
      <c r="W80" s="114">
        <f t="shared" si="5"/>
        <v>6.4148333333333332</v>
      </c>
      <c r="X80" s="114">
        <f t="shared" si="6"/>
        <v>0.17125727883963199</v>
      </c>
    </row>
    <row r="81" spans="1:8">
      <c r="A81" s="93" t="s">
        <v>614</v>
      </c>
      <c r="B81" s="91" t="s">
        <v>639</v>
      </c>
      <c r="C81">
        <v>72</v>
      </c>
      <c r="D81" t="s">
        <v>236</v>
      </c>
      <c r="E81">
        <v>0.57299999999999995</v>
      </c>
      <c r="G81">
        <v>1.427</v>
      </c>
      <c r="H81">
        <f t="shared" si="3"/>
        <v>7.8485000000000005</v>
      </c>
    </row>
    <row r="82" spans="1:8">
      <c r="A82" s="93" t="s">
        <v>640</v>
      </c>
      <c r="B82" s="106" t="s">
        <v>671</v>
      </c>
      <c r="C82">
        <v>72</v>
      </c>
      <c r="D82" t="s">
        <v>238</v>
      </c>
      <c r="E82">
        <v>0.432</v>
      </c>
      <c r="G82">
        <v>1.0669999999999999</v>
      </c>
      <c r="H82">
        <f t="shared" si="3"/>
        <v>5.8685</v>
      </c>
    </row>
    <row r="83" spans="1:8">
      <c r="A83" s="93" t="s">
        <v>642</v>
      </c>
      <c r="B83" s="106" t="s">
        <v>671</v>
      </c>
      <c r="C83">
        <v>72</v>
      </c>
      <c r="D83" t="s">
        <v>241</v>
      </c>
      <c r="E83">
        <v>0.54500000000000004</v>
      </c>
      <c r="G83">
        <v>1.3560000000000001</v>
      </c>
      <c r="H83">
        <f t="shared" si="3"/>
        <v>7.4580000000000002</v>
      </c>
    </row>
    <row r="84" spans="1:8">
      <c r="A84" s="93" t="s">
        <v>643</v>
      </c>
      <c r="B84" s="97" t="s">
        <v>667</v>
      </c>
      <c r="C84">
        <v>72</v>
      </c>
      <c r="D84" t="s">
        <v>514</v>
      </c>
      <c r="E84">
        <v>0.23400000000000001</v>
      </c>
      <c r="G84">
        <v>0.56100000000000005</v>
      </c>
      <c r="H84">
        <f t="shared" si="3"/>
        <v>3.0855000000000001</v>
      </c>
    </row>
    <row r="85" spans="1:8">
      <c r="A85" s="93" t="s">
        <v>645</v>
      </c>
      <c r="B85" s="106" t="s">
        <v>671</v>
      </c>
      <c r="C85">
        <v>72</v>
      </c>
      <c r="D85" t="s">
        <v>243</v>
      </c>
      <c r="E85">
        <v>0.42899999999999999</v>
      </c>
      <c r="G85">
        <v>1.0589999999999999</v>
      </c>
      <c r="H85">
        <f t="shared" si="3"/>
        <v>5.8244999999999996</v>
      </c>
    </row>
    <row r="86" spans="1:8">
      <c r="A86" s="93" t="s">
        <v>620</v>
      </c>
      <c r="B86" s="97" t="s">
        <v>672</v>
      </c>
      <c r="C86">
        <v>72</v>
      </c>
      <c r="D86" t="s">
        <v>246</v>
      </c>
      <c r="E86">
        <v>0.47899999999999998</v>
      </c>
      <c r="G86">
        <v>1.1859999999999999</v>
      </c>
      <c r="H86">
        <f t="shared" si="3"/>
        <v>6.5229999999999997</v>
      </c>
    </row>
    <row r="87" spans="1:8">
      <c r="A87" s="93" t="s">
        <v>622</v>
      </c>
      <c r="B87" s="101" t="s">
        <v>673</v>
      </c>
      <c r="C87">
        <v>72</v>
      </c>
      <c r="D87" t="s">
        <v>248</v>
      </c>
      <c r="E87">
        <v>0.53200000000000003</v>
      </c>
      <c r="G87">
        <v>1.3220000000000001</v>
      </c>
      <c r="H87">
        <f t="shared" si="3"/>
        <v>7.2710000000000008</v>
      </c>
    </row>
    <row r="88" spans="1:8">
      <c r="A88" s="93" t="s">
        <v>644</v>
      </c>
      <c r="B88" s="101" t="s">
        <v>673</v>
      </c>
      <c r="C88">
        <v>72</v>
      </c>
      <c r="D88" t="s">
        <v>250</v>
      </c>
      <c r="E88">
        <v>0.48</v>
      </c>
      <c r="G88">
        <v>1.1890000000000001</v>
      </c>
      <c r="H88">
        <f t="shared" si="3"/>
        <v>6.5395000000000003</v>
      </c>
    </row>
    <row r="89" spans="1:8" ht="16" thickBot="1">
      <c r="A89" s="93" t="s">
        <v>646</v>
      </c>
      <c r="B89" s="115" t="s">
        <v>674</v>
      </c>
      <c r="C89" s="117">
        <v>72</v>
      </c>
      <c r="D89" t="s">
        <v>252</v>
      </c>
      <c r="E89">
        <v>0.47499999999999998</v>
      </c>
      <c r="G89">
        <v>1.177</v>
      </c>
      <c r="H89">
        <f t="shared" si="3"/>
        <v>6.4735000000000005</v>
      </c>
    </row>
    <row r="90" spans="1:8">
      <c r="A90" s="92" t="s">
        <v>647</v>
      </c>
      <c r="B90" s="116" t="s">
        <v>639</v>
      </c>
      <c r="C90">
        <v>48</v>
      </c>
      <c r="D90" t="s">
        <v>272</v>
      </c>
      <c r="E90">
        <v>0.57199999999999995</v>
      </c>
      <c r="G90">
        <v>1.4239999999999999</v>
      </c>
      <c r="H90">
        <f t="shared" si="3"/>
        <v>7.8319999999999999</v>
      </c>
    </row>
    <row r="91" spans="1:8">
      <c r="A91" s="92" t="s">
        <v>650</v>
      </c>
      <c r="B91" s="101" t="s">
        <v>669</v>
      </c>
      <c r="C91">
        <v>48</v>
      </c>
      <c r="D91" t="s">
        <v>274</v>
      </c>
      <c r="E91">
        <v>0.47199999999999998</v>
      </c>
      <c r="G91">
        <v>1.1679999999999999</v>
      </c>
      <c r="H91">
        <f t="shared" si="3"/>
        <v>6.4239999999999995</v>
      </c>
    </row>
    <row r="92" spans="1:8">
      <c r="A92" s="92" t="s">
        <v>654</v>
      </c>
      <c r="B92" s="101" t="s">
        <v>669</v>
      </c>
      <c r="C92">
        <v>48</v>
      </c>
      <c r="D92" t="s">
        <v>276</v>
      </c>
      <c r="E92">
        <v>0.52800000000000002</v>
      </c>
      <c r="G92">
        <v>1.3129999999999999</v>
      </c>
      <c r="H92">
        <f t="shared" si="3"/>
        <v>7.2214999999999998</v>
      </c>
    </row>
    <row r="93" spans="1:8">
      <c r="A93" s="102" t="s">
        <v>658</v>
      </c>
      <c r="B93" s="128" t="s">
        <v>669</v>
      </c>
      <c r="C93">
        <v>48</v>
      </c>
      <c r="D93" t="s">
        <v>279</v>
      </c>
      <c r="E93">
        <v>0.51200000000000001</v>
      </c>
      <c r="G93">
        <v>1.272</v>
      </c>
      <c r="H93">
        <f t="shared" si="3"/>
        <v>6.9960000000000004</v>
      </c>
    </row>
    <row r="94" spans="1:8">
      <c r="A94" s="92" t="s">
        <v>648</v>
      </c>
      <c r="B94" s="97" t="s">
        <v>667</v>
      </c>
      <c r="C94">
        <v>48</v>
      </c>
      <c r="D94" t="s">
        <v>282</v>
      </c>
      <c r="E94">
        <v>0.3</v>
      </c>
      <c r="G94">
        <v>0.72799999999999998</v>
      </c>
      <c r="H94">
        <f t="shared" si="3"/>
        <v>4.0039999999999996</v>
      </c>
    </row>
    <row r="95" spans="1:8">
      <c r="A95" s="92" t="s">
        <v>652</v>
      </c>
      <c r="B95" s="101" t="s">
        <v>673</v>
      </c>
      <c r="C95">
        <v>48</v>
      </c>
      <c r="D95" t="s">
        <v>284</v>
      </c>
      <c r="E95">
        <v>0.55900000000000005</v>
      </c>
      <c r="G95">
        <v>1.391</v>
      </c>
      <c r="H95">
        <f t="shared" si="3"/>
        <v>7.6505000000000001</v>
      </c>
    </row>
    <row r="96" spans="1:8">
      <c r="A96" s="92" t="s">
        <v>616</v>
      </c>
      <c r="B96" s="97" t="s">
        <v>672</v>
      </c>
      <c r="C96">
        <v>48</v>
      </c>
      <c r="D96" t="s">
        <v>286</v>
      </c>
      <c r="E96">
        <v>0.63300000000000001</v>
      </c>
      <c r="G96">
        <v>1.581</v>
      </c>
      <c r="H96">
        <f t="shared" si="3"/>
        <v>8.6954999999999991</v>
      </c>
    </row>
    <row r="97" spans="1:8">
      <c r="A97" s="102" t="s">
        <v>618</v>
      </c>
      <c r="B97" s="97" t="s">
        <v>672</v>
      </c>
      <c r="C97">
        <v>48</v>
      </c>
      <c r="D97" t="s">
        <v>288</v>
      </c>
      <c r="E97">
        <v>0.626</v>
      </c>
      <c r="G97">
        <v>1.5629999999999999</v>
      </c>
      <c r="H97">
        <f t="shared" si="3"/>
        <v>8.5964999999999989</v>
      </c>
    </row>
    <row r="98" spans="1:8">
      <c r="A98" s="92" t="s">
        <v>649</v>
      </c>
      <c r="B98" s="106" t="s">
        <v>674</v>
      </c>
      <c r="C98">
        <v>48</v>
      </c>
      <c r="D98" t="s">
        <v>291</v>
      </c>
      <c r="E98">
        <v>0.57199999999999995</v>
      </c>
      <c r="G98">
        <v>1.4239999999999999</v>
      </c>
      <c r="H98">
        <f t="shared" si="3"/>
        <v>7.8319999999999999</v>
      </c>
    </row>
    <row r="99" spans="1:8">
      <c r="A99" s="92" t="s">
        <v>653</v>
      </c>
      <c r="B99" s="106" t="s">
        <v>674</v>
      </c>
      <c r="C99">
        <v>48</v>
      </c>
      <c r="D99" t="s">
        <v>293</v>
      </c>
      <c r="E99">
        <v>0.58399999999999996</v>
      </c>
      <c r="G99">
        <v>1.456</v>
      </c>
      <c r="H99">
        <f t="shared" si="3"/>
        <v>8.0079999999999991</v>
      </c>
    </row>
    <row r="100" spans="1:8">
      <c r="A100" s="100" t="s">
        <v>655</v>
      </c>
      <c r="B100" t="s">
        <v>105</v>
      </c>
      <c r="D100" t="s">
        <v>295</v>
      </c>
      <c r="E100">
        <v>0.433</v>
      </c>
      <c r="G100">
        <v>1.07</v>
      </c>
      <c r="H100">
        <f t="shared" si="3"/>
        <v>5.8850000000000007</v>
      </c>
    </row>
    <row r="101" spans="1:8" ht="16" thickBot="1">
      <c r="A101" s="100" t="s">
        <v>655</v>
      </c>
      <c r="B101" s="117" t="s">
        <v>105</v>
      </c>
      <c r="D101" t="s">
        <v>296</v>
      </c>
      <c r="E101">
        <v>0.42199999999999999</v>
      </c>
      <c r="G101">
        <v>1.0409999999999999</v>
      </c>
      <c r="H101">
        <f t="shared" si="3"/>
        <v>5.7254999999999994</v>
      </c>
    </row>
    <row r="102" spans="1:8">
      <c r="A102" s="93" t="s">
        <v>647</v>
      </c>
      <c r="B102" s="116" t="s">
        <v>639</v>
      </c>
      <c r="C102">
        <v>72</v>
      </c>
      <c r="D102" t="s">
        <v>299</v>
      </c>
      <c r="E102">
        <v>0.503</v>
      </c>
      <c r="G102">
        <v>1.2470000000000001</v>
      </c>
      <c r="H102">
        <f t="shared" si="3"/>
        <v>6.8585000000000003</v>
      </c>
    </row>
    <row r="103" spans="1:8">
      <c r="A103" s="93" t="s">
        <v>650</v>
      </c>
      <c r="B103" s="101" t="s">
        <v>669</v>
      </c>
      <c r="C103">
        <v>72</v>
      </c>
      <c r="D103" t="s">
        <v>301</v>
      </c>
      <c r="E103">
        <v>0.34200000000000003</v>
      </c>
      <c r="G103">
        <v>0.83699999999999997</v>
      </c>
      <c r="H103">
        <f t="shared" si="3"/>
        <v>4.6034999999999995</v>
      </c>
    </row>
    <row r="104" spans="1:8">
      <c r="A104" s="93" t="s">
        <v>654</v>
      </c>
      <c r="B104" s="101" t="s">
        <v>669</v>
      </c>
      <c r="C104">
        <v>72</v>
      </c>
      <c r="D104" t="s">
        <v>303</v>
      </c>
      <c r="E104">
        <v>0.45400000000000001</v>
      </c>
      <c r="G104">
        <v>1.1220000000000001</v>
      </c>
      <c r="H104">
        <f t="shared" si="3"/>
        <v>6.1710000000000003</v>
      </c>
    </row>
    <row r="105" spans="1:8">
      <c r="A105" s="103" t="s">
        <v>658</v>
      </c>
      <c r="B105" s="101" t="s">
        <v>669</v>
      </c>
      <c r="C105">
        <v>72</v>
      </c>
      <c r="D105" t="s">
        <v>305</v>
      </c>
      <c r="E105">
        <v>0.40699999999999997</v>
      </c>
      <c r="G105">
        <v>1.0029999999999999</v>
      </c>
      <c r="H105">
        <f t="shared" si="3"/>
        <v>5.5164999999999997</v>
      </c>
    </row>
    <row r="106" spans="1:8">
      <c r="A106" s="93" t="s">
        <v>648</v>
      </c>
      <c r="B106" s="97" t="s">
        <v>667</v>
      </c>
      <c r="C106">
        <v>72</v>
      </c>
      <c r="D106" t="s">
        <v>308</v>
      </c>
      <c r="E106">
        <v>0.21199999999999999</v>
      </c>
      <c r="G106">
        <v>0.504</v>
      </c>
      <c r="H106">
        <f t="shared" si="3"/>
        <v>2.7720000000000002</v>
      </c>
    </row>
    <row r="107" spans="1:8">
      <c r="A107" s="93" t="s">
        <v>652</v>
      </c>
      <c r="B107" s="101" t="s">
        <v>673</v>
      </c>
      <c r="C107">
        <v>72</v>
      </c>
      <c r="D107" t="s">
        <v>311</v>
      </c>
      <c r="E107">
        <v>0.43099999999999999</v>
      </c>
      <c r="G107">
        <v>1.0640000000000001</v>
      </c>
      <c r="H107">
        <f t="shared" si="3"/>
        <v>5.8520000000000003</v>
      </c>
    </row>
    <row r="108" spans="1:8">
      <c r="A108" s="93" t="s">
        <v>616</v>
      </c>
      <c r="B108" s="97" t="s">
        <v>672</v>
      </c>
      <c r="C108">
        <v>72</v>
      </c>
      <c r="D108" t="s">
        <v>313</v>
      </c>
      <c r="E108">
        <v>0.55600000000000005</v>
      </c>
      <c r="G108">
        <v>1.3839999999999999</v>
      </c>
      <c r="H108">
        <f t="shared" si="3"/>
        <v>7.6119999999999992</v>
      </c>
    </row>
    <row r="109" spans="1:8">
      <c r="A109" s="103" t="s">
        <v>618</v>
      </c>
      <c r="B109" s="97" t="s">
        <v>672</v>
      </c>
      <c r="C109">
        <v>72</v>
      </c>
      <c r="D109" t="s">
        <v>315</v>
      </c>
      <c r="E109">
        <v>0.54600000000000004</v>
      </c>
      <c r="G109">
        <v>1.357</v>
      </c>
      <c r="H109">
        <f t="shared" si="3"/>
        <v>7.4634999999999998</v>
      </c>
    </row>
    <row r="110" spans="1:8">
      <c r="A110" s="93" t="s">
        <v>649</v>
      </c>
      <c r="B110" s="106" t="s">
        <v>674</v>
      </c>
      <c r="C110">
        <v>72</v>
      </c>
      <c r="D110" t="s">
        <v>318</v>
      </c>
      <c r="E110">
        <v>0.45400000000000001</v>
      </c>
      <c r="G110">
        <v>1.1240000000000001</v>
      </c>
      <c r="H110">
        <f t="shared" si="3"/>
        <v>6.1820000000000004</v>
      </c>
    </row>
    <row r="111" spans="1:8">
      <c r="A111" s="93" t="s">
        <v>653</v>
      </c>
      <c r="B111" s="106" t="s">
        <v>674</v>
      </c>
      <c r="C111">
        <v>72</v>
      </c>
      <c r="D111" t="s">
        <v>320</v>
      </c>
      <c r="E111">
        <v>0.48299999999999998</v>
      </c>
      <c r="G111">
        <v>1.198</v>
      </c>
      <c r="H111">
        <f t="shared" si="3"/>
        <v>6.5889999999999995</v>
      </c>
    </row>
    <row r="112" spans="1:8">
      <c r="F112" t="s">
        <v>105</v>
      </c>
    </row>
    <row r="113" spans="6:8">
      <c r="F113" t="s">
        <v>105</v>
      </c>
      <c r="G113" t="s">
        <v>105</v>
      </c>
      <c r="H113" t="s">
        <v>105</v>
      </c>
    </row>
    <row r="115" spans="6:8">
      <c r="F115" t="s">
        <v>4</v>
      </c>
    </row>
    <row r="116" spans="6:8">
      <c r="F116" t="s">
        <v>698</v>
      </c>
    </row>
    <row r="117" spans="6:8">
      <c r="F117" t="s">
        <v>345</v>
      </c>
    </row>
  </sheetData>
  <mergeCells count="4">
    <mergeCell ref="M64:O64"/>
    <mergeCell ref="S64:U64"/>
    <mergeCell ref="M73:O73"/>
    <mergeCell ref="S73:U73"/>
  </mergeCells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1B241-263F-EA4C-8E21-9A780FE7BCFF}">
  <dimension ref="A1:U30"/>
  <sheetViews>
    <sheetView tabSelected="1" zoomScale="115" zoomScaleNormal="91" workbookViewId="0">
      <selection activeCell="H22" sqref="H22"/>
    </sheetView>
  </sheetViews>
  <sheetFormatPr baseColWidth="10" defaultRowHeight="15"/>
  <cols>
    <col min="1" max="1" width="22.83203125" customWidth="1"/>
    <col min="7" max="7" width="11.6640625" bestFit="1" customWidth="1"/>
    <col min="8" max="8" width="16.33203125" customWidth="1"/>
    <col min="9" max="9" width="17.1640625" customWidth="1"/>
  </cols>
  <sheetData>
    <row r="1" spans="1:21">
      <c r="A1" t="s">
        <v>699</v>
      </c>
      <c r="C1" s="1"/>
    </row>
    <row r="3" spans="1:21" ht="32">
      <c r="B3" s="129" t="s">
        <v>700</v>
      </c>
      <c r="C3" s="129" t="s">
        <v>701</v>
      </c>
      <c r="D3" s="129" t="s">
        <v>190</v>
      </c>
      <c r="E3" s="129" t="s">
        <v>191</v>
      </c>
      <c r="F3" s="129" t="s">
        <v>192</v>
      </c>
      <c r="G3" s="130" t="s">
        <v>194</v>
      </c>
      <c r="H3" s="131" t="s">
        <v>195</v>
      </c>
      <c r="I3" s="129" t="s">
        <v>702</v>
      </c>
      <c r="K3" s="1" t="s">
        <v>703</v>
      </c>
    </row>
    <row r="4" spans="1:21">
      <c r="A4" s="334" t="s">
        <v>704</v>
      </c>
      <c r="B4" s="337" t="s">
        <v>607</v>
      </c>
      <c r="C4" s="8">
        <v>0</v>
      </c>
      <c r="D4" s="132">
        <v>10.096166666666667</v>
      </c>
      <c r="E4" s="132">
        <v>0.206785046740705</v>
      </c>
      <c r="F4" s="8">
        <f>E4/SQRT(3)</f>
        <v>0.11938740240013539</v>
      </c>
      <c r="G4" s="133">
        <v>1.1825022940000001</v>
      </c>
      <c r="H4" s="134">
        <f>D4*0.09</f>
        <v>0.90865499999999999</v>
      </c>
      <c r="I4" s="8">
        <f>(13-1)*24+C4</f>
        <v>288</v>
      </c>
    </row>
    <row r="5" spans="1:21">
      <c r="A5" s="335"/>
      <c r="B5" s="338"/>
      <c r="C5" s="17">
        <v>6</v>
      </c>
      <c r="D5" s="135">
        <v>9.7551670000000001</v>
      </c>
      <c r="E5" s="135">
        <v>1.1055619999999999</v>
      </c>
      <c r="F5" s="17">
        <f t="shared" ref="F5:F23" si="0">E5/SQRT(3)</f>
        <v>0.63829651830582101</v>
      </c>
      <c r="G5" s="136">
        <v>6.5431634159999996</v>
      </c>
      <c r="H5" s="137">
        <v>0.63829651799999998</v>
      </c>
      <c r="I5" s="17">
        <f t="shared" ref="I5:I23" si="1">(13-1)*24+C5</f>
        <v>294</v>
      </c>
    </row>
    <row r="6" spans="1:21">
      <c r="A6" s="335"/>
      <c r="B6" s="338"/>
      <c r="C6" s="17">
        <v>24</v>
      </c>
      <c r="D6" s="138">
        <v>7.6303333333333327</v>
      </c>
      <c r="E6" s="138">
        <v>0.51753282236223608</v>
      </c>
      <c r="F6" s="17">
        <f t="shared" si="0"/>
        <v>0.29879771430530377</v>
      </c>
      <c r="G6" s="136">
        <v>3.9159195439999999</v>
      </c>
      <c r="H6" s="139">
        <f t="shared" ref="H6:H7" si="2">D6*0.09</f>
        <v>0.68672999999999995</v>
      </c>
      <c r="I6" s="17">
        <f t="shared" si="1"/>
        <v>312</v>
      </c>
    </row>
    <row r="7" spans="1:21">
      <c r="A7" s="335"/>
      <c r="B7" s="338"/>
      <c r="C7" s="17">
        <v>48</v>
      </c>
      <c r="D7" s="138">
        <v>6.8805000000000005</v>
      </c>
      <c r="E7" s="138">
        <v>0.33566525984478468</v>
      </c>
      <c r="F7" s="17">
        <f t="shared" si="0"/>
        <v>0.19379642812899212</v>
      </c>
      <c r="G7" s="136">
        <v>2.8166038530000002</v>
      </c>
      <c r="H7" s="139">
        <f t="shared" si="2"/>
        <v>0.61924500000000005</v>
      </c>
      <c r="I7" s="17">
        <f t="shared" si="1"/>
        <v>336</v>
      </c>
    </row>
    <row r="8" spans="1:21">
      <c r="A8" s="335"/>
      <c r="B8" s="339"/>
      <c r="C8" s="25">
        <v>72</v>
      </c>
      <c r="D8" s="138">
        <v>5.4303333333333335</v>
      </c>
      <c r="E8" s="138">
        <v>0.64282324337427532</v>
      </c>
      <c r="F8" s="17">
        <f t="shared" si="0"/>
        <v>0.37113417260348619</v>
      </c>
      <c r="G8" s="136">
        <v>6.8344639239999996</v>
      </c>
      <c r="H8" s="137">
        <v>0.37113417300000001</v>
      </c>
      <c r="I8" s="17">
        <f t="shared" si="1"/>
        <v>360</v>
      </c>
    </row>
    <row r="9" spans="1:21">
      <c r="A9" s="335"/>
      <c r="B9" s="337" t="s">
        <v>609</v>
      </c>
      <c r="C9" s="8">
        <v>0</v>
      </c>
      <c r="D9" s="140">
        <v>9.9971666666666668</v>
      </c>
      <c r="E9" s="140">
        <v>0.65041747277336293</v>
      </c>
      <c r="F9" s="17">
        <f t="shared" si="0"/>
        <v>0.37551870299133722</v>
      </c>
      <c r="G9" s="136">
        <v>3.7562513009999998</v>
      </c>
      <c r="H9" s="139">
        <f>D9*0.09</f>
        <v>0.89974500000000002</v>
      </c>
      <c r="I9" s="17">
        <f t="shared" si="1"/>
        <v>288</v>
      </c>
    </row>
    <row r="10" spans="1:21">
      <c r="A10" s="335"/>
      <c r="B10" s="338"/>
      <c r="C10" s="17">
        <v>6</v>
      </c>
      <c r="D10" s="140">
        <v>10.099833333333301</v>
      </c>
      <c r="E10" s="140">
        <v>0.9021378620932734</v>
      </c>
      <c r="F10" s="17">
        <f t="shared" si="0"/>
        <v>0.52084953752570495</v>
      </c>
      <c r="G10" s="136">
        <v>5.1570112129999996</v>
      </c>
      <c r="H10" s="137">
        <v>0.520849538</v>
      </c>
      <c r="I10" s="17">
        <f t="shared" si="1"/>
        <v>294</v>
      </c>
    </row>
    <row r="11" spans="1:21">
      <c r="A11" s="335"/>
      <c r="B11" s="338"/>
      <c r="C11" s="17">
        <v>24</v>
      </c>
      <c r="D11" s="140">
        <v>8.0813333333333333</v>
      </c>
      <c r="E11" s="140">
        <v>0.65148629217266629</v>
      </c>
      <c r="F11" s="17">
        <f t="shared" si="0"/>
        <v>0.37613578615924009</v>
      </c>
      <c r="G11" s="136">
        <v>4.6543778189999996</v>
      </c>
      <c r="H11" s="139">
        <f t="shared" ref="H11:H12" si="3">D11*0.09</f>
        <v>0.72731999999999997</v>
      </c>
      <c r="I11" s="17">
        <f t="shared" si="1"/>
        <v>312</v>
      </c>
    </row>
    <row r="12" spans="1:21">
      <c r="A12" s="335"/>
      <c r="B12" s="338"/>
      <c r="C12" s="17">
        <v>48</v>
      </c>
      <c r="D12" s="140">
        <v>7.0821666666666667</v>
      </c>
      <c r="E12" s="140">
        <v>0.55687481138542749</v>
      </c>
      <c r="F12" s="17">
        <f t="shared" si="0"/>
        <v>0.32151182225829866</v>
      </c>
      <c r="G12" s="136">
        <v>4.5397381530000001</v>
      </c>
      <c r="H12" s="139">
        <f t="shared" si="3"/>
        <v>0.63739499999999993</v>
      </c>
      <c r="I12" s="17">
        <f t="shared" si="1"/>
        <v>336</v>
      </c>
    </row>
    <row r="13" spans="1:21">
      <c r="A13" s="336"/>
      <c r="B13" s="339"/>
      <c r="C13" s="25">
        <v>72</v>
      </c>
      <c r="D13" s="140">
        <v>6.3836666666666666</v>
      </c>
      <c r="E13" s="140">
        <v>0.75988072894515779</v>
      </c>
      <c r="F13" s="17">
        <f t="shared" si="0"/>
        <v>0.43871734340849594</v>
      </c>
      <c r="G13" s="136">
        <v>6.8724976780000002</v>
      </c>
      <c r="H13" s="137">
        <v>0.43871734299999998</v>
      </c>
      <c r="I13" s="17">
        <f t="shared" si="1"/>
        <v>360</v>
      </c>
    </row>
    <row r="14" spans="1:21">
      <c r="A14" s="340" t="s">
        <v>705</v>
      </c>
      <c r="B14" s="337" t="s">
        <v>607</v>
      </c>
      <c r="C14" s="8">
        <v>0</v>
      </c>
      <c r="D14" s="141">
        <v>10.220833333333333</v>
      </c>
      <c r="E14" s="141">
        <v>4.4076322693961702E-2</v>
      </c>
      <c r="F14" s="17">
        <f t="shared" si="0"/>
        <v>2.5447476772247599E-2</v>
      </c>
      <c r="G14" s="136">
        <v>0.248976536</v>
      </c>
      <c r="H14" s="139">
        <f t="shared" ref="H14:H16" si="4">D14*0.09</f>
        <v>0.919875</v>
      </c>
      <c r="I14" s="17">
        <f t="shared" si="1"/>
        <v>288</v>
      </c>
    </row>
    <row r="15" spans="1:21">
      <c r="A15" s="341"/>
      <c r="B15" s="338"/>
      <c r="C15" s="17">
        <v>6</v>
      </c>
      <c r="D15" s="141">
        <v>12.133000000000001</v>
      </c>
      <c r="E15" s="141">
        <v>0.47152677548576155</v>
      </c>
      <c r="F15" s="17">
        <f t="shared" si="0"/>
        <v>0.27223611075682069</v>
      </c>
      <c r="G15" s="136">
        <v>2.243765851</v>
      </c>
      <c r="H15" s="139">
        <f t="shared" si="4"/>
        <v>1.0919700000000001</v>
      </c>
      <c r="I15" s="17">
        <f t="shared" si="1"/>
        <v>294</v>
      </c>
      <c r="T15" s="1" t="s">
        <v>706</v>
      </c>
      <c r="U15" s="1"/>
    </row>
    <row r="16" spans="1:21">
      <c r="A16" s="341"/>
      <c r="B16" s="338"/>
      <c r="C16" s="17">
        <v>24</v>
      </c>
      <c r="D16" s="141">
        <v>8.4828333333333337</v>
      </c>
      <c r="E16" s="141">
        <v>0.46396737193710275</v>
      </c>
      <c r="F16" s="17">
        <f t="shared" si="0"/>
        <v>0.2678716870830895</v>
      </c>
      <c r="G16" s="136">
        <v>3.1578091490000002</v>
      </c>
      <c r="H16" s="139">
        <f t="shared" si="4"/>
        <v>0.76345499999999999</v>
      </c>
      <c r="I16" s="17">
        <f t="shared" si="1"/>
        <v>312</v>
      </c>
    </row>
    <row r="17" spans="1:11">
      <c r="A17" s="341"/>
      <c r="B17" s="338"/>
      <c r="C17" s="17">
        <v>48</v>
      </c>
      <c r="D17" s="141">
        <v>7.6669999999999998</v>
      </c>
      <c r="E17" s="141">
        <v>1.6500000000000181E-2</v>
      </c>
      <c r="F17" s="17">
        <f t="shared" si="0"/>
        <v>9.52627944162893E-3</v>
      </c>
      <c r="G17" s="136">
        <v>0.124250417</v>
      </c>
      <c r="H17" s="139">
        <f>D17*0.09</f>
        <v>0.69002999999999992</v>
      </c>
      <c r="I17" s="17">
        <f t="shared" si="1"/>
        <v>336</v>
      </c>
    </row>
    <row r="18" spans="1:11">
      <c r="A18" s="341"/>
      <c r="B18" s="339"/>
      <c r="C18" s="25">
        <v>72</v>
      </c>
      <c r="D18" s="141">
        <v>6.5541666666666671</v>
      </c>
      <c r="E18" s="141">
        <v>0.57939714838403877</v>
      </c>
      <c r="F18" s="17">
        <f t="shared" si="0"/>
        <v>0.33451509958722636</v>
      </c>
      <c r="G18" s="136">
        <v>5.103854031</v>
      </c>
      <c r="H18" s="137">
        <v>0.33451510000000001</v>
      </c>
      <c r="I18" s="17">
        <f t="shared" si="1"/>
        <v>360</v>
      </c>
    </row>
    <row r="19" spans="1:11">
      <c r="A19" s="341"/>
      <c r="B19" s="337" t="s">
        <v>609</v>
      </c>
      <c r="C19" s="8">
        <v>0</v>
      </c>
      <c r="D19" s="142">
        <v>11.166833333333335</v>
      </c>
      <c r="E19" s="142">
        <v>1.1308115325827841</v>
      </c>
      <c r="F19" s="17">
        <f t="shared" si="0"/>
        <v>0.6528743427394037</v>
      </c>
      <c r="G19" s="136">
        <v>5.8465486430000002</v>
      </c>
      <c r="H19" s="137">
        <v>0.65287434300000002</v>
      </c>
      <c r="I19" s="17">
        <f t="shared" si="1"/>
        <v>288</v>
      </c>
    </row>
    <row r="20" spans="1:11">
      <c r="A20" s="341"/>
      <c r="B20" s="338"/>
      <c r="C20" s="17">
        <v>6</v>
      </c>
      <c r="D20" s="142">
        <v>9.2638333333333325</v>
      </c>
      <c r="E20" s="142">
        <v>0.48475635346246088</v>
      </c>
      <c r="F20" s="17">
        <f t="shared" si="0"/>
        <v>0.27987421116293315</v>
      </c>
      <c r="G20" s="136">
        <v>3.0211490329999999</v>
      </c>
      <c r="H20" s="139">
        <f t="shared" ref="H20:H23" si="5">D20*0.09</f>
        <v>0.83374499999999985</v>
      </c>
      <c r="I20" s="17">
        <f t="shared" si="1"/>
        <v>294</v>
      </c>
    </row>
    <row r="21" spans="1:11">
      <c r="A21" s="341"/>
      <c r="B21" s="338"/>
      <c r="C21" s="17">
        <v>24</v>
      </c>
      <c r="D21" s="142">
        <v>7.9841666666666669</v>
      </c>
      <c r="E21" s="142">
        <v>0.3135268019732213</v>
      </c>
      <c r="F21" s="17">
        <f t="shared" si="0"/>
        <v>0.18101478351740183</v>
      </c>
      <c r="G21" s="136">
        <v>2.2671719050000001</v>
      </c>
      <c r="H21" s="139">
        <f t="shared" si="5"/>
        <v>0.71857499999999996</v>
      </c>
      <c r="I21" s="17">
        <f t="shared" si="1"/>
        <v>312</v>
      </c>
    </row>
    <row r="22" spans="1:11">
      <c r="A22" s="341"/>
      <c r="B22" s="338"/>
      <c r="C22" s="17">
        <v>48</v>
      </c>
      <c r="D22" s="142">
        <v>7.9804999999999993</v>
      </c>
      <c r="E22" s="142">
        <v>0.11172809255807889</v>
      </c>
      <c r="F22" s="17">
        <f t="shared" si="0"/>
        <v>6.4506244314450276E-2</v>
      </c>
      <c r="G22" s="136">
        <v>0.80829828100000001</v>
      </c>
      <c r="H22" s="139">
        <f t="shared" si="5"/>
        <v>0.71824499999999991</v>
      </c>
      <c r="I22" s="17">
        <f t="shared" si="1"/>
        <v>336</v>
      </c>
    </row>
    <row r="23" spans="1:11">
      <c r="A23" s="342"/>
      <c r="B23" s="339"/>
      <c r="C23" s="25">
        <v>72</v>
      </c>
      <c r="D23" s="143">
        <v>6.4148333333333332</v>
      </c>
      <c r="E23" s="143">
        <v>0.17125727883963199</v>
      </c>
      <c r="F23" s="25">
        <f t="shared" si="0"/>
        <v>9.8875436038744338E-2</v>
      </c>
      <c r="G23" s="144">
        <v>1.541356274</v>
      </c>
      <c r="H23" s="145">
        <f t="shared" si="5"/>
        <v>0.57733499999999993</v>
      </c>
      <c r="I23" s="25">
        <f t="shared" si="1"/>
        <v>360</v>
      </c>
    </row>
    <row r="26" spans="1:11">
      <c r="A26" t="s">
        <v>190</v>
      </c>
      <c r="H26">
        <f>AVERAGE(H4:H23)</f>
        <v>0.68743535075000017</v>
      </c>
    </row>
    <row r="27" spans="1:11">
      <c r="A27" t="s">
        <v>707</v>
      </c>
      <c r="H27">
        <f>MAX(H4:H23)</f>
        <v>1.0919700000000001</v>
      </c>
    </row>
    <row r="28" spans="1:11">
      <c r="K28" s="1" t="s">
        <v>708</v>
      </c>
    </row>
    <row r="30" spans="1:11">
      <c r="A30" s="146" t="s">
        <v>709</v>
      </c>
    </row>
  </sheetData>
  <mergeCells count="6">
    <mergeCell ref="A4:A13"/>
    <mergeCell ref="B4:B8"/>
    <mergeCell ref="B9:B13"/>
    <mergeCell ref="A14:A23"/>
    <mergeCell ref="B14:B18"/>
    <mergeCell ref="B19:B23"/>
  </mergeCells>
  <pageMargins left="0.7" right="0.7" top="0.75" bottom="0.75" header="0.3" footer="0.3"/>
  <pageSetup paperSize="9" orientation="portrait" horizontalDpi="0" verticalDpi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F1883-02BD-1040-A2F5-9E9E96B22D1E}">
  <dimension ref="A1:Y136"/>
  <sheetViews>
    <sheetView topLeftCell="S31" zoomScale="63" workbookViewId="0">
      <selection activeCell="X69" sqref="X69"/>
    </sheetView>
  </sheetViews>
  <sheetFormatPr baseColWidth="10" defaultColWidth="8.83203125" defaultRowHeight="15"/>
  <cols>
    <col min="23" max="23" width="15.6640625" customWidth="1"/>
    <col min="24" max="24" width="39.33203125" customWidth="1"/>
  </cols>
  <sheetData>
    <row r="1" spans="1:22">
      <c r="A1" t="s">
        <v>0</v>
      </c>
    </row>
    <row r="2" spans="1:22">
      <c r="A2" t="s">
        <v>1</v>
      </c>
    </row>
    <row r="4" spans="1:22">
      <c r="A4" t="s">
        <v>2</v>
      </c>
    </row>
    <row r="6" spans="1:22">
      <c r="A6" t="s">
        <v>3</v>
      </c>
    </row>
    <row r="7" spans="1:22">
      <c r="A7" t="s">
        <v>4</v>
      </c>
    </row>
    <row r="8" spans="1:22">
      <c r="A8" t="s">
        <v>5</v>
      </c>
      <c r="B8" t="s">
        <v>6</v>
      </c>
      <c r="C8" t="s">
        <v>7</v>
      </c>
      <c r="D8" t="s">
        <v>8</v>
      </c>
      <c r="E8" t="s">
        <v>9</v>
      </c>
      <c r="F8" t="s">
        <v>10</v>
      </c>
      <c r="G8" t="s">
        <v>11</v>
      </c>
      <c r="H8" t="b">
        <v>0</v>
      </c>
      <c r="I8">
        <v>1</v>
      </c>
      <c r="O8">
        <v>1</v>
      </c>
      <c r="P8">
        <v>520</v>
      </c>
      <c r="Q8">
        <v>1</v>
      </c>
      <c r="R8">
        <v>12</v>
      </c>
      <c r="S8">
        <v>96</v>
      </c>
      <c r="T8">
        <v>1</v>
      </c>
      <c r="U8">
        <v>8</v>
      </c>
      <c r="V8" t="s">
        <v>12</v>
      </c>
    </row>
    <row r="9" spans="1:22">
      <c r="A9" t="s">
        <v>13</v>
      </c>
      <c r="B9" t="s">
        <v>14</v>
      </c>
      <c r="C9" t="s">
        <v>15</v>
      </c>
      <c r="D9" t="s">
        <v>16</v>
      </c>
      <c r="E9" t="s">
        <v>17</v>
      </c>
      <c r="F9" t="s">
        <v>18</v>
      </c>
      <c r="G9" t="s">
        <v>19</v>
      </c>
      <c r="H9" t="s">
        <v>20</v>
      </c>
      <c r="I9" t="s">
        <v>21</v>
      </c>
      <c r="J9" t="s">
        <v>22</v>
      </c>
      <c r="K9" t="s">
        <v>23</v>
      </c>
      <c r="L9" t="s">
        <v>24</v>
      </c>
      <c r="M9" t="s">
        <v>25</v>
      </c>
    </row>
    <row r="10" spans="1:22">
      <c r="B10" t="s">
        <v>26</v>
      </c>
      <c r="C10" t="s">
        <v>27</v>
      </c>
      <c r="D10" t="s">
        <v>28</v>
      </c>
      <c r="E10" t="s">
        <v>29</v>
      </c>
      <c r="F10" t="s">
        <v>30</v>
      </c>
      <c r="G10" t="s">
        <v>31</v>
      </c>
      <c r="H10" t="s">
        <v>32</v>
      </c>
      <c r="I10" t="s">
        <v>33</v>
      </c>
      <c r="J10" t="s">
        <v>34</v>
      </c>
      <c r="K10" t="s">
        <v>35</v>
      </c>
      <c r="L10" t="s">
        <v>35</v>
      </c>
      <c r="M10" t="s">
        <v>36</v>
      </c>
    </row>
    <row r="11" spans="1:22">
      <c r="B11" t="s">
        <v>37</v>
      </c>
      <c r="C11" t="s">
        <v>38</v>
      </c>
      <c r="D11" t="s">
        <v>39</v>
      </c>
      <c r="E11" t="s">
        <v>40</v>
      </c>
      <c r="F11" t="s">
        <v>41</v>
      </c>
      <c r="G11" t="s">
        <v>42</v>
      </c>
      <c r="H11" t="s">
        <v>43</v>
      </c>
      <c r="I11" t="s">
        <v>44</v>
      </c>
      <c r="J11" t="s">
        <v>45</v>
      </c>
      <c r="K11" t="s">
        <v>46</v>
      </c>
      <c r="L11" t="s">
        <v>47</v>
      </c>
      <c r="M11" t="s">
        <v>48</v>
      </c>
    </row>
    <row r="12" spans="1:22">
      <c r="B12" t="s">
        <v>49</v>
      </c>
      <c r="C12" t="s">
        <v>50</v>
      </c>
      <c r="D12" t="s">
        <v>51</v>
      </c>
      <c r="E12" t="s">
        <v>52</v>
      </c>
      <c r="F12" t="s">
        <v>53</v>
      </c>
      <c r="G12" t="s">
        <v>54</v>
      </c>
      <c r="H12" t="s">
        <v>55</v>
      </c>
      <c r="I12" t="s">
        <v>56</v>
      </c>
      <c r="J12" t="s">
        <v>57</v>
      </c>
      <c r="K12" t="s">
        <v>58</v>
      </c>
      <c r="L12" t="s">
        <v>59</v>
      </c>
      <c r="M12" t="s">
        <v>60</v>
      </c>
    </row>
    <row r="13" spans="1:22">
      <c r="B13" t="s">
        <v>61</v>
      </c>
      <c r="C13" t="s">
        <v>62</v>
      </c>
      <c r="D13" t="s">
        <v>63</v>
      </c>
      <c r="E13" t="s">
        <v>64</v>
      </c>
      <c r="F13" t="s">
        <v>65</v>
      </c>
      <c r="G13" t="s">
        <v>66</v>
      </c>
      <c r="H13" t="s">
        <v>67</v>
      </c>
      <c r="I13" t="s">
        <v>68</v>
      </c>
      <c r="J13" t="s">
        <v>69</v>
      </c>
      <c r="K13" t="s">
        <v>23</v>
      </c>
      <c r="L13" t="s">
        <v>70</v>
      </c>
      <c r="M13" t="s">
        <v>71</v>
      </c>
    </row>
    <row r="14" spans="1:22">
      <c r="B14" t="s">
        <v>72</v>
      </c>
      <c r="C14" t="s">
        <v>73</v>
      </c>
      <c r="D14" t="s">
        <v>74</v>
      </c>
      <c r="E14" t="s">
        <v>75</v>
      </c>
      <c r="F14" t="s">
        <v>76</v>
      </c>
      <c r="G14" t="s">
        <v>77</v>
      </c>
      <c r="H14" t="s">
        <v>78</v>
      </c>
      <c r="I14" t="s">
        <v>79</v>
      </c>
      <c r="J14" t="s">
        <v>80</v>
      </c>
      <c r="K14" t="s">
        <v>81</v>
      </c>
      <c r="L14" t="s">
        <v>46</v>
      </c>
      <c r="M14" t="s">
        <v>82</v>
      </c>
    </row>
    <row r="15" spans="1:22">
      <c r="B15" t="s">
        <v>83</v>
      </c>
      <c r="C15" t="s">
        <v>84</v>
      </c>
      <c r="D15" t="s">
        <v>85</v>
      </c>
      <c r="E15" t="s">
        <v>86</v>
      </c>
      <c r="F15" t="s">
        <v>87</v>
      </c>
      <c r="G15" t="s">
        <v>88</v>
      </c>
      <c r="H15" t="s">
        <v>89</v>
      </c>
      <c r="I15" t="s">
        <v>90</v>
      </c>
      <c r="J15" t="s">
        <v>91</v>
      </c>
      <c r="K15" t="s">
        <v>23</v>
      </c>
      <c r="L15" t="s">
        <v>92</v>
      </c>
      <c r="M15" t="s">
        <v>93</v>
      </c>
    </row>
    <row r="16" spans="1:22">
      <c r="B16" t="s">
        <v>94</v>
      </c>
      <c r="C16" t="s">
        <v>95</v>
      </c>
      <c r="D16" t="s">
        <v>96</v>
      </c>
      <c r="E16" t="s">
        <v>97</v>
      </c>
      <c r="F16" t="s">
        <v>98</v>
      </c>
      <c r="G16" t="s">
        <v>99</v>
      </c>
      <c r="H16" t="s">
        <v>100</v>
      </c>
      <c r="I16" t="s">
        <v>101</v>
      </c>
      <c r="J16" t="s">
        <v>102</v>
      </c>
      <c r="K16" t="s">
        <v>46</v>
      </c>
      <c r="L16" t="s">
        <v>81</v>
      </c>
      <c r="M16" t="e" vm="1">
        <f>_FV(0,"0024")</f>
        <v>#VALUE!</v>
      </c>
    </row>
    <row r="18" spans="1:3">
      <c r="A18" t="s">
        <v>4</v>
      </c>
    </row>
    <row r="19" spans="1:3">
      <c r="A19" t="s">
        <v>103</v>
      </c>
      <c r="B19" t="s">
        <v>104</v>
      </c>
      <c r="C19">
        <v>0</v>
      </c>
    </row>
    <row r="21" spans="1:3">
      <c r="A21" t="s">
        <v>105</v>
      </c>
    </row>
    <row r="23" spans="1:3">
      <c r="A23" t="s">
        <v>105</v>
      </c>
    </row>
    <row r="25" spans="1:3">
      <c r="A25" t="s">
        <v>4</v>
      </c>
    </row>
    <row r="26" spans="1:3">
      <c r="A26" t="s">
        <v>103</v>
      </c>
      <c r="B26" t="s">
        <v>106</v>
      </c>
      <c r="C26">
        <v>0</v>
      </c>
    </row>
    <row r="28" spans="1:3">
      <c r="A28" t="s">
        <v>105</v>
      </c>
    </row>
    <row r="30" spans="1:3">
      <c r="A30" t="s">
        <v>105</v>
      </c>
    </row>
    <row r="32" spans="1:3">
      <c r="A32" t="s">
        <v>4</v>
      </c>
    </row>
    <row r="33" spans="1:8">
      <c r="A33" t="s">
        <v>103</v>
      </c>
      <c r="B33" t="s">
        <v>107</v>
      </c>
      <c r="C33">
        <v>0</v>
      </c>
    </row>
    <row r="35" spans="1:8">
      <c r="A35" t="s">
        <v>105</v>
      </c>
    </row>
    <row r="37" spans="1:8">
      <c r="A37" t="s">
        <v>105</v>
      </c>
    </row>
    <row r="39" spans="1:8">
      <c r="A39" t="s">
        <v>4</v>
      </c>
    </row>
    <row r="40" spans="1:8">
      <c r="A40" t="s">
        <v>103</v>
      </c>
      <c r="B40" t="s">
        <v>108</v>
      </c>
      <c r="C40">
        <v>0</v>
      </c>
    </row>
    <row r="41" spans="1:8">
      <c r="A41" t="s">
        <v>109</v>
      </c>
      <c r="B41" t="s">
        <v>110</v>
      </c>
      <c r="C41" t="s">
        <v>111</v>
      </c>
      <c r="D41" t="s">
        <v>112</v>
      </c>
      <c r="E41" t="s">
        <v>113</v>
      </c>
      <c r="F41" t="s">
        <v>114</v>
      </c>
      <c r="G41" t="s">
        <v>115</v>
      </c>
      <c r="H41" t="s">
        <v>116</v>
      </c>
    </row>
    <row r="42" spans="1:8">
      <c r="C42" t="s">
        <v>117</v>
      </c>
      <c r="D42" t="s">
        <v>118</v>
      </c>
      <c r="E42" t="s">
        <v>119</v>
      </c>
    </row>
    <row r="43" spans="1:8">
      <c r="A43" t="s">
        <v>120</v>
      </c>
      <c r="B43" t="s">
        <v>121</v>
      </c>
      <c r="C43" t="s">
        <v>122</v>
      </c>
      <c r="D43" t="s">
        <v>123</v>
      </c>
      <c r="E43" t="s">
        <v>124</v>
      </c>
      <c r="F43" t="s">
        <v>125</v>
      </c>
      <c r="G43" t="s">
        <v>126</v>
      </c>
      <c r="H43" t="s">
        <v>127</v>
      </c>
    </row>
    <row r="44" spans="1:8">
      <c r="C44" t="s">
        <v>128</v>
      </c>
      <c r="D44" t="s">
        <v>129</v>
      </c>
      <c r="E44" t="s">
        <v>130</v>
      </c>
    </row>
    <row r="45" spans="1:8">
      <c r="A45" t="s">
        <v>131</v>
      </c>
      <c r="B45" t="s">
        <v>132</v>
      </c>
      <c r="C45" t="s">
        <v>133</v>
      </c>
      <c r="D45" t="s">
        <v>134</v>
      </c>
      <c r="E45" t="s">
        <v>135</v>
      </c>
      <c r="F45" t="s">
        <v>136</v>
      </c>
      <c r="G45" t="s">
        <v>137</v>
      </c>
      <c r="H45" t="s">
        <v>138</v>
      </c>
    </row>
    <row r="46" spans="1:8">
      <c r="C46" t="s">
        <v>139</v>
      </c>
      <c r="D46" t="s">
        <v>140</v>
      </c>
      <c r="E46" t="s">
        <v>141</v>
      </c>
    </row>
    <row r="47" spans="1:8">
      <c r="A47" t="s">
        <v>142</v>
      </c>
      <c r="B47" t="s">
        <v>143</v>
      </c>
      <c r="C47" t="s">
        <v>144</v>
      </c>
      <c r="D47" t="s">
        <v>145</v>
      </c>
      <c r="E47" t="s">
        <v>146</v>
      </c>
      <c r="F47" t="s">
        <v>147</v>
      </c>
      <c r="G47" t="s">
        <v>148</v>
      </c>
      <c r="H47" t="s">
        <v>149</v>
      </c>
    </row>
    <row r="48" spans="1:8">
      <c r="C48" t="s">
        <v>150</v>
      </c>
      <c r="D48" t="s">
        <v>151</v>
      </c>
      <c r="E48" t="s">
        <v>152</v>
      </c>
    </row>
    <row r="49" spans="1:24">
      <c r="A49" t="s">
        <v>153</v>
      </c>
      <c r="B49" t="s">
        <v>154</v>
      </c>
      <c r="C49" t="s">
        <v>155</v>
      </c>
      <c r="D49" t="s">
        <v>156</v>
      </c>
      <c r="E49" t="s">
        <v>157</v>
      </c>
      <c r="F49" t="s">
        <v>158</v>
      </c>
      <c r="G49" t="s">
        <v>159</v>
      </c>
      <c r="H49" t="s">
        <v>160</v>
      </c>
    </row>
    <row r="50" spans="1:24">
      <c r="C50" t="s">
        <v>161</v>
      </c>
      <c r="D50" t="s">
        <v>162</v>
      </c>
      <c r="E50" t="s">
        <v>163</v>
      </c>
    </row>
    <row r="51" spans="1:24">
      <c r="A51" t="s">
        <v>164</v>
      </c>
      <c r="B51" t="s">
        <v>165</v>
      </c>
      <c r="C51" t="s">
        <v>166</v>
      </c>
      <c r="D51" t="s">
        <v>167</v>
      </c>
      <c r="E51" t="s">
        <v>168</v>
      </c>
      <c r="F51" t="s">
        <v>169</v>
      </c>
      <c r="G51" t="s">
        <v>170</v>
      </c>
      <c r="H51" t="s">
        <v>171</v>
      </c>
    </row>
    <row r="52" spans="1:24">
      <c r="C52" t="s">
        <v>172</v>
      </c>
      <c r="D52" t="s">
        <v>173</v>
      </c>
      <c r="E52" t="s">
        <v>174</v>
      </c>
    </row>
    <row r="53" spans="1:24">
      <c r="A53" t="s">
        <v>175</v>
      </c>
      <c r="B53" t="s">
        <v>176</v>
      </c>
      <c r="C53" t="s">
        <v>177</v>
      </c>
      <c r="D53" t="s">
        <v>178</v>
      </c>
      <c r="E53" t="s">
        <v>179</v>
      </c>
      <c r="F53" t="s">
        <v>180</v>
      </c>
      <c r="G53" t="s">
        <v>181</v>
      </c>
      <c r="H53" t="s">
        <v>182</v>
      </c>
    </row>
    <row r="54" spans="1:24">
      <c r="C54" t="s">
        <v>183</v>
      </c>
      <c r="D54" t="s">
        <v>184</v>
      </c>
      <c r="E54" t="s">
        <v>180</v>
      </c>
    </row>
    <row r="56" spans="1:24">
      <c r="A56" t="s">
        <v>180</v>
      </c>
    </row>
    <row r="58" spans="1:24">
      <c r="A58" t="s">
        <v>114</v>
      </c>
    </row>
    <row r="59" spans="1:24">
      <c r="X59" s="147"/>
    </row>
    <row r="60" spans="1:24">
      <c r="A60" t="s">
        <v>4</v>
      </c>
    </row>
    <row r="61" spans="1:24">
      <c r="A61" t="s">
        <v>103</v>
      </c>
      <c r="B61" t="s">
        <v>185</v>
      </c>
      <c r="C61">
        <v>0</v>
      </c>
      <c r="P61" s="1" t="s">
        <v>186</v>
      </c>
      <c r="W61" s="2" t="s">
        <v>187</v>
      </c>
    </row>
    <row r="62" spans="1:24">
      <c r="X62" t="s">
        <v>710</v>
      </c>
    </row>
    <row r="63" spans="1:24">
      <c r="A63" t="s">
        <v>105</v>
      </c>
      <c r="P63" s="318" t="s">
        <v>188</v>
      </c>
      <c r="Q63" s="318" t="s">
        <v>189</v>
      </c>
      <c r="R63" s="318" t="s">
        <v>190</v>
      </c>
      <c r="S63" s="318" t="s">
        <v>191</v>
      </c>
      <c r="T63" s="318" t="s">
        <v>192</v>
      </c>
      <c r="U63" s="319" t="s">
        <v>193</v>
      </c>
      <c r="V63" s="320"/>
      <c r="W63" s="306" t="s">
        <v>194</v>
      </c>
      <c r="X63" s="148" t="s">
        <v>711</v>
      </c>
    </row>
    <row r="64" spans="1:24" ht="16" thickBot="1">
      <c r="A64" t="s">
        <v>103</v>
      </c>
      <c r="B64" t="s">
        <v>185</v>
      </c>
      <c r="C64" s="1" t="s">
        <v>196</v>
      </c>
      <c r="E64" s="1" t="s">
        <v>197</v>
      </c>
      <c r="F64" s="1" t="s">
        <v>198</v>
      </c>
      <c r="G64" s="1" t="s">
        <v>199</v>
      </c>
      <c r="H64" s="1" t="s">
        <v>191</v>
      </c>
      <c r="P64" s="318"/>
      <c r="Q64" s="318"/>
      <c r="R64" s="318"/>
      <c r="S64" s="306"/>
      <c r="T64" s="318"/>
      <c r="U64" s="321"/>
      <c r="V64" s="322"/>
      <c r="W64" s="307"/>
      <c r="X64" s="149" t="s">
        <v>712</v>
      </c>
    </row>
    <row r="65" spans="1:25">
      <c r="A65" s="3" t="s">
        <v>200</v>
      </c>
      <c r="B65" s="4" t="s">
        <v>201</v>
      </c>
      <c r="C65" s="4" t="s">
        <v>202</v>
      </c>
      <c r="D65" s="4"/>
      <c r="E65" s="4">
        <v>1.0369999999999999</v>
      </c>
      <c r="F65" s="4">
        <f>E65*5.5</f>
        <v>5.7035</v>
      </c>
      <c r="G65" s="4">
        <f>AVERAGE(F65:F66)</f>
        <v>5.7694999999999999</v>
      </c>
      <c r="H65" s="5">
        <f>_xlfn.STDEV.P(F65:F66)</f>
        <v>6.5999999999999837E-2</v>
      </c>
      <c r="P65" s="294">
        <v>1</v>
      </c>
      <c r="Q65" s="6">
        <v>0</v>
      </c>
      <c r="R65" s="7">
        <f>AVERAGE(F65:F66)</f>
        <v>5.7694999999999999</v>
      </c>
      <c r="S65" s="8">
        <f>STDEV(F65:F66)</f>
        <v>9.333809511662404E-2</v>
      </c>
      <c r="T65" s="9">
        <f>S65/SQRT(2)</f>
        <v>6.5999999999999837E-2</v>
      </c>
      <c r="U65" s="308" t="s">
        <v>203</v>
      </c>
      <c r="V65" s="309"/>
      <c r="W65" s="10">
        <f>T65/R65*100</f>
        <v>1.1439466158245921</v>
      </c>
      <c r="X65" s="11">
        <v>0.53459999999999996</v>
      </c>
      <c r="Y65" s="12" t="s">
        <v>713</v>
      </c>
    </row>
    <row r="66" spans="1:25">
      <c r="A66" s="13" t="s">
        <v>204</v>
      </c>
      <c r="B66" t="s">
        <v>205</v>
      </c>
      <c r="C66" t="s">
        <v>27</v>
      </c>
      <c r="E66">
        <v>1.0609999999999999</v>
      </c>
      <c r="F66">
        <f t="shared" ref="F66:F125" si="0">E66*5.5</f>
        <v>5.8354999999999997</v>
      </c>
      <c r="H66" s="14"/>
      <c r="I66" s="1"/>
      <c r="P66" s="295"/>
      <c r="Q66" s="15">
        <v>8</v>
      </c>
      <c r="R66" s="16">
        <f>AVERAGE(F69:F72)</f>
        <v>4.588375000000001</v>
      </c>
      <c r="S66" s="17">
        <f>STDEV(F69:F72)</f>
        <v>0.11994330257806537</v>
      </c>
      <c r="T66" s="18">
        <f>S66/2</f>
        <v>5.9971651289032687E-2</v>
      </c>
      <c r="U66" s="310"/>
      <c r="V66" s="311"/>
      <c r="W66" s="11">
        <f t="shared" ref="W66:W80" si="1">T66/R66*100</f>
        <v>1.307034653641707</v>
      </c>
      <c r="X66" s="11">
        <v>0.42515999999999998</v>
      </c>
    </row>
    <row r="67" spans="1:25">
      <c r="A67" s="13" t="s">
        <v>206</v>
      </c>
      <c r="B67" s="2" t="s">
        <v>207</v>
      </c>
      <c r="C67" s="2" t="s">
        <v>208</v>
      </c>
      <c r="D67" s="2"/>
      <c r="E67" s="2">
        <v>0.53800000000000003</v>
      </c>
      <c r="F67" s="2">
        <f t="shared" si="0"/>
        <v>2.9590000000000001</v>
      </c>
      <c r="H67" s="14"/>
      <c r="I67" s="2" t="s">
        <v>209</v>
      </c>
      <c r="P67" s="295"/>
      <c r="Q67" s="15">
        <v>24</v>
      </c>
      <c r="R67" s="16">
        <f>AVERAGE(F73:F75)</f>
        <v>3.3109999999999999</v>
      </c>
      <c r="S67" s="17">
        <f>STDEV(F73:F75)</f>
        <v>0.31866793061116139</v>
      </c>
      <c r="T67" s="18">
        <f>S67/SQRT(3)</f>
        <v>0.18398301552045501</v>
      </c>
      <c r="U67" s="310"/>
      <c r="V67" s="311"/>
      <c r="W67" s="17">
        <f t="shared" si="1"/>
        <v>5.5567204929161891</v>
      </c>
      <c r="X67" s="17">
        <v>0.18398</v>
      </c>
    </row>
    <row r="68" spans="1:25">
      <c r="A68" s="19" t="s">
        <v>210</v>
      </c>
      <c r="B68" s="20" t="s">
        <v>211</v>
      </c>
      <c r="C68" s="20" t="s">
        <v>169</v>
      </c>
      <c r="D68" s="20"/>
      <c r="E68" s="20">
        <v>0.38100000000000001</v>
      </c>
      <c r="F68" s="20">
        <f t="shared" si="0"/>
        <v>2.0954999999999999</v>
      </c>
      <c r="G68" s="21"/>
      <c r="H68" s="22"/>
      <c r="I68" s="1"/>
      <c r="P68" s="296"/>
      <c r="Q68" s="23">
        <v>47.9</v>
      </c>
      <c r="R68" s="24">
        <f>AVERAGE(F76:F78)</f>
        <v>2.0423333333333336</v>
      </c>
      <c r="S68" s="25">
        <f>STDEV(F76:F78)</f>
        <v>0.32780799766529872</v>
      </c>
      <c r="T68" s="18">
        <f>S68/SQRT(3)</f>
        <v>0.18926003569457245</v>
      </c>
      <c r="U68" s="312"/>
      <c r="V68" s="313"/>
      <c r="W68" s="17">
        <f t="shared" si="1"/>
        <v>9.2668533880156243</v>
      </c>
      <c r="X68" s="17">
        <v>0.18926000000000001</v>
      </c>
    </row>
    <row r="69" spans="1:25" ht="15" customHeight="1">
      <c r="A69" s="26" t="s">
        <v>212</v>
      </c>
      <c r="B69" s="27" t="s">
        <v>213</v>
      </c>
      <c r="C69" s="27" t="s">
        <v>214</v>
      </c>
      <c r="D69" s="27"/>
      <c r="E69" s="27">
        <v>0.83099999999999996</v>
      </c>
      <c r="F69" s="27">
        <f t="shared" si="0"/>
        <v>4.5705</v>
      </c>
      <c r="G69" s="27">
        <f>AVERAGE(F69:F72)</f>
        <v>4.588375000000001</v>
      </c>
      <c r="H69" s="28">
        <f>_xlfn.STDEV.P(F69:F72)</f>
        <v>0.10387394704640816</v>
      </c>
      <c r="P69" s="343">
        <v>7</v>
      </c>
      <c r="Q69" s="150">
        <v>144</v>
      </c>
      <c r="R69" s="151">
        <f>AVERAGE(F79:F81)</f>
        <v>5.1846666666666659</v>
      </c>
      <c r="S69" s="152">
        <f>STDEV(F79:F81)</f>
        <v>0.11462365957049729</v>
      </c>
      <c r="T69" s="153">
        <f>S69/SQRT(3)</f>
        <v>6.6178000708526641E-2</v>
      </c>
      <c r="U69" s="314" t="s">
        <v>215</v>
      </c>
      <c r="V69" s="315"/>
      <c r="W69" s="154">
        <f t="shared" si="1"/>
        <v>1.2764176554299855</v>
      </c>
      <c r="X69" s="154">
        <v>0.48041</v>
      </c>
    </row>
    <row r="70" spans="1:25">
      <c r="A70" s="13" t="s">
        <v>216</v>
      </c>
      <c r="B70" t="s">
        <v>217</v>
      </c>
      <c r="C70" t="s">
        <v>218</v>
      </c>
      <c r="E70">
        <v>0.81</v>
      </c>
      <c r="F70">
        <f t="shared" si="0"/>
        <v>4.4550000000000001</v>
      </c>
      <c r="H70" s="14"/>
      <c r="I70" s="1"/>
      <c r="P70" s="344"/>
      <c r="Q70" s="154">
        <v>152</v>
      </c>
      <c r="R70" s="155">
        <f>AVERAGE(F82:F85)</f>
        <v>4.9087499999999995</v>
      </c>
      <c r="S70" s="156">
        <f>STDEV(F82:F85)</f>
        <v>0.25492564275359453</v>
      </c>
      <c r="T70" s="157">
        <f t="shared" ref="T70:T80" si="2">S70/2</f>
        <v>0.12746282137679726</v>
      </c>
      <c r="U70" s="310"/>
      <c r="V70" s="311"/>
      <c r="W70" s="154">
        <f t="shared" si="1"/>
        <v>2.5966452024812279</v>
      </c>
      <c r="X70" s="154">
        <v>0.45484000000000002</v>
      </c>
    </row>
    <row r="71" spans="1:25">
      <c r="A71" s="13" t="s">
        <v>210</v>
      </c>
      <c r="B71" t="s">
        <v>219</v>
      </c>
      <c r="C71" t="s">
        <v>220</v>
      </c>
      <c r="E71">
        <v>0.86299999999999999</v>
      </c>
      <c r="F71">
        <f t="shared" si="0"/>
        <v>4.7465000000000002</v>
      </c>
      <c r="H71" s="14"/>
      <c r="I71" s="1"/>
      <c r="P71" s="344"/>
      <c r="Q71" s="154">
        <v>168</v>
      </c>
      <c r="R71" s="155">
        <f>AVERAGE(F86:F89)</f>
        <v>4.4893749999999999</v>
      </c>
      <c r="S71" s="156">
        <f>STDEV(F86:F89)</f>
        <v>6.9913488207450428E-2</v>
      </c>
      <c r="T71" s="157">
        <f t="shared" si="2"/>
        <v>3.4956744103725214E-2</v>
      </c>
      <c r="U71" s="310"/>
      <c r="V71" s="311"/>
      <c r="W71" s="154">
        <f t="shared" si="1"/>
        <v>0.77865502667353947</v>
      </c>
      <c r="X71" s="154">
        <v>0.41599000000000003</v>
      </c>
    </row>
    <row r="72" spans="1:25">
      <c r="A72" s="32"/>
      <c r="B72" s="21" t="s">
        <v>221</v>
      </c>
      <c r="C72" s="21" t="s">
        <v>222</v>
      </c>
      <c r="D72" s="21"/>
      <c r="E72" s="21">
        <v>0.83299999999999996</v>
      </c>
      <c r="F72" s="21">
        <f t="shared" si="0"/>
        <v>4.5815000000000001</v>
      </c>
      <c r="G72" s="21"/>
      <c r="H72" s="22"/>
      <c r="P72" s="345"/>
      <c r="Q72" s="158">
        <v>191.9</v>
      </c>
      <c r="R72" s="155">
        <f>AVERAGE(F90:F93)</f>
        <v>3.6740000000000004</v>
      </c>
      <c r="S72" s="159">
        <f>STDEV(F90:F93)</f>
        <v>0.12630056743076559</v>
      </c>
      <c r="T72" s="157">
        <f t="shared" si="2"/>
        <v>6.3150283715382796E-2</v>
      </c>
      <c r="U72" s="316"/>
      <c r="V72" s="317"/>
      <c r="W72" s="154">
        <f t="shared" si="1"/>
        <v>1.7188427794061729</v>
      </c>
      <c r="X72" s="154">
        <v>0.34043000000000001</v>
      </c>
    </row>
    <row r="73" spans="1:25" ht="15" customHeight="1">
      <c r="A73" s="13" t="s">
        <v>223</v>
      </c>
      <c r="B73" t="s">
        <v>224</v>
      </c>
      <c r="C73" t="s">
        <v>225</v>
      </c>
      <c r="E73">
        <v>0.59</v>
      </c>
      <c r="F73">
        <f t="shared" si="0"/>
        <v>3.2449999999999997</v>
      </c>
      <c r="H73" s="14"/>
      <c r="I73" s="1"/>
      <c r="P73" s="294">
        <v>1</v>
      </c>
      <c r="Q73" s="6">
        <v>0</v>
      </c>
      <c r="R73" s="29">
        <f>AVERAGE(F94:F97)</f>
        <v>9.5191249999999989</v>
      </c>
      <c r="S73" s="29">
        <f>STDEV(F94:F97)</f>
        <v>0.48181538217454223</v>
      </c>
      <c r="T73" s="8">
        <f t="shared" si="2"/>
        <v>0.24090769108727111</v>
      </c>
      <c r="U73" s="297" t="s">
        <v>226</v>
      </c>
      <c r="V73" s="298"/>
      <c r="W73" s="34">
        <f t="shared" si="1"/>
        <v>2.5307755816555737</v>
      </c>
      <c r="X73" s="34">
        <v>0.88204212299999996</v>
      </c>
    </row>
    <row r="74" spans="1:25">
      <c r="A74" s="13" t="s">
        <v>210</v>
      </c>
      <c r="B74" t="s">
        <v>227</v>
      </c>
      <c r="C74" t="s">
        <v>228</v>
      </c>
      <c r="E74">
        <v>0.55100000000000005</v>
      </c>
      <c r="F74">
        <f t="shared" si="0"/>
        <v>3.0305000000000004</v>
      </c>
      <c r="H74" s="14"/>
      <c r="I74" s="1"/>
      <c r="P74" s="295"/>
      <c r="Q74" s="15">
        <v>8</v>
      </c>
      <c r="R74" s="16">
        <f>AVERAGE(F98:F101)</f>
        <v>8.6404999999999994</v>
      </c>
      <c r="S74" s="16">
        <f>STDEV(F98:F101)</f>
        <v>0.90211178169152972</v>
      </c>
      <c r="T74" s="17">
        <f t="shared" si="2"/>
        <v>0.45105589084576486</v>
      </c>
      <c r="U74" s="299"/>
      <c r="V74" s="300"/>
      <c r="W74" s="17">
        <f t="shared" si="1"/>
        <v>5.2202521942684443</v>
      </c>
      <c r="X74" s="17">
        <v>0.45105589099999999</v>
      </c>
    </row>
    <row r="75" spans="1:25">
      <c r="A75" s="32"/>
      <c r="B75" s="21" t="s">
        <v>229</v>
      </c>
      <c r="C75" s="21" t="s">
        <v>230</v>
      </c>
      <c r="D75" s="21"/>
      <c r="E75" s="21">
        <v>0.66500000000000004</v>
      </c>
      <c r="F75" s="21">
        <f t="shared" si="0"/>
        <v>3.6575000000000002</v>
      </c>
      <c r="G75" s="21"/>
      <c r="H75" s="22"/>
      <c r="P75" s="295"/>
      <c r="Q75" s="15">
        <v>24</v>
      </c>
      <c r="R75" s="16">
        <f>AVERAGE(F102:F105)</f>
        <v>7.6394999999999991</v>
      </c>
      <c r="S75" s="16">
        <f>STDEV(F102:F105)</f>
        <v>0.56306319953151451</v>
      </c>
      <c r="T75" s="17">
        <f t="shared" si="2"/>
        <v>0.28153159976575726</v>
      </c>
      <c r="U75" s="299"/>
      <c r="V75" s="300"/>
      <c r="W75" s="11">
        <f t="shared" si="1"/>
        <v>3.6852097619707744</v>
      </c>
      <c r="X75" s="11">
        <v>0.70787606999999997</v>
      </c>
    </row>
    <row r="76" spans="1:25">
      <c r="A76" s="26" t="s">
        <v>231</v>
      </c>
      <c r="B76" s="27" t="s">
        <v>232</v>
      </c>
      <c r="C76" s="27" t="s">
        <v>233</v>
      </c>
      <c r="D76" s="27"/>
      <c r="E76" s="27">
        <v>0.44</v>
      </c>
      <c r="F76" s="27">
        <f t="shared" si="0"/>
        <v>2.42</v>
      </c>
      <c r="G76" s="27">
        <f>AVERAGE(F76:F78)</f>
        <v>2.0423333333333336</v>
      </c>
      <c r="H76" s="28">
        <f>_xlfn.STDEV.P(F76:F78)</f>
        <v>0.26765410929447969</v>
      </c>
      <c r="P76" s="296"/>
      <c r="Q76" s="23">
        <v>47.9</v>
      </c>
      <c r="R76" s="16">
        <f>AVERAGE(F106:F109)</f>
        <v>6.1792499999999997</v>
      </c>
      <c r="S76" s="16">
        <f>STDEV(F106:F109)</f>
        <v>0.7276301143667242</v>
      </c>
      <c r="T76" s="25">
        <f t="shared" si="2"/>
        <v>0.3638150571833621</v>
      </c>
      <c r="U76" s="301"/>
      <c r="V76" s="302"/>
      <c r="W76" s="17">
        <f t="shared" si="1"/>
        <v>5.8876895607616158</v>
      </c>
      <c r="X76" s="17">
        <v>0.363815057</v>
      </c>
    </row>
    <row r="77" spans="1:25" ht="15" customHeight="1">
      <c r="A77" s="13" t="s">
        <v>210</v>
      </c>
      <c r="B77" t="s">
        <v>234</v>
      </c>
      <c r="C77" t="s">
        <v>235</v>
      </c>
      <c r="E77">
        <v>0.34100000000000003</v>
      </c>
      <c r="F77">
        <f t="shared" si="0"/>
        <v>1.8755000000000002</v>
      </c>
      <c r="H77" s="14"/>
      <c r="I77" s="1"/>
      <c r="P77" s="303">
        <v>7</v>
      </c>
      <c r="Q77" s="7">
        <v>144</v>
      </c>
      <c r="R77" s="30">
        <f>AVERAGE(F110:F113)</f>
        <v>10.85975</v>
      </c>
      <c r="S77" s="29">
        <f>STDEV(F110:F113)</f>
        <v>1.4059108850374107</v>
      </c>
      <c r="T77" s="17">
        <f t="shared" si="2"/>
        <v>0.70295544251870534</v>
      </c>
      <c r="U77" s="297" t="s">
        <v>226</v>
      </c>
      <c r="V77" s="298"/>
      <c r="W77" s="17">
        <f t="shared" si="1"/>
        <v>6.4730352219775344</v>
      </c>
      <c r="X77" s="17">
        <v>0.70295544300000001</v>
      </c>
    </row>
    <row r="78" spans="1:25" ht="16" thickBot="1">
      <c r="A78" s="35"/>
      <c r="B78" s="36" t="s">
        <v>236</v>
      </c>
      <c r="C78" s="36" t="s">
        <v>53</v>
      </c>
      <c r="D78" s="36"/>
      <c r="E78" s="36">
        <v>0.33300000000000002</v>
      </c>
      <c r="F78" s="36">
        <f t="shared" si="0"/>
        <v>1.8315000000000001</v>
      </c>
      <c r="G78" s="36"/>
      <c r="H78" s="37"/>
      <c r="P78" s="304"/>
      <c r="Q78" s="38">
        <v>152</v>
      </c>
      <c r="R78" s="31">
        <f>AVERAGE(F114:F117)</f>
        <v>9.593375</v>
      </c>
      <c r="S78" s="16">
        <f>STDEV(F114:F117)</f>
        <v>0.144569115535327</v>
      </c>
      <c r="T78" s="17">
        <f t="shared" si="2"/>
        <v>7.2284557767663501E-2</v>
      </c>
      <c r="U78" s="299"/>
      <c r="V78" s="300"/>
      <c r="W78" s="11">
        <f t="shared" si="1"/>
        <v>0.75348412594799541</v>
      </c>
      <c r="X78" s="11">
        <v>0.88892212800000003</v>
      </c>
    </row>
    <row r="79" spans="1:25">
      <c r="A79" s="3" t="s">
        <v>237</v>
      </c>
      <c r="B79" s="4" t="s">
        <v>238</v>
      </c>
      <c r="C79" s="4" t="s">
        <v>239</v>
      </c>
      <c r="D79" s="4"/>
      <c r="E79" s="4">
        <v>0.92</v>
      </c>
      <c r="F79" s="4">
        <f t="shared" si="0"/>
        <v>5.0600000000000005</v>
      </c>
      <c r="G79" s="4">
        <f>AVERAGE(F79:F81)</f>
        <v>5.1846666666666659</v>
      </c>
      <c r="H79" s="5">
        <f>_xlfn.STDEV.P(F79:F81)</f>
        <v>9.3589826132734671E-2</v>
      </c>
      <c r="P79" s="304"/>
      <c r="Q79" s="38">
        <v>168</v>
      </c>
      <c r="R79" s="31">
        <f>AVERAGE(F118:F121)</f>
        <v>9.1506249999999998</v>
      </c>
      <c r="S79" s="16">
        <f>STDEV(F118:F121)</f>
        <v>0.20892158616731477</v>
      </c>
      <c r="T79" s="17">
        <f t="shared" si="2"/>
        <v>0.10446079308365738</v>
      </c>
      <c r="U79" s="299"/>
      <c r="V79" s="300"/>
      <c r="W79" s="11">
        <f t="shared" si="1"/>
        <v>1.1415700357479122</v>
      </c>
      <c r="X79" s="11">
        <v>0.84789691300000003</v>
      </c>
    </row>
    <row r="80" spans="1:25">
      <c r="A80" s="13" t="s">
        <v>240</v>
      </c>
      <c r="B80" t="s">
        <v>241</v>
      </c>
      <c r="C80" t="s">
        <v>242</v>
      </c>
      <c r="E80">
        <v>0.94699999999999995</v>
      </c>
      <c r="F80">
        <f t="shared" si="0"/>
        <v>5.2084999999999999</v>
      </c>
      <c r="H80" s="14"/>
      <c r="I80" s="1"/>
      <c r="P80" s="305"/>
      <c r="Q80" s="39">
        <v>191.9</v>
      </c>
      <c r="R80" s="33">
        <f>AVERAGE(F122:F125)</f>
        <v>8.5786250000000006</v>
      </c>
      <c r="S80" s="24">
        <f>STDEV(F122:F125)</f>
        <v>0.25590765749908001</v>
      </c>
      <c r="T80" s="25">
        <f t="shared" si="2"/>
        <v>0.12795382874954001</v>
      </c>
      <c r="U80" s="301"/>
      <c r="V80" s="302"/>
      <c r="W80" s="40">
        <f t="shared" si="1"/>
        <v>1.4915423946091593</v>
      </c>
      <c r="X80" s="40">
        <v>0.79489539300000001</v>
      </c>
    </row>
    <row r="81" spans="1:24">
      <c r="A81" s="19" t="s">
        <v>210</v>
      </c>
      <c r="B81" s="21" t="s">
        <v>243</v>
      </c>
      <c r="C81" s="21" t="s">
        <v>244</v>
      </c>
      <c r="D81" s="21"/>
      <c r="E81" s="21">
        <v>0.96099999999999997</v>
      </c>
      <c r="F81" s="21">
        <f t="shared" si="0"/>
        <v>5.2854999999999999</v>
      </c>
      <c r="G81" s="21"/>
      <c r="H81" s="22"/>
      <c r="I81" s="1"/>
      <c r="V81" t="s">
        <v>190</v>
      </c>
      <c r="X81">
        <f>AVERAGE(X65:X80)</f>
        <v>0.54150806362500004</v>
      </c>
    </row>
    <row r="82" spans="1:24">
      <c r="A82" s="26" t="s">
        <v>245</v>
      </c>
      <c r="B82" s="27" t="s">
        <v>246</v>
      </c>
      <c r="C82" s="27" t="s">
        <v>247</v>
      </c>
      <c r="D82" s="27"/>
      <c r="E82" s="27">
        <v>0.84199999999999997</v>
      </c>
      <c r="F82" s="27">
        <f t="shared" si="0"/>
        <v>4.6310000000000002</v>
      </c>
      <c r="G82" s="27">
        <f>AVERAGE(F82:F85)</f>
        <v>4.9087499999999995</v>
      </c>
      <c r="H82" s="28">
        <f>_xlfn.STDEV.P(F82:F85)</f>
        <v>0.22077208270068926</v>
      </c>
    </row>
    <row r="83" spans="1:24">
      <c r="A83" s="13" t="s">
        <v>216</v>
      </c>
      <c r="B83" t="s">
        <v>248</v>
      </c>
      <c r="C83" t="s">
        <v>249</v>
      </c>
      <c r="E83">
        <v>0.871</v>
      </c>
      <c r="F83">
        <f t="shared" si="0"/>
        <v>4.7904999999999998</v>
      </c>
      <c r="H83" s="14"/>
      <c r="I83" s="1"/>
    </row>
    <row r="84" spans="1:24">
      <c r="A84" s="13" t="s">
        <v>210</v>
      </c>
      <c r="B84" t="s">
        <v>250</v>
      </c>
      <c r="C84" t="s">
        <v>242</v>
      </c>
      <c r="E84">
        <v>0.94899999999999995</v>
      </c>
      <c r="F84">
        <f t="shared" si="0"/>
        <v>5.2195</v>
      </c>
      <c r="H84" s="14"/>
      <c r="I84" s="1"/>
      <c r="P84" s="41" t="s">
        <v>251</v>
      </c>
    </row>
    <row r="85" spans="1:24">
      <c r="A85" s="32"/>
      <c r="B85" s="21" t="s">
        <v>252</v>
      </c>
      <c r="C85" s="21" t="s">
        <v>55</v>
      </c>
      <c r="D85" s="21"/>
      <c r="E85" s="21">
        <v>0.90800000000000003</v>
      </c>
      <c r="F85" s="21">
        <f t="shared" si="0"/>
        <v>4.9939999999999998</v>
      </c>
      <c r="G85" s="21"/>
      <c r="H85" s="22"/>
    </row>
    <row r="86" spans="1:24">
      <c r="A86" s="26" t="s">
        <v>253</v>
      </c>
      <c r="B86" s="27" t="s">
        <v>254</v>
      </c>
      <c r="C86" s="27" t="s">
        <v>152</v>
      </c>
      <c r="D86" s="27"/>
      <c r="E86" s="27">
        <v>0.8</v>
      </c>
      <c r="F86" s="27">
        <f t="shared" si="0"/>
        <v>4.4000000000000004</v>
      </c>
      <c r="G86" s="27">
        <f>AVERAGE(F86:F89)</f>
        <v>4.4893749999999999</v>
      </c>
      <c r="H86" s="28">
        <f>_xlfn.STDEV.P(F86:F89)</f>
        <v>6.0546856854835851E-2</v>
      </c>
      <c r="P86" t="s">
        <v>255</v>
      </c>
    </row>
    <row r="87" spans="1:24">
      <c r="A87" s="13" t="s">
        <v>223</v>
      </c>
      <c r="B87" t="s">
        <v>256</v>
      </c>
      <c r="C87" t="s">
        <v>257</v>
      </c>
      <c r="E87">
        <v>0.81599999999999995</v>
      </c>
      <c r="F87">
        <f t="shared" si="0"/>
        <v>4.4879999999999995</v>
      </c>
      <c r="H87" s="14"/>
      <c r="I87" s="1"/>
    </row>
    <row r="88" spans="1:24">
      <c r="A88" s="13" t="s">
        <v>210</v>
      </c>
      <c r="B88" t="s">
        <v>258</v>
      </c>
      <c r="C88" t="s">
        <v>259</v>
      </c>
      <c r="E88">
        <v>0.81799999999999995</v>
      </c>
      <c r="F88">
        <f t="shared" si="0"/>
        <v>4.4989999999999997</v>
      </c>
      <c r="H88" s="14"/>
      <c r="I88" s="1"/>
    </row>
    <row r="89" spans="1:24">
      <c r="A89" s="32"/>
      <c r="B89" s="21" t="s">
        <v>260</v>
      </c>
      <c r="C89" s="21" t="s">
        <v>214</v>
      </c>
      <c r="D89" s="21"/>
      <c r="E89" s="21">
        <v>0.83099999999999996</v>
      </c>
      <c r="F89" s="21">
        <f t="shared" si="0"/>
        <v>4.5705</v>
      </c>
      <c r="G89" s="21"/>
      <c r="H89" s="22"/>
    </row>
    <row r="90" spans="1:24">
      <c r="A90" s="26" t="s">
        <v>261</v>
      </c>
      <c r="B90" s="27" t="s">
        <v>262</v>
      </c>
      <c r="C90" s="27" t="s">
        <v>263</v>
      </c>
      <c r="D90" s="27"/>
      <c r="E90" s="27">
        <v>0.68400000000000005</v>
      </c>
      <c r="F90" s="27">
        <f t="shared" si="0"/>
        <v>3.7620000000000005</v>
      </c>
      <c r="G90" s="27">
        <f>AVERAGE(F90:F93)</f>
        <v>3.6740000000000004</v>
      </c>
      <c r="H90" s="28">
        <f>_xlfn.STDEV.P(F90:F93)</f>
        <v>0.10937949990743248</v>
      </c>
    </row>
    <row r="91" spans="1:24">
      <c r="A91" s="13" t="s">
        <v>264</v>
      </c>
      <c r="B91" s="42" t="s">
        <v>265</v>
      </c>
      <c r="C91" t="s">
        <v>266</v>
      </c>
      <c r="E91">
        <v>0.67500000000000004</v>
      </c>
      <c r="F91">
        <f t="shared" si="0"/>
        <v>3.7125000000000004</v>
      </c>
      <c r="H91" s="14"/>
      <c r="I91" s="1"/>
      <c r="J91" s="2"/>
    </row>
    <row r="92" spans="1:24">
      <c r="A92" s="13" t="s">
        <v>210</v>
      </c>
      <c r="B92" t="s">
        <v>267</v>
      </c>
      <c r="C92" t="s">
        <v>268</v>
      </c>
      <c r="E92">
        <v>0.67900000000000005</v>
      </c>
      <c r="F92">
        <f t="shared" si="0"/>
        <v>3.7345000000000002</v>
      </c>
      <c r="H92" s="14"/>
      <c r="I92" s="1"/>
    </row>
    <row r="93" spans="1:24" ht="16" thickBot="1">
      <c r="A93" s="35"/>
      <c r="B93" s="36" t="s">
        <v>269</v>
      </c>
      <c r="C93" s="36" t="s">
        <v>270</v>
      </c>
      <c r="D93" s="36"/>
      <c r="E93" s="36">
        <v>0.63400000000000001</v>
      </c>
      <c r="F93" s="36">
        <f t="shared" si="0"/>
        <v>3.4870000000000001</v>
      </c>
      <c r="G93" s="36"/>
      <c r="H93" s="37"/>
    </row>
    <row r="94" spans="1:24">
      <c r="A94" s="43" t="s">
        <v>271</v>
      </c>
      <c r="B94" s="4" t="s">
        <v>272</v>
      </c>
      <c r="C94" s="4" t="s">
        <v>273</v>
      </c>
      <c r="D94" s="4"/>
      <c r="E94" s="4">
        <v>1.7410000000000001</v>
      </c>
      <c r="F94" s="4">
        <f t="shared" si="0"/>
        <v>9.5754999999999999</v>
      </c>
      <c r="G94" s="4">
        <f>AVERAGE(F94:F97)</f>
        <v>9.5191249999999989</v>
      </c>
      <c r="H94" s="5">
        <f>_xlfn.STDEV.P(F94:F97)</f>
        <v>0.41726436089726154</v>
      </c>
    </row>
    <row r="95" spans="1:24">
      <c r="A95" s="44" t="s">
        <v>204</v>
      </c>
      <c r="B95" t="s">
        <v>274</v>
      </c>
      <c r="C95" t="s">
        <v>275</v>
      </c>
      <c r="E95">
        <v>1.8080000000000001</v>
      </c>
      <c r="F95">
        <f t="shared" si="0"/>
        <v>9.9440000000000008</v>
      </c>
      <c r="H95" s="14"/>
      <c r="I95" s="1"/>
    </row>
    <row r="96" spans="1:24">
      <c r="A96" s="44" t="s">
        <v>206</v>
      </c>
      <c r="B96" t="s">
        <v>276</v>
      </c>
      <c r="C96" t="s">
        <v>277</v>
      </c>
      <c r="E96">
        <v>1.6060000000000001</v>
      </c>
      <c r="F96">
        <f t="shared" si="0"/>
        <v>8.8330000000000002</v>
      </c>
      <c r="H96" s="14"/>
      <c r="I96" s="1"/>
    </row>
    <row r="97" spans="1:9">
      <c r="A97" s="45" t="s">
        <v>278</v>
      </c>
      <c r="B97" s="21" t="s">
        <v>279</v>
      </c>
      <c r="C97" s="21" t="s">
        <v>280</v>
      </c>
      <c r="D97" s="21"/>
      <c r="E97" s="21">
        <v>1.768</v>
      </c>
      <c r="F97" s="21">
        <f t="shared" si="0"/>
        <v>9.7240000000000002</v>
      </c>
      <c r="G97" s="21"/>
      <c r="H97" s="22"/>
      <c r="I97" s="1"/>
    </row>
    <row r="98" spans="1:9">
      <c r="A98" s="46" t="s">
        <v>281</v>
      </c>
      <c r="B98" s="27" t="s">
        <v>282</v>
      </c>
      <c r="C98" s="27" t="s">
        <v>283</v>
      </c>
      <c r="D98" s="27"/>
      <c r="E98" s="27">
        <v>1.6879999999999999</v>
      </c>
      <c r="F98" s="27">
        <f t="shared" si="0"/>
        <v>9.2839999999999989</v>
      </c>
      <c r="G98" s="27">
        <f>AVERAGE(F98:F101)</f>
        <v>8.6404999999999994</v>
      </c>
      <c r="H98" s="28">
        <f>_xlfn.STDEV.P(F98:F101)</f>
        <v>0.78125171999810639</v>
      </c>
    </row>
    <row r="99" spans="1:9">
      <c r="A99" s="44" t="s">
        <v>216</v>
      </c>
      <c r="B99" t="s">
        <v>284</v>
      </c>
      <c r="C99" t="s">
        <v>285</v>
      </c>
      <c r="E99">
        <v>1.63</v>
      </c>
      <c r="F99">
        <f t="shared" si="0"/>
        <v>8.9649999999999999</v>
      </c>
      <c r="H99" s="14"/>
      <c r="I99" s="1"/>
    </row>
    <row r="100" spans="1:9">
      <c r="A100" s="44" t="s">
        <v>278</v>
      </c>
      <c r="B100" t="s">
        <v>286</v>
      </c>
      <c r="C100" t="s">
        <v>287</v>
      </c>
      <c r="E100">
        <v>1.6379999999999999</v>
      </c>
      <c r="F100">
        <f t="shared" si="0"/>
        <v>9.0090000000000003</v>
      </c>
      <c r="H100" s="14"/>
      <c r="I100" s="1"/>
    </row>
    <row r="101" spans="1:9">
      <c r="A101" s="47"/>
      <c r="B101" s="21" t="s">
        <v>288</v>
      </c>
      <c r="C101" s="21" t="s">
        <v>289</v>
      </c>
      <c r="D101" s="21"/>
      <c r="E101" s="21">
        <v>1.3280000000000001</v>
      </c>
      <c r="F101" s="21">
        <f t="shared" si="0"/>
        <v>7.3040000000000003</v>
      </c>
      <c r="G101" s="21"/>
      <c r="H101" s="22"/>
    </row>
    <row r="102" spans="1:9">
      <c r="A102" s="48" t="s">
        <v>290</v>
      </c>
      <c r="B102" t="s">
        <v>291</v>
      </c>
      <c r="C102" t="s">
        <v>292</v>
      </c>
      <c r="E102">
        <v>1.363</v>
      </c>
      <c r="F102">
        <f t="shared" si="0"/>
        <v>7.4965000000000002</v>
      </c>
      <c r="G102">
        <f>AVERAGE(F102:F105)</f>
        <v>7.6394999999999991</v>
      </c>
      <c r="H102" s="14">
        <f>_xlfn.STDEV.P(F102:F105)</f>
        <v>0.48762703473043784</v>
      </c>
    </row>
    <row r="103" spans="1:9">
      <c r="A103" s="44" t="s">
        <v>223</v>
      </c>
      <c r="B103" t="s">
        <v>293</v>
      </c>
      <c r="C103" t="s">
        <v>294</v>
      </c>
      <c r="E103">
        <v>1.31</v>
      </c>
      <c r="F103">
        <f t="shared" si="0"/>
        <v>7.2050000000000001</v>
      </c>
      <c r="H103" s="14"/>
      <c r="I103" s="1"/>
    </row>
    <row r="104" spans="1:9">
      <c r="A104" s="44" t="s">
        <v>278</v>
      </c>
      <c r="B104" t="s">
        <v>295</v>
      </c>
      <c r="C104" t="s">
        <v>86</v>
      </c>
      <c r="E104">
        <v>1.5389999999999999</v>
      </c>
      <c r="F104">
        <f t="shared" si="0"/>
        <v>8.4644999999999992</v>
      </c>
      <c r="H104" s="14"/>
      <c r="I104" s="1"/>
    </row>
    <row r="105" spans="1:9">
      <c r="A105" s="48"/>
      <c r="B105" t="s">
        <v>296</v>
      </c>
      <c r="C105" t="s">
        <v>297</v>
      </c>
      <c r="E105">
        <v>1.3440000000000001</v>
      </c>
      <c r="F105">
        <f t="shared" si="0"/>
        <v>7.3920000000000003</v>
      </c>
      <c r="H105" s="14"/>
    </row>
    <row r="106" spans="1:9">
      <c r="A106" s="46" t="s">
        <v>298</v>
      </c>
      <c r="B106" s="27" t="s">
        <v>299</v>
      </c>
      <c r="C106" s="27" t="s">
        <v>300</v>
      </c>
      <c r="D106" s="27"/>
      <c r="E106" s="27">
        <v>1.0549999999999999</v>
      </c>
      <c r="F106" s="27">
        <f t="shared" si="0"/>
        <v>5.8024999999999993</v>
      </c>
      <c r="G106" s="27">
        <f>AVERAGE(F106:F109)</f>
        <v>6.1792499999999997</v>
      </c>
      <c r="H106" s="28">
        <f>_xlfn.STDEV.P(F106:F109)</f>
        <v>0.63014616360015963</v>
      </c>
    </row>
    <row r="107" spans="1:9">
      <c r="A107" s="44" t="s">
        <v>264</v>
      </c>
      <c r="B107" t="s">
        <v>301</v>
      </c>
      <c r="C107" t="s">
        <v>302</v>
      </c>
      <c r="E107">
        <v>0.997</v>
      </c>
      <c r="F107">
        <f t="shared" si="0"/>
        <v>5.4835000000000003</v>
      </c>
      <c r="H107" s="14"/>
      <c r="I107" s="1"/>
    </row>
    <row r="108" spans="1:9">
      <c r="A108" s="44" t="s">
        <v>278</v>
      </c>
      <c r="B108" t="s">
        <v>303</v>
      </c>
      <c r="C108" t="s">
        <v>304</v>
      </c>
      <c r="E108">
        <v>1.3009999999999999</v>
      </c>
      <c r="F108">
        <f t="shared" si="0"/>
        <v>7.1555</v>
      </c>
      <c r="H108" s="14"/>
      <c r="I108" s="1"/>
    </row>
    <row r="109" spans="1:9" ht="16" thickBot="1">
      <c r="A109" s="49"/>
      <c r="B109" s="36" t="s">
        <v>305</v>
      </c>
      <c r="C109" s="36" t="s">
        <v>306</v>
      </c>
      <c r="D109" s="36"/>
      <c r="E109" s="36">
        <v>1.141</v>
      </c>
      <c r="F109" s="36">
        <f t="shared" si="0"/>
        <v>6.2755000000000001</v>
      </c>
      <c r="G109" s="36"/>
      <c r="H109" s="37"/>
    </row>
    <row r="110" spans="1:9">
      <c r="A110" s="43" t="s">
        <v>307</v>
      </c>
      <c r="B110" s="4" t="s">
        <v>308</v>
      </c>
      <c r="C110" s="4" t="s">
        <v>309</v>
      </c>
      <c r="D110" s="4" t="s">
        <v>310</v>
      </c>
      <c r="E110" s="4">
        <v>2.355</v>
      </c>
      <c r="F110" s="4">
        <f t="shared" si="0"/>
        <v>12.952500000000001</v>
      </c>
      <c r="G110" s="4">
        <f>AVERAGE(F110:F113)</f>
        <v>10.85975</v>
      </c>
      <c r="H110" s="5">
        <f>_xlfn.STDEV.P(F110:F113)</f>
        <v>1.2175545418994611</v>
      </c>
    </row>
    <row r="111" spans="1:9">
      <c r="A111" s="44" t="s">
        <v>240</v>
      </c>
      <c r="B111" t="s">
        <v>311</v>
      </c>
      <c r="C111" t="s">
        <v>312</v>
      </c>
      <c r="E111">
        <v>1.8109999999999999</v>
      </c>
      <c r="F111">
        <f t="shared" si="0"/>
        <v>9.9604999999999997</v>
      </c>
      <c r="H111" s="14"/>
      <c r="I111" s="1"/>
    </row>
    <row r="112" spans="1:9">
      <c r="A112" s="44" t="s">
        <v>206</v>
      </c>
      <c r="B112" t="s">
        <v>313</v>
      </c>
      <c r="C112" t="s">
        <v>314</v>
      </c>
      <c r="E112">
        <v>1.8440000000000001</v>
      </c>
      <c r="F112">
        <f t="shared" si="0"/>
        <v>10.142000000000001</v>
      </c>
      <c r="H112" s="14"/>
      <c r="I112" s="1"/>
    </row>
    <row r="113" spans="1:9">
      <c r="A113" s="45" t="s">
        <v>278</v>
      </c>
      <c r="B113" s="21" t="s">
        <v>315</v>
      </c>
      <c r="C113" s="21" t="s">
        <v>316</v>
      </c>
      <c r="D113" s="21"/>
      <c r="E113" s="21">
        <v>1.8879999999999999</v>
      </c>
      <c r="F113" s="21">
        <f t="shared" si="0"/>
        <v>10.384</v>
      </c>
      <c r="G113" s="21"/>
      <c r="H113" s="22"/>
      <c r="I113" s="1"/>
    </row>
    <row r="114" spans="1:9">
      <c r="A114" s="46" t="s">
        <v>317</v>
      </c>
      <c r="B114" s="27" t="s">
        <v>318</v>
      </c>
      <c r="C114" s="27" t="s">
        <v>319</v>
      </c>
      <c r="D114" s="27"/>
      <c r="E114" s="27">
        <v>1.7450000000000001</v>
      </c>
      <c r="F114" s="27">
        <f t="shared" si="0"/>
        <v>9.5975000000000001</v>
      </c>
      <c r="G114" s="27">
        <f>AVERAGE(F114:F117)</f>
        <v>9.593375</v>
      </c>
      <c r="H114" s="28">
        <f>_xlfn.STDEV.P(F114:F117)</f>
        <v>0.12520052665624071</v>
      </c>
    </row>
    <row r="115" spans="1:9">
      <c r="A115" s="44" t="s">
        <v>216</v>
      </c>
      <c r="B115" t="s">
        <v>320</v>
      </c>
      <c r="C115" t="s">
        <v>321</v>
      </c>
      <c r="E115">
        <v>1.748</v>
      </c>
      <c r="F115">
        <f t="shared" si="0"/>
        <v>9.6140000000000008</v>
      </c>
      <c r="H115" s="14"/>
      <c r="I115" s="1"/>
    </row>
    <row r="116" spans="1:9">
      <c r="A116" s="44" t="s">
        <v>278</v>
      </c>
      <c r="B116" t="s">
        <v>322</v>
      </c>
      <c r="C116" t="s">
        <v>323</v>
      </c>
      <c r="E116">
        <v>1.71</v>
      </c>
      <c r="F116">
        <f t="shared" si="0"/>
        <v>9.4049999999999994</v>
      </c>
      <c r="H116" s="14"/>
      <c r="I116" s="1"/>
    </row>
    <row r="117" spans="1:9">
      <c r="A117" s="47"/>
      <c r="B117" s="21" t="s">
        <v>324</v>
      </c>
      <c r="C117" s="21" t="s">
        <v>144</v>
      </c>
      <c r="D117" s="21"/>
      <c r="E117" s="21">
        <v>1.774</v>
      </c>
      <c r="F117" s="21">
        <f t="shared" si="0"/>
        <v>9.7569999999999997</v>
      </c>
      <c r="G117" s="21"/>
      <c r="H117" s="22"/>
    </row>
    <row r="118" spans="1:9">
      <c r="A118" s="46" t="s">
        <v>325</v>
      </c>
      <c r="B118" s="27" t="s">
        <v>326</v>
      </c>
      <c r="C118" s="27" t="s">
        <v>327</v>
      </c>
      <c r="D118" s="27"/>
      <c r="E118" s="27">
        <v>1.627</v>
      </c>
      <c r="F118" s="27">
        <f t="shared" si="0"/>
        <v>8.9484999999999992</v>
      </c>
      <c r="G118" s="27">
        <f>AVERAGE(F118:F121)</f>
        <v>9.1506249999999998</v>
      </c>
      <c r="H118" s="28">
        <f>_xlfn.STDEV.P(F118:F121)</f>
        <v>0.18093140101983415</v>
      </c>
    </row>
    <row r="119" spans="1:9">
      <c r="A119" s="44" t="s">
        <v>223</v>
      </c>
      <c r="B119" t="s">
        <v>328</v>
      </c>
      <c r="C119" t="s">
        <v>329</v>
      </c>
      <c r="E119">
        <v>1.704</v>
      </c>
      <c r="F119">
        <f t="shared" si="0"/>
        <v>9.3719999999999999</v>
      </c>
      <c r="H119" s="14"/>
      <c r="I119" s="1"/>
    </row>
    <row r="120" spans="1:9">
      <c r="A120" s="44" t="s">
        <v>278</v>
      </c>
      <c r="B120" t="s">
        <v>330</v>
      </c>
      <c r="C120" t="s">
        <v>331</v>
      </c>
      <c r="E120">
        <v>1.6359999999999999</v>
      </c>
      <c r="F120">
        <f t="shared" si="0"/>
        <v>8.9979999999999993</v>
      </c>
      <c r="H120" s="14"/>
      <c r="I120" s="1"/>
    </row>
    <row r="121" spans="1:9">
      <c r="A121" s="47"/>
      <c r="B121" s="21" t="s">
        <v>332</v>
      </c>
      <c r="C121" s="21" t="s">
        <v>283</v>
      </c>
      <c r="D121" s="21"/>
      <c r="E121" s="21">
        <v>1.6879999999999999</v>
      </c>
      <c r="F121" s="21">
        <f t="shared" si="0"/>
        <v>9.2839999999999989</v>
      </c>
      <c r="G121" s="21"/>
      <c r="H121" s="22"/>
    </row>
    <row r="122" spans="1:9">
      <c r="A122" s="48" t="s">
        <v>333</v>
      </c>
      <c r="B122" t="s">
        <v>334</v>
      </c>
      <c r="C122" t="s">
        <v>335</v>
      </c>
      <c r="E122">
        <v>1.4990000000000001</v>
      </c>
      <c r="F122">
        <f t="shared" si="0"/>
        <v>8.2445000000000004</v>
      </c>
      <c r="G122">
        <f>AVERAGE(F122:F125)</f>
        <v>8.5786250000000006</v>
      </c>
      <c r="H122" s="14">
        <f>_xlfn.STDEV.P(F122:F125)</f>
        <v>0.22162253241717059</v>
      </c>
    </row>
    <row r="123" spans="1:9">
      <c r="A123" s="44" t="s">
        <v>264</v>
      </c>
      <c r="B123" t="s">
        <v>336</v>
      </c>
      <c r="C123" t="s">
        <v>337</v>
      </c>
      <c r="E123">
        <v>1.609</v>
      </c>
      <c r="F123">
        <f t="shared" si="0"/>
        <v>8.849499999999999</v>
      </c>
      <c r="H123" s="14"/>
      <c r="I123" s="1"/>
    </row>
    <row r="124" spans="1:9">
      <c r="A124" s="44" t="s">
        <v>278</v>
      </c>
      <c r="B124" t="s">
        <v>338</v>
      </c>
      <c r="C124" t="s">
        <v>339</v>
      </c>
      <c r="E124">
        <v>1.5529999999999999</v>
      </c>
      <c r="F124">
        <f t="shared" si="0"/>
        <v>8.5414999999999992</v>
      </c>
      <c r="H124" s="14"/>
      <c r="I124" s="1"/>
    </row>
    <row r="125" spans="1:9" ht="16" thickBot="1">
      <c r="A125" s="49"/>
      <c r="B125" s="36" t="s">
        <v>340</v>
      </c>
      <c r="C125" s="36" t="s">
        <v>341</v>
      </c>
      <c r="D125" s="36"/>
      <c r="E125" s="36">
        <v>1.5780000000000001</v>
      </c>
      <c r="F125" s="36">
        <f t="shared" si="0"/>
        <v>8.6790000000000003</v>
      </c>
      <c r="G125" s="36"/>
      <c r="H125" s="37"/>
    </row>
    <row r="127" spans="1:9">
      <c r="A127" t="s">
        <v>105</v>
      </c>
    </row>
    <row r="129" spans="1:3">
      <c r="A129" t="s">
        <v>342</v>
      </c>
    </row>
    <row r="131" spans="1:3">
      <c r="A131" t="s">
        <v>4</v>
      </c>
    </row>
    <row r="132" spans="1:3">
      <c r="A132" t="s">
        <v>103</v>
      </c>
      <c r="B132" t="s">
        <v>343</v>
      </c>
      <c r="C132">
        <v>0</v>
      </c>
    </row>
    <row r="134" spans="1:3">
      <c r="A134" t="s">
        <v>4</v>
      </c>
    </row>
    <row r="135" spans="1:3">
      <c r="A135" t="s">
        <v>344</v>
      </c>
    </row>
    <row r="136" spans="1:3">
      <c r="A136" t="s">
        <v>345</v>
      </c>
    </row>
  </sheetData>
  <mergeCells count="15">
    <mergeCell ref="P77:P80"/>
    <mergeCell ref="U77:V80"/>
    <mergeCell ref="W63:W64"/>
    <mergeCell ref="P65:P68"/>
    <mergeCell ref="U65:V68"/>
    <mergeCell ref="P69:P72"/>
    <mergeCell ref="U69:V72"/>
    <mergeCell ref="P73:P76"/>
    <mergeCell ref="U73:V76"/>
    <mergeCell ref="P63:P64"/>
    <mergeCell ref="Q63:Q64"/>
    <mergeCell ref="R63:R64"/>
    <mergeCell ref="S63:S64"/>
    <mergeCell ref="T63:T64"/>
    <mergeCell ref="U63:V64"/>
  </mergeCells>
  <pageMargins left="0.7" right="0.7" top="0.75" bottom="0.75" header="0.3" footer="0.3"/>
  <pageSetup paperSize="9" orientation="portrait" horizontalDpi="0" verticalDpi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B531A-D480-C341-A55C-37233ADE6A45}">
  <dimension ref="B2:AW432"/>
  <sheetViews>
    <sheetView topLeftCell="S35" zoomScale="62" zoomScaleNormal="81" workbookViewId="0">
      <selection activeCell="AH48" sqref="AH48"/>
    </sheetView>
  </sheetViews>
  <sheetFormatPr baseColWidth="10" defaultRowHeight="15"/>
  <cols>
    <col min="4" max="4" width="20" customWidth="1"/>
    <col min="5" max="5" width="19.1640625" customWidth="1"/>
    <col min="6" max="6" width="16.5" customWidth="1"/>
    <col min="25" max="25" width="12.1640625" customWidth="1"/>
    <col min="28" max="28" width="20" customWidth="1"/>
    <col min="29" max="29" width="37.33203125" customWidth="1"/>
    <col min="30" max="30" width="15" customWidth="1"/>
    <col min="32" max="32" width="31.1640625" customWidth="1"/>
    <col min="34" max="34" width="24.1640625" customWidth="1"/>
    <col min="46" max="46" width="36.5" customWidth="1"/>
    <col min="47" max="47" width="17.33203125" customWidth="1"/>
    <col min="49" max="49" width="44.1640625" customWidth="1"/>
  </cols>
  <sheetData>
    <row r="2" spans="2:49">
      <c r="B2" t="s">
        <v>793</v>
      </c>
      <c r="D2" t="s">
        <v>792</v>
      </c>
    </row>
    <row r="3" spans="2:49">
      <c r="B3" t="s">
        <v>791</v>
      </c>
      <c r="D3" t="s">
        <v>790</v>
      </c>
    </row>
    <row r="5" spans="2:49">
      <c r="B5" s="1" t="s">
        <v>789</v>
      </c>
    </row>
    <row r="6" spans="2:49">
      <c r="B6" s="292" t="s">
        <v>788</v>
      </c>
      <c r="C6" t="s">
        <v>787</v>
      </c>
      <c r="D6" s="293" t="s">
        <v>786</v>
      </c>
      <c r="E6" t="s">
        <v>785</v>
      </c>
      <c r="F6" t="s">
        <v>784</v>
      </c>
      <c r="G6" s="293" t="s">
        <v>783</v>
      </c>
      <c r="H6" t="s">
        <v>782</v>
      </c>
      <c r="I6" t="s">
        <v>781</v>
      </c>
      <c r="J6" t="s">
        <v>780</v>
      </c>
      <c r="K6" t="s">
        <v>779</v>
      </c>
      <c r="L6" t="s">
        <v>778</v>
      </c>
    </row>
    <row r="7" spans="2:49">
      <c r="B7" s="292" t="s">
        <v>777</v>
      </c>
      <c r="C7" s="292">
        <v>29</v>
      </c>
      <c r="D7" s="291" t="s">
        <v>776</v>
      </c>
      <c r="E7" s="292" t="s">
        <v>775</v>
      </c>
      <c r="F7" s="291" t="s">
        <v>774</v>
      </c>
      <c r="G7" s="291" t="s">
        <v>773</v>
      </c>
      <c r="H7" s="291" t="s">
        <v>772</v>
      </c>
      <c r="I7" s="291" t="s">
        <v>771</v>
      </c>
      <c r="J7" s="291" t="s">
        <v>770</v>
      </c>
      <c r="K7" s="291" t="s">
        <v>769</v>
      </c>
      <c r="L7" s="291" t="s">
        <v>768</v>
      </c>
    </row>
    <row r="8" spans="2:49">
      <c r="AC8" s="147"/>
    </row>
    <row r="9" spans="2:49" ht="16">
      <c r="B9" t="s">
        <v>767</v>
      </c>
      <c r="D9" s="290" t="s">
        <v>766</v>
      </c>
    </row>
    <row r="12" spans="2:49" ht="24">
      <c r="B12" s="168" t="s">
        <v>765</v>
      </c>
      <c r="C12" s="168"/>
      <c r="D12" s="168"/>
      <c r="E12" s="168"/>
      <c r="F12" s="168"/>
      <c r="G12" s="168"/>
      <c r="H12" s="168"/>
      <c r="I12" s="168"/>
      <c r="J12" s="168"/>
      <c r="K12" s="168"/>
      <c r="L12" s="168"/>
      <c r="M12" s="168"/>
      <c r="N12" s="168"/>
      <c r="O12" s="168"/>
      <c r="P12" s="168"/>
    </row>
    <row r="13" spans="2:49" ht="97" thickBot="1">
      <c r="AC13" s="147" t="s">
        <v>764</v>
      </c>
      <c r="AT13" s="147" t="s">
        <v>764</v>
      </c>
    </row>
    <row r="14" spans="2:49" ht="16" customHeight="1">
      <c r="B14" s="167"/>
      <c r="C14" s="167"/>
      <c r="D14" s="167"/>
      <c r="E14" s="167"/>
      <c r="F14" s="167"/>
      <c r="G14" s="404" t="s">
        <v>723</v>
      </c>
      <c r="H14" s="404"/>
      <c r="I14" s="404"/>
      <c r="J14" s="404"/>
      <c r="K14" s="404"/>
      <c r="L14" s="404"/>
      <c r="M14" s="404"/>
      <c r="N14" s="404"/>
      <c r="O14" s="404"/>
      <c r="P14" s="404"/>
      <c r="R14" s="249"/>
      <c r="S14" s="318" t="s">
        <v>188</v>
      </c>
      <c r="T14" s="318" t="s">
        <v>189</v>
      </c>
      <c r="U14" s="318" t="s">
        <v>190</v>
      </c>
      <c r="V14" s="318" t="s">
        <v>191</v>
      </c>
      <c r="W14" s="318" t="s">
        <v>192</v>
      </c>
      <c r="X14" s="249"/>
      <c r="Y14" s="248"/>
      <c r="Z14" s="249"/>
      <c r="AA14" s="248"/>
      <c r="AB14" s="306" t="s">
        <v>754</v>
      </c>
      <c r="AC14" s="358" t="s">
        <v>195</v>
      </c>
      <c r="AD14" s="358" t="s">
        <v>763</v>
      </c>
      <c r="AE14" s="358"/>
      <c r="AF14" s="359"/>
      <c r="AH14" s="289" t="s">
        <v>762</v>
      </c>
      <c r="AI14" s="288"/>
      <c r="AJ14" s="318" t="s">
        <v>188</v>
      </c>
      <c r="AK14" s="318" t="s">
        <v>189</v>
      </c>
      <c r="AL14" s="318" t="s">
        <v>190</v>
      </c>
      <c r="AM14" s="318" t="s">
        <v>191</v>
      </c>
      <c r="AN14" s="318" t="s">
        <v>192</v>
      </c>
      <c r="AO14" s="249"/>
      <c r="AP14" s="248"/>
      <c r="AQ14" s="249"/>
      <c r="AR14" s="248"/>
      <c r="AS14" s="306" t="s">
        <v>754</v>
      </c>
      <c r="AT14" s="358" t="s">
        <v>195</v>
      </c>
      <c r="AU14" s="445" t="s">
        <v>759</v>
      </c>
    </row>
    <row r="15" spans="2:49" ht="16" thickBot="1">
      <c r="B15" s="166" t="s">
        <v>741</v>
      </c>
      <c r="C15" s="287" t="s">
        <v>720</v>
      </c>
      <c r="D15" s="287" t="s">
        <v>193</v>
      </c>
      <c r="E15" s="287" t="s">
        <v>721</v>
      </c>
      <c r="F15" s="287" t="s">
        <v>753</v>
      </c>
      <c r="G15" s="287">
        <v>1</v>
      </c>
      <c r="H15" s="287">
        <v>2</v>
      </c>
      <c r="I15" s="287">
        <v>3</v>
      </c>
      <c r="J15" s="287">
        <v>4</v>
      </c>
      <c r="K15" s="287">
        <v>5</v>
      </c>
      <c r="L15" s="287">
        <v>6</v>
      </c>
      <c r="M15" s="287">
        <v>7</v>
      </c>
      <c r="N15" s="287">
        <v>8</v>
      </c>
      <c r="O15" s="287">
        <v>9</v>
      </c>
      <c r="P15" s="287">
        <v>10</v>
      </c>
      <c r="R15" s="247" t="s">
        <v>741</v>
      </c>
      <c r="S15" s="318"/>
      <c r="T15" s="318"/>
      <c r="U15" s="306"/>
      <c r="V15" s="306"/>
      <c r="W15" s="306"/>
      <c r="X15" s="247" t="s">
        <v>193</v>
      </c>
      <c r="Y15" s="246"/>
      <c r="Z15" s="247" t="s">
        <v>752</v>
      </c>
      <c r="AA15" s="246"/>
      <c r="AB15" s="307"/>
      <c r="AC15" s="307"/>
      <c r="AD15" s="307"/>
      <c r="AE15" s="307"/>
      <c r="AF15" s="359"/>
      <c r="AH15" s="279"/>
      <c r="AI15" s="287" t="s">
        <v>741</v>
      </c>
      <c r="AJ15" s="306"/>
      <c r="AK15" s="306"/>
      <c r="AL15" s="306"/>
      <c r="AM15" s="306"/>
      <c r="AN15" s="306"/>
      <c r="AO15" s="277" t="s">
        <v>193</v>
      </c>
      <c r="AP15" s="276"/>
      <c r="AQ15" s="277" t="s">
        <v>752</v>
      </c>
      <c r="AR15" s="276"/>
      <c r="AS15" s="323"/>
      <c r="AT15" s="323"/>
      <c r="AU15" s="446"/>
    </row>
    <row r="16" spans="2:49" ht="15" customHeight="1">
      <c r="B16" s="351" t="s">
        <v>733</v>
      </c>
      <c r="C16" s="272">
        <v>1</v>
      </c>
      <c r="D16" s="410" t="s">
        <v>717</v>
      </c>
      <c r="E16" s="392"/>
      <c r="F16" s="271">
        <v>0</v>
      </c>
      <c r="G16" s="270">
        <v>6.6226890756302517</v>
      </c>
      <c r="H16" s="270">
        <v>6.8092436974789914</v>
      </c>
      <c r="I16" s="270">
        <v>6.5294117647058831</v>
      </c>
      <c r="J16" s="270">
        <v>6.5643907563025206</v>
      </c>
      <c r="K16" s="270">
        <v>6.5119222689075631</v>
      </c>
      <c r="L16" s="270">
        <v>6.5235819327731095</v>
      </c>
      <c r="M16" s="270">
        <v>6.1271533613445373</v>
      </c>
      <c r="N16" s="270">
        <v>5.9056197478991592</v>
      </c>
      <c r="O16" s="270">
        <v>6.1504726890756301</v>
      </c>
      <c r="P16" s="269">
        <v>6.010556722689075</v>
      </c>
      <c r="R16" s="236" t="s">
        <v>733</v>
      </c>
      <c r="S16" s="237">
        <v>1</v>
      </c>
      <c r="T16" s="6">
        <v>0</v>
      </c>
      <c r="U16" s="29">
        <f t="shared" ref="U16:U56" si="0">AVERAGE(G16:P16)</f>
        <v>6.3755042016806716</v>
      </c>
      <c r="V16" s="7">
        <f t="shared" ref="V16:V56" si="1">STDEV(G16:P16)</f>
        <v>0.30100355627252734</v>
      </c>
      <c r="W16" s="8">
        <f t="shared" ref="W16:W56" si="2">V16/SQRT(COUNT(G16:P16))</f>
        <v>9.5185682163184876E-2</v>
      </c>
      <c r="X16" s="314" t="s">
        <v>749</v>
      </c>
      <c r="Y16" s="315"/>
      <c r="Z16" s="399" t="s">
        <v>750</v>
      </c>
      <c r="AA16" s="400"/>
      <c r="AB16" s="8">
        <f t="shared" ref="AB16:AB52" si="3">W16/U16*100</f>
        <v>1.4929906584971366</v>
      </c>
      <c r="AC16" s="8"/>
      <c r="AD16" s="9"/>
      <c r="AE16" s="8"/>
      <c r="AH16" s="279">
        <f>AL16-5.55</f>
        <v>1.5776768743400202</v>
      </c>
      <c r="AI16" s="428" t="s">
        <v>733</v>
      </c>
      <c r="AJ16" s="414">
        <v>1</v>
      </c>
      <c r="AK16" s="286">
        <v>0</v>
      </c>
      <c r="AL16" s="286">
        <v>7.1276768743400201</v>
      </c>
      <c r="AM16" s="286">
        <v>0.18723003313576544</v>
      </c>
      <c r="AN16" s="286">
        <v>5.9207335109781642E-2</v>
      </c>
      <c r="AO16" s="435" t="s">
        <v>749</v>
      </c>
      <c r="AP16" s="435"/>
      <c r="AQ16" s="414" t="s">
        <v>748</v>
      </c>
      <c r="AR16" s="414"/>
      <c r="AS16" s="286">
        <v>0.83066805852171688</v>
      </c>
      <c r="AT16" s="285">
        <v>1.6868842094498027</v>
      </c>
      <c r="AU16" s="264">
        <f t="shared" ref="AU16:AU33" si="4">AT16/AL16*100</f>
        <v>23.666676242334539</v>
      </c>
      <c r="AV16" s="424" t="s">
        <v>747</v>
      </c>
      <c r="AW16" s="2" t="s">
        <v>761</v>
      </c>
    </row>
    <row r="17" spans="2:49">
      <c r="B17" s="352"/>
      <c r="C17" s="263"/>
      <c r="D17" s="364"/>
      <c r="E17" s="394"/>
      <c r="F17" s="262">
        <v>8</v>
      </c>
      <c r="G17" s="261">
        <v>4.9553571428571423</v>
      </c>
      <c r="H17" s="261">
        <v>4.9786764705882351</v>
      </c>
      <c r="I17" s="261">
        <v>5.2759978991596643</v>
      </c>
      <c r="J17" s="261">
        <v>5.0486344537815127</v>
      </c>
      <c r="K17" s="261">
        <v>5.0428046218487399</v>
      </c>
      <c r="L17" s="261">
        <v>5.1943802521008404</v>
      </c>
      <c r="M17" s="261">
        <v>5.0194852941176471</v>
      </c>
      <c r="N17" s="261">
        <v>4.9262079831932777</v>
      </c>
      <c r="O17" s="261">
        <v>5.0486344537815127</v>
      </c>
      <c r="P17" s="260">
        <v>5.1594012605042012</v>
      </c>
      <c r="R17" s="236"/>
      <c r="S17" s="235"/>
      <c r="T17" s="15">
        <v>8</v>
      </c>
      <c r="U17" s="29">
        <f t="shared" si="0"/>
        <v>5.0649579831932785</v>
      </c>
      <c r="V17" s="7">
        <f t="shared" si="1"/>
        <v>0.11155833584315843</v>
      </c>
      <c r="W17" s="8">
        <f t="shared" si="2"/>
        <v>3.5277843324238126E-2</v>
      </c>
      <c r="X17" s="310"/>
      <c r="Y17" s="311"/>
      <c r="Z17" s="369"/>
      <c r="AA17" s="370"/>
      <c r="AB17" s="17">
        <f t="shared" si="3"/>
        <v>0.69650811401196822</v>
      </c>
      <c r="AC17" s="17"/>
      <c r="AD17" s="18"/>
      <c r="AE17" s="17"/>
      <c r="AH17" s="279"/>
      <c r="AI17" s="429"/>
      <c r="AJ17" s="415"/>
      <c r="AK17" s="107">
        <v>8</v>
      </c>
      <c r="AL17" s="107">
        <v>5.1403431890179503</v>
      </c>
      <c r="AM17" s="107">
        <v>0.23265064976519884</v>
      </c>
      <c r="AN17" s="107">
        <v>7.3570595237614597E-2</v>
      </c>
      <c r="AO17" s="416"/>
      <c r="AP17" s="416"/>
      <c r="AQ17" s="415"/>
      <c r="AR17" s="415"/>
      <c r="AS17" s="107">
        <v>1.4312389763157054</v>
      </c>
      <c r="AT17" s="207">
        <f>0.1*AL17</f>
        <v>0.51403431890179507</v>
      </c>
      <c r="AU17" s="107">
        <f t="shared" si="4"/>
        <v>10</v>
      </c>
      <c r="AV17" s="425"/>
    </row>
    <row r="18" spans="2:49">
      <c r="B18" s="352"/>
      <c r="C18" s="263"/>
      <c r="D18" s="364"/>
      <c r="E18" s="394"/>
      <c r="F18" s="262">
        <v>24</v>
      </c>
      <c r="G18" s="261">
        <v>4.4593142272262023</v>
      </c>
      <c r="H18" s="261">
        <v>4.4081883316274313</v>
      </c>
      <c r="I18" s="261">
        <v>4.589969293756397</v>
      </c>
      <c r="J18" s="261">
        <v>4.413868986693962</v>
      </c>
      <c r="K18" s="261">
        <v>4.3116171954964173</v>
      </c>
      <c r="L18" s="261">
        <v>4.6808597748208802</v>
      </c>
      <c r="M18" s="261">
        <v>4.4706755373592628</v>
      </c>
      <c r="N18" s="261">
        <v>4.2320880245649946</v>
      </c>
      <c r="O18" s="261">
        <v>4.7660696008188328</v>
      </c>
      <c r="P18" s="260">
        <v>4.5502047082906856</v>
      </c>
      <c r="R18" s="236"/>
      <c r="S18" s="235"/>
      <c r="T18" s="15">
        <v>24</v>
      </c>
      <c r="U18" s="29">
        <f t="shared" si="0"/>
        <v>4.4882855680655069</v>
      </c>
      <c r="V18" s="7">
        <f t="shared" si="1"/>
        <v>0.16274523231051177</v>
      </c>
      <c r="W18" s="8">
        <f t="shared" si="2"/>
        <v>5.1464561243444444E-2</v>
      </c>
      <c r="X18" s="310"/>
      <c r="Y18" s="311"/>
      <c r="Z18" s="369"/>
      <c r="AA18" s="370"/>
      <c r="AB18" s="17">
        <f t="shared" si="3"/>
        <v>1.1466418627553181</v>
      </c>
      <c r="AC18" s="17"/>
      <c r="AD18" s="18"/>
      <c r="AE18" s="17"/>
      <c r="AH18" s="279"/>
      <c r="AI18" s="429"/>
      <c r="AJ18" s="415"/>
      <c r="AK18" s="107">
        <v>24</v>
      </c>
      <c r="AL18" s="107">
        <v>4.575352856457032</v>
      </c>
      <c r="AM18" s="107">
        <v>0.22686702984911022</v>
      </c>
      <c r="AN18" s="107">
        <v>7.1741654032059413E-2</v>
      </c>
      <c r="AO18" s="416"/>
      <c r="AP18" s="416"/>
      <c r="AQ18" s="415"/>
      <c r="AR18" s="415"/>
      <c r="AS18" s="107">
        <v>1.5680026499117545</v>
      </c>
      <c r="AT18" s="207">
        <f>0.1*AL18</f>
        <v>0.45753528564570323</v>
      </c>
      <c r="AU18" s="107">
        <f t="shared" si="4"/>
        <v>10</v>
      </c>
      <c r="AV18" s="425"/>
    </row>
    <row r="19" spans="2:49" ht="16" thickBot="1">
      <c r="B19" s="352"/>
      <c r="C19" s="257"/>
      <c r="D19" s="411"/>
      <c r="E19" s="396"/>
      <c r="F19" s="256">
        <v>48</v>
      </c>
      <c r="G19" s="255">
        <v>3.7037871033776866</v>
      </c>
      <c r="H19" s="255">
        <v>3.6242579324462643</v>
      </c>
      <c r="I19" s="255">
        <v>3.8458034800409417</v>
      </c>
      <c r="J19" s="255">
        <v>3.6185772773797336</v>
      </c>
      <c r="K19" s="255">
        <v>3.5901740020470831</v>
      </c>
      <c r="L19" s="255">
        <v>4.1071136131013306</v>
      </c>
      <c r="M19" s="255">
        <v>3.6981064483111568</v>
      </c>
      <c r="N19" s="255">
        <v>3.743551688843398</v>
      </c>
      <c r="O19" s="255">
        <v>3.5333674513817805</v>
      </c>
      <c r="P19" s="254">
        <v>3.7265097236438076</v>
      </c>
      <c r="R19" s="236"/>
      <c r="S19" s="235"/>
      <c r="T19" s="15">
        <v>48</v>
      </c>
      <c r="U19" s="29">
        <f t="shared" si="0"/>
        <v>3.7191248720573187</v>
      </c>
      <c r="V19" s="7">
        <f t="shared" si="1"/>
        <v>0.1626703076207022</v>
      </c>
      <c r="W19" s="8">
        <f t="shared" si="2"/>
        <v>5.1440867976166461E-2</v>
      </c>
      <c r="X19" s="310"/>
      <c r="Y19" s="311"/>
      <c r="Z19" s="369"/>
      <c r="AA19" s="370"/>
      <c r="AB19" s="25">
        <f t="shared" si="3"/>
        <v>1.3831444155762045</v>
      </c>
      <c r="AC19" s="25"/>
      <c r="AD19" s="79"/>
      <c r="AE19" s="17"/>
      <c r="AH19" s="279"/>
      <c r="AI19" s="430"/>
      <c r="AJ19" s="337"/>
      <c r="AK19" s="8">
        <v>48</v>
      </c>
      <c r="AL19" s="8">
        <v>3.7381901104176665</v>
      </c>
      <c r="AM19" s="8">
        <v>0.27220939682700718</v>
      </c>
      <c r="AN19" s="8">
        <v>8.608016944739541E-2</v>
      </c>
      <c r="AO19" s="334"/>
      <c r="AP19" s="334"/>
      <c r="AQ19" s="337"/>
      <c r="AR19" s="337"/>
      <c r="AS19" s="8">
        <v>2.3027231602669267</v>
      </c>
      <c r="AT19" s="207">
        <f>0.1*AL19</f>
        <v>0.37381901104176668</v>
      </c>
      <c r="AU19" s="107">
        <f t="shared" si="4"/>
        <v>10</v>
      </c>
      <c r="AV19" s="426"/>
    </row>
    <row r="20" spans="2:49" ht="15" customHeight="1">
      <c r="B20" s="352"/>
      <c r="C20" s="272">
        <v>1</v>
      </c>
      <c r="D20" s="391" t="s">
        <v>203</v>
      </c>
      <c r="E20" s="392"/>
      <c r="F20" s="271">
        <v>0</v>
      </c>
      <c r="G20" s="270">
        <v>7.249577613516367</v>
      </c>
      <c r="H20" s="270">
        <v>7.2437170010559653</v>
      </c>
      <c r="I20" s="270">
        <v>7.3023231256599779</v>
      </c>
      <c r="J20" s="270">
        <v>7.3902323125659963</v>
      </c>
      <c r="K20" s="270">
        <v>7.2261351636747628</v>
      </c>
      <c r="L20" s="270">
        <v>7.0210137275607165</v>
      </c>
      <c r="M20" s="270">
        <v>7.1323653643083418</v>
      </c>
      <c r="N20" s="270">
        <v>6.979989440337909</v>
      </c>
      <c r="O20" s="270">
        <v>6.8041710665258712</v>
      </c>
      <c r="P20" s="269">
        <v>6.9272439281942964</v>
      </c>
      <c r="R20" s="234" t="s">
        <v>733</v>
      </c>
      <c r="S20" s="233">
        <v>1</v>
      </c>
      <c r="T20" s="232">
        <v>0</v>
      </c>
      <c r="U20" s="231">
        <f t="shared" si="0"/>
        <v>7.127676874340021</v>
      </c>
      <c r="V20" s="199">
        <f t="shared" si="1"/>
        <v>0.18723003313576544</v>
      </c>
      <c r="W20" s="198">
        <f t="shared" si="2"/>
        <v>5.9207335109781642E-2</v>
      </c>
      <c r="X20" s="371" t="s">
        <v>749</v>
      </c>
      <c r="Y20" s="412"/>
      <c r="Z20" s="375" t="s">
        <v>748</v>
      </c>
      <c r="AA20" s="401"/>
      <c r="AB20" s="284">
        <f t="shared" si="3"/>
        <v>0.83066805852171688</v>
      </c>
      <c r="AC20" s="280">
        <f>(U20-5.5)+W20</f>
        <v>1.6868842094498027</v>
      </c>
      <c r="AD20" s="9"/>
      <c r="AE20" s="17"/>
      <c r="AF20" s="405" t="s">
        <v>747</v>
      </c>
      <c r="AH20" s="279">
        <f>AL20-11</f>
        <v>1.800595238095239</v>
      </c>
      <c r="AI20" s="429" t="s">
        <v>735</v>
      </c>
      <c r="AJ20" s="443">
        <v>13</v>
      </c>
      <c r="AK20" s="124">
        <v>0</v>
      </c>
      <c r="AL20" s="124">
        <v>12.800595238095239</v>
      </c>
      <c r="AM20" s="124">
        <v>0.27322660517924946</v>
      </c>
      <c r="AN20" s="124">
        <v>0.13661330258962473</v>
      </c>
      <c r="AO20" s="416" t="s">
        <v>749</v>
      </c>
      <c r="AP20" s="416"/>
      <c r="AQ20" s="415" t="s">
        <v>748</v>
      </c>
      <c r="AR20" s="415"/>
      <c r="AS20" s="124">
        <v>1.0672417965615881</v>
      </c>
      <c r="AT20" s="283">
        <v>1.9372085406848638</v>
      </c>
      <c r="AU20" s="124">
        <f t="shared" si="4"/>
        <v>15.133737960244458</v>
      </c>
      <c r="AV20" s="424" t="s">
        <v>747</v>
      </c>
      <c r="AW20" s="2" t="s">
        <v>761</v>
      </c>
    </row>
    <row r="21" spans="2:49">
      <c r="B21" s="352"/>
      <c r="C21" s="263"/>
      <c r="D21" s="393"/>
      <c r="E21" s="394"/>
      <c r="F21" s="262">
        <v>8</v>
      </c>
      <c r="G21" s="261">
        <v>5.1221752903907065</v>
      </c>
      <c r="H21" s="261">
        <v>5.1749208025343183</v>
      </c>
      <c r="I21" s="261">
        <v>4.8174234424498401</v>
      </c>
      <c r="J21" s="261">
        <v>5.1573389651531141</v>
      </c>
      <c r="K21" s="261">
        <v>5.0752903907074973</v>
      </c>
      <c r="L21" s="261">
        <v>5.2862724392819427</v>
      </c>
      <c r="M21" s="261">
        <v>5.3155755015839494</v>
      </c>
      <c r="N21" s="261">
        <v>5.6144667370644132</v>
      </c>
      <c r="O21" s="261">
        <v>4.8818901795142553</v>
      </c>
      <c r="P21" s="260">
        <v>4.9580781414994712</v>
      </c>
      <c r="R21" s="230"/>
      <c r="S21" s="229"/>
      <c r="T21" s="228">
        <v>8</v>
      </c>
      <c r="U21" s="227">
        <f t="shared" si="0"/>
        <v>5.1403431890179503</v>
      </c>
      <c r="V21" s="195">
        <f t="shared" si="1"/>
        <v>0.23265064976519884</v>
      </c>
      <c r="W21" s="194">
        <f t="shared" si="2"/>
        <v>7.3570595237614597E-2</v>
      </c>
      <c r="X21" s="310"/>
      <c r="Y21" s="311"/>
      <c r="Z21" s="377"/>
      <c r="AA21" s="402"/>
      <c r="AB21" s="282">
        <f t="shared" si="3"/>
        <v>1.4312389763157054</v>
      </c>
      <c r="AC21" s="280">
        <f>(U20-5.5)+W21</f>
        <v>1.7012474695776356</v>
      </c>
      <c r="AD21" s="18"/>
      <c r="AE21" s="17"/>
      <c r="AF21" s="406"/>
      <c r="AH21" s="279"/>
      <c r="AI21" s="429"/>
      <c r="AJ21" s="443"/>
      <c r="AK21" s="107">
        <v>8</v>
      </c>
      <c r="AL21" s="107">
        <v>10.041666666666666</v>
      </c>
      <c r="AM21" s="107">
        <v>0.22388127860216697</v>
      </c>
      <c r="AN21" s="107">
        <v>0.11194063930108349</v>
      </c>
      <c r="AO21" s="416"/>
      <c r="AP21" s="416"/>
      <c r="AQ21" s="415"/>
      <c r="AR21" s="415"/>
      <c r="AS21" s="107">
        <v>1.1147615532058108</v>
      </c>
      <c r="AT21" s="207">
        <f>0.1*AL21</f>
        <v>1.0041666666666667</v>
      </c>
      <c r="AU21" s="107">
        <f t="shared" si="4"/>
        <v>10</v>
      </c>
      <c r="AV21" s="427"/>
    </row>
    <row r="22" spans="2:49">
      <c r="B22" s="352"/>
      <c r="C22" s="263"/>
      <c r="D22" s="393"/>
      <c r="E22" s="394"/>
      <c r="F22" s="262">
        <v>24</v>
      </c>
      <c r="G22" s="261">
        <v>4.4176188190110404</v>
      </c>
      <c r="H22" s="261">
        <v>4.6627460393662981</v>
      </c>
      <c r="I22" s="261">
        <v>4.1991358617378776</v>
      </c>
      <c r="J22" s="261">
        <v>4.9025444071051361</v>
      </c>
      <c r="K22" s="261">
        <v>4.6574171867498793</v>
      </c>
      <c r="L22" s="261">
        <v>4.9558329332693232</v>
      </c>
      <c r="M22" s="261">
        <v>4.4655784925588087</v>
      </c>
      <c r="N22" s="261">
        <v>4.513538166106577</v>
      </c>
      <c r="O22" s="261">
        <v>4.4922227556409018</v>
      </c>
      <c r="P22" s="260">
        <v>4.486893903024483</v>
      </c>
      <c r="R22" s="230"/>
      <c r="S22" s="229"/>
      <c r="T22" s="228">
        <v>24</v>
      </c>
      <c r="U22" s="227">
        <f t="shared" si="0"/>
        <v>4.575352856457032</v>
      </c>
      <c r="V22" s="195">
        <f t="shared" si="1"/>
        <v>0.22686702984911022</v>
      </c>
      <c r="W22" s="194">
        <f t="shared" si="2"/>
        <v>7.1741654032059413E-2</v>
      </c>
      <c r="X22" s="310"/>
      <c r="Y22" s="311"/>
      <c r="Z22" s="377"/>
      <c r="AA22" s="402"/>
      <c r="AB22" s="282">
        <f t="shared" si="3"/>
        <v>1.5680026499117545</v>
      </c>
      <c r="AC22" s="280">
        <f>(U20-5.5)+W22</f>
        <v>1.6994185283720804</v>
      </c>
      <c r="AD22" s="18"/>
      <c r="AE22" s="17"/>
      <c r="AF22" s="406"/>
      <c r="AH22" s="279"/>
      <c r="AI22" s="429"/>
      <c r="AJ22" s="443"/>
      <c r="AK22" s="107">
        <v>24</v>
      </c>
      <c r="AL22" s="107">
        <v>10.790076335877863</v>
      </c>
      <c r="AM22" s="107">
        <v>0.22284333825747146</v>
      </c>
      <c r="AN22" s="107">
        <v>0.11142166912873573</v>
      </c>
      <c r="AO22" s="416"/>
      <c r="AP22" s="416"/>
      <c r="AQ22" s="415"/>
      <c r="AR22" s="415"/>
      <c r="AS22" s="107">
        <v>1.0326309625655734</v>
      </c>
      <c r="AT22" s="207">
        <f>0.1*AL22</f>
        <v>1.0790076335877863</v>
      </c>
      <c r="AU22" s="107">
        <f t="shared" si="4"/>
        <v>10</v>
      </c>
      <c r="AV22" s="427"/>
    </row>
    <row r="23" spans="2:49" ht="16" thickBot="1">
      <c r="B23" s="352"/>
      <c r="C23" s="257"/>
      <c r="D23" s="395"/>
      <c r="E23" s="396"/>
      <c r="F23" s="256">
        <v>48</v>
      </c>
      <c r="G23" s="255">
        <v>3.4903984637542003</v>
      </c>
      <c r="H23" s="255">
        <v>3.9806529044647143</v>
      </c>
      <c r="I23" s="255">
        <v>3.2985597695631297</v>
      </c>
      <c r="J23" s="255">
        <v>3.8900624099855974</v>
      </c>
      <c r="K23" s="255">
        <v>3.7035525684109452</v>
      </c>
      <c r="L23" s="255">
        <v>4.2630820931349014</v>
      </c>
      <c r="M23" s="255">
        <v>3.8634181469035038</v>
      </c>
      <c r="N23" s="255">
        <v>3.6662506000960144</v>
      </c>
      <c r="O23" s="255">
        <v>3.6396063370139222</v>
      </c>
      <c r="P23" s="254">
        <v>3.5863178108497356</v>
      </c>
      <c r="R23" s="226"/>
      <c r="S23" s="225"/>
      <c r="T23" s="224">
        <v>48</v>
      </c>
      <c r="U23" s="223">
        <f t="shared" si="0"/>
        <v>3.7381901104176665</v>
      </c>
      <c r="V23" s="178">
        <f t="shared" si="1"/>
        <v>0.27220939682700718</v>
      </c>
      <c r="W23" s="177">
        <f t="shared" si="2"/>
        <v>8.608016944739541E-2</v>
      </c>
      <c r="X23" s="373"/>
      <c r="Y23" s="413"/>
      <c r="Z23" s="379"/>
      <c r="AA23" s="403"/>
      <c r="AB23" s="281">
        <f t="shared" si="3"/>
        <v>2.3027231602669267</v>
      </c>
      <c r="AC23" s="280">
        <f>(U20-5.5)+W23</f>
        <v>1.7137570437874163</v>
      </c>
      <c r="AD23" s="79"/>
      <c r="AE23" s="17"/>
      <c r="AF23" s="407"/>
      <c r="AH23" s="279"/>
      <c r="AI23" s="429"/>
      <c r="AJ23" s="443"/>
      <c r="AK23" s="107">
        <v>48</v>
      </c>
      <c r="AL23" s="107">
        <v>10.177410234662142</v>
      </c>
      <c r="AM23" s="107">
        <v>0.24431990799997935</v>
      </c>
      <c r="AN23" s="107">
        <v>0.12215995399998968</v>
      </c>
      <c r="AO23" s="416"/>
      <c r="AP23" s="416"/>
      <c r="AQ23" s="415"/>
      <c r="AR23" s="415"/>
      <c r="AS23" s="107">
        <v>1.2003049025570207</v>
      </c>
      <c r="AT23" s="207">
        <f>0.1*AL23</f>
        <v>1.0177410234662143</v>
      </c>
      <c r="AU23" s="107">
        <f t="shared" si="4"/>
        <v>10</v>
      </c>
      <c r="AV23" s="427"/>
    </row>
    <row r="24" spans="2:49" ht="15" customHeight="1" thickBot="1">
      <c r="B24" s="352"/>
      <c r="C24" s="272">
        <v>13</v>
      </c>
      <c r="D24" s="391" t="s">
        <v>717</v>
      </c>
      <c r="E24" s="392"/>
      <c r="F24" s="271">
        <v>0</v>
      </c>
      <c r="G24" s="270">
        <v>5.9489062499999994</v>
      </c>
      <c r="H24" s="270">
        <v>6.0125000000000002</v>
      </c>
      <c r="I24" s="270">
        <v>5.9200000000000008</v>
      </c>
      <c r="J24" s="270">
        <v>5.7754687499999999</v>
      </c>
      <c r="K24" s="270"/>
      <c r="L24" s="270"/>
      <c r="M24" s="270"/>
      <c r="N24" s="270"/>
      <c r="O24" s="270"/>
      <c r="P24" s="269"/>
      <c r="R24" s="206" t="s">
        <v>733</v>
      </c>
      <c r="S24" s="190">
        <v>13</v>
      </c>
      <c r="T24" s="205">
        <v>0</v>
      </c>
      <c r="U24" s="209">
        <f t="shared" si="0"/>
        <v>5.9142187499999999</v>
      </c>
      <c r="V24" s="38">
        <f t="shared" si="1"/>
        <v>0.100245385778058</v>
      </c>
      <c r="W24" s="17">
        <f t="shared" si="2"/>
        <v>5.0122692889029E-2</v>
      </c>
      <c r="X24" s="310" t="s">
        <v>749</v>
      </c>
      <c r="Y24" s="325"/>
      <c r="Z24" s="369" t="s">
        <v>750</v>
      </c>
      <c r="AA24" s="370"/>
      <c r="AB24" s="8">
        <f t="shared" si="3"/>
        <v>0.84749474119517476</v>
      </c>
      <c r="AC24" s="8"/>
      <c r="AD24" s="9"/>
      <c r="AE24" s="17"/>
      <c r="AH24" s="279"/>
      <c r="AI24" s="430"/>
      <c r="AJ24" s="448"/>
      <c r="AK24" s="8">
        <v>72</v>
      </c>
      <c r="AL24" s="8">
        <v>10.187434279705572</v>
      </c>
      <c r="AM24" s="8">
        <v>0.2717781177332429</v>
      </c>
      <c r="AN24" s="8">
        <v>0.13588905886662145</v>
      </c>
      <c r="AO24" s="334"/>
      <c r="AP24" s="334"/>
      <c r="AQ24" s="337"/>
      <c r="AR24" s="337"/>
      <c r="AS24" s="8">
        <v>1.3338889374464635</v>
      </c>
      <c r="AT24" s="207">
        <f>0.1*AL24</f>
        <v>1.0187434279705572</v>
      </c>
      <c r="AU24" s="8">
        <f t="shared" si="4"/>
        <v>10</v>
      </c>
      <c r="AV24" s="427"/>
    </row>
    <row r="25" spans="2:49" ht="15" customHeight="1">
      <c r="B25" s="352"/>
      <c r="C25" s="263"/>
      <c r="D25" s="393"/>
      <c r="E25" s="394"/>
      <c r="F25" s="262">
        <v>8</v>
      </c>
      <c r="G25" s="261">
        <v>5.2667187499999999</v>
      </c>
      <c r="H25" s="261">
        <v>4.98921875</v>
      </c>
      <c r="I25" s="261">
        <v>5.0470312499999999</v>
      </c>
      <c r="J25" s="261">
        <v>4.8851562500000005</v>
      </c>
      <c r="K25" s="261"/>
      <c r="L25" s="261"/>
      <c r="M25" s="261"/>
      <c r="N25" s="261"/>
      <c r="O25" s="261"/>
      <c r="P25" s="260"/>
      <c r="R25" s="206"/>
      <c r="S25" s="190"/>
      <c r="T25" s="205">
        <v>8</v>
      </c>
      <c r="U25" s="204">
        <f t="shared" si="0"/>
        <v>5.0470312499999999</v>
      </c>
      <c r="V25" s="7">
        <f t="shared" si="1"/>
        <v>0.16104698945494114</v>
      </c>
      <c r="W25" s="8">
        <f t="shared" si="2"/>
        <v>8.0523494727470571E-2</v>
      </c>
      <c r="X25" s="310"/>
      <c r="Y25" s="325"/>
      <c r="Z25" s="369"/>
      <c r="AA25" s="370"/>
      <c r="AB25" s="17">
        <f t="shared" si="3"/>
        <v>1.5954625747060822</v>
      </c>
      <c r="AC25" s="17"/>
      <c r="AD25" s="18"/>
      <c r="AE25" s="17"/>
      <c r="AH25" s="279">
        <f>AL25-11</f>
        <v>0.3583959899749356</v>
      </c>
      <c r="AI25" s="428" t="s">
        <v>735</v>
      </c>
      <c r="AJ25" s="414">
        <v>1</v>
      </c>
      <c r="AK25" s="264">
        <v>0</v>
      </c>
      <c r="AL25" s="264">
        <v>11.358395989974936</v>
      </c>
      <c r="AM25" s="264">
        <v>0.25372581705105862</v>
      </c>
      <c r="AN25" s="264">
        <v>0.10358313105764155</v>
      </c>
      <c r="AO25" s="431" t="s">
        <v>751</v>
      </c>
      <c r="AP25" s="431"/>
      <c r="AQ25" s="414" t="s">
        <v>748</v>
      </c>
      <c r="AR25" s="414"/>
      <c r="AS25" s="264">
        <v>0.91195210264781512</v>
      </c>
      <c r="AT25" s="207">
        <f>0.1*AL25+(11.35-11)</f>
        <v>1.4858395989974933</v>
      </c>
      <c r="AU25" s="264">
        <f t="shared" si="4"/>
        <v>13.081421006178287</v>
      </c>
      <c r="AV25" s="433" t="s">
        <v>747</v>
      </c>
      <c r="AW25" s="420" t="s">
        <v>756</v>
      </c>
    </row>
    <row r="26" spans="2:49">
      <c r="B26" s="352"/>
      <c r="C26" s="263"/>
      <c r="D26" s="393"/>
      <c r="E26" s="394"/>
      <c r="F26" s="262">
        <v>24</v>
      </c>
      <c r="G26" s="261">
        <v>4.7193739881273613</v>
      </c>
      <c r="H26" s="261">
        <v>7.2660550458715587</v>
      </c>
      <c r="I26" s="261">
        <v>4.7075013491635183</v>
      </c>
      <c r="J26" s="261">
        <v>4.3631948192120875</v>
      </c>
      <c r="K26" s="261"/>
      <c r="L26" s="261"/>
      <c r="M26" s="261"/>
      <c r="N26" s="261"/>
      <c r="O26" s="261"/>
      <c r="P26" s="260"/>
      <c r="R26" s="206"/>
      <c r="S26" s="190"/>
      <c r="T26" s="205">
        <v>24</v>
      </c>
      <c r="U26" s="204">
        <f t="shared" si="0"/>
        <v>5.264031300593631</v>
      </c>
      <c r="V26" s="7">
        <f t="shared" si="1"/>
        <v>1.3448646298303706</v>
      </c>
      <c r="W26" s="8">
        <f t="shared" si="2"/>
        <v>0.67243231491518529</v>
      </c>
      <c r="X26" s="310"/>
      <c r="Y26" s="325"/>
      <c r="Z26" s="369"/>
      <c r="AA26" s="370"/>
      <c r="AB26" s="17">
        <f t="shared" si="3"/>
        <v>12.774094159344271</v>
      </c>
      <c r="AC26" s="17"/>
      <c r="AD26" s="18"/>
      <c r="AE26" s="17"/>
      <c r="AH26" s="279"/>
      <c r="AI26" s="429"/>
      <c r="AJ26" s="415"/>
      <c r="AK26" s="107">
        <v>8</v>
      </c>
      <c r="AL26" s="107">
        <v>10.823354683003805</v>
      </c>
      <c r="AM26" s="107">
        <v>0.30756047532104758</v>
      </c>
      <c r="AN26" s="107">
        <v>0.12556103826407081</v>
      </c>
      <c r="AO26" s="432"/>
      <c r="AP26" s="432"/>
      <c r="AQ26" s="415"/>
      <c r="AR26" s="415"/>
      <c r="AS26" s="107">
        <v>1.1600935379235291</v>
      </c>
      <c r="AT26" s="207">
        <f>0.1*AL26+(11.35-11)</f>
        <v>1.4323354683003802</v>
      </c>
      <c r="AU26" s="107">
        <f t="shared" si="4"/>
        <v>13.233747855917667</v>
      </c>
      <c r="AV26" s="421"/>
      <c r="AW26" s="420"/>
    </row>
    <row r="27" spans="2:49">
      <c r="B27" s="352"/>
      <c r="C27" s="263"/>
      <c r="D27" s="393"/>
      <c r="E27" s="394"/>
      <c r="F27" s="262">
        <v>48</v>
      </c>
      <c r="G27" s="261">
        <v>4.1138694009713968</v>
      </c>
      <c r="H27" s="261">
        <v>3.7280086346465189</v>
      </c>
      <c r="I27" s="261">
        <v>3.9892066918510523</v>
      </c>
      <c r="J27" s="261">
        <v>3.6065573770491803</v>
      </c>
      <c r="K27" s="261"/>
      <c r="L27" s="261"/>
      <c r="M27" s="261"/>
      <c r="N27" s="261"/>
      <c r="O27" s="261"/>
      <c r="P27" s="260"/>
      <c r="R27" s="206"/>
      <c r="S27" s="190"/>
      <c r="T27" s="205">
        <v>48</v>
      </c>
      <c r="U27" s="208">
        <f t="shared" si="0"/>
        <v>3.8594105261295368</v>
      </c>
      <c r="V27" s="207">
        <f t="shared" si="1"/>
        <v>0.23295030636522762</v>
      </c>
      <c r="W27" s="107">
        <f t="shared" si="2"/>
        <v>0.11647515318261381</v>
      </c>
      <c r="X27" s="310"/>
      <c r="Y27" s="325"/>
      <c r="Z27" s="369"/>
      <c r="AA27" s="370"/>
      <c r="AB27" s="17">
        <f t="shared" si="3"/>
        <v>3.0179518969033472</v>
      </c>
      <c r="AC27" s="17"/>
      <c r="AD27" s="18"/>
      <c r="AE27" s="17"/>
      <c r="AH27" s="279"/>
      <c r="AI27" s="429"/>
      <c r="AJ27" s="415"/>
      <c r="AK27" s="107">
        <v>24</v>
      </c>
      <c r="AL27" s="107">
        <v>9.4866806869961433</v>
      </c>
      <c r="AM27" s="107">
        <v>0.35927195164554565</v>
      </c>
      <c r="AN27" s="107">
        <v>0.14667216007090969</v>
      </c>
      <c r="AO27" s="432"/>
      <c r="AP27" s="432"/>
      <c r="AQ27" s="415"/>
      <c r="AR27" s="415"/>
      <c r="AS27" s="107">
        <v>1.5460851367323913</v>
      </c>
      <c r="AT27" s="207">
        <f>0.1*AL27+(11.35-11)</f>
        <v>1.2986680686996142</v>
      </c>
      <c r="AU27" s="107">
        <f t="shared" si="4"/>
        <v>13.689383163067372</v>
      </c>
      <c r="AV27" s="421"/>
      <c r="AW27" s="420"/>
    </row>
    <row r="28" spans="2:49" ht="15" customHeight="1" thickBot="1">
      <c r="B28" s="352"/>
      <c r="C28" s="257"/>
      <c r="D28" s="395"/>
      <c r="E28" s="396"/>
      <c r="F28" s="256">
        <v>72</v>
      </c>
      <c r="G28" s="255">
        <v>3.6121926229508197</v>
      </c>
      <c r="H28" s="255">
        <v>3.1106557377049184</v>
      </c>
      <c r="I28" s="255">
        <v>3.5727459016393444</v>
      </c>
      <c r="J28" s="255">
        <v>3.076844262295082</v>
      </c>
      <c r="K28" s="255"/>
      <c r="L28" s="255"/>
      <c r="M28" s="255"/>
      <c r="N28" s="255"/>
      <c r="O28" s="255"/>
      <c r="P28" s="254"/>
      <c r="R28" s="242"/>
      <c r="S28" s="241"/>
      <c r="T28" s="240">
        <v>72</v>
      </c>
      <c r="U28" s="208">
        <f t="shared" si="0"/>
        <v>3.3431096311475414</v>
      </c>
      <c r="V28" s="207">
        <f t="shared" si="1"/>
        <v>0.28871585364042512</v>
      </c>
      <c r="W28" s="107">
        <f t="shared" si="2"/>
        <v>0.14435792682021256</v>
      </c>
      <c r="X28" s="316"/>
      <c r="Y28" s="328"/>
      <c r="Z28" s="387"/>
      <c r="AA28" s="388"/>
      <c r="AB28" s="25">
        <f t="shared" si="3"/>
        <v>4.31807337322231</v>
      </c>
      <c r="AC28" s="25"/>
      <c r="AD28" s="79"/>
      <c r="AE28" s="17"/>
      <c r="AH28" s="279"/>
      <c r="AI28" s="430"/>
      <c r="AJ28" s="337"/>
      <c r="AK28" s="8">
        <v>48</v>
      </c>
      <c r="AL28" s="8">
        <v>8.3222923238696094</v>
      </c>
      <c r="AM28" s="8">
        <v>0.28588885861824637</v>
      </c>
      <c r="AN28" s="8">
        <v>0.11671363779356413</v>
      </c>
      <c r="AO28" s="340"/>
      <c r="AP28" s="340"/>
      <c r="AQ28" s="337"/>
      <c r="AR28" s="337"/>
      <c r="AS28" s="8">
        <v>1.4024217517427444</v>
      </c>
      <c r="AT28" s="207">
        <f>0.1*AL28+(11.35-11)</f>
        <v>1.1822292323869608</v>
      </c>
      <c r="AU28" s="8">
        <f t="shared" si="4"/>
        <v>14.205572051298249</v>
      </c>
      <c r="AV28" s="434"/>
      <c r="AW28" s="420"/>
    </row>
    <row r="29" spans="2:49" ht="15" customHeight="1" thickBot="1">
      <c r="B29" s="351" t="s">
        <v>735</v>
      </c>
      <c r="C29" s="272">
        <v>1</v>
      </c>
      <c r="D29" s="391" t="s">
        <v>718</v>
      </c>
      <c r="E29" s="392"/>
      <c r="F29" s="271">
        <v>0</v>
      </c>
      <c r="G29" s="270">
        <v>10.816768461965575</v>
      </c>
      <c r="H29" s="270">
        <v>10.975569128262077</v>
      </c>
      <c r="I29" s="270">
        <v>10.621321488062188</v>
      </c>
      <c r="J29" s="270">
        <v>10.419766796224319</v>
      </c>
      <c r="K29" s="270">
        <v>10.535813436979456</v>
      </c>
      <c r="L29" s="270">
        <v>11.054969461410328</v>
      </c>
      <c r="M29" s="270"/>
      <c r="N29" s="270"/>
      <c r="O29" s="270"/>
      <c r="P29" s="269"/>
      <c r="R29" s="236" t="s">
        <v>735</v>
      </c>
      <c r="S29" s="237">
        <v>1</v>
      </c>
      <c r="T29" s="6">
        <v>0</v>
      </c>
      <c r="U29" s="29">
        <f t="shared" si="0"/>
        <v>10.737368128817323</v>
      </c>
      <c r="V29" s="7">
        <f t="shared" si="1"/>
        <v>0.25253770356231808</v>
      </c>
      <c r="W29" s="8">
        <f t="shared" si="2"/>
        <v>0.10309808575698617</v>
      </c>
      <c r="X29" s="397" t="s">
        <v>751</v>
      </c>
      <c r="Y29" s="398"/>
      <c r="Z29" s="399" t="s">
        <v>750</v>
      </c>
      <c r="AA29" s="400"/>
      <c r="AB29" s="8">
        <f t="shared" si="3"/>
        <v>0.96018022778121892</v>
      </c>
      <c r="AC29" s="8"/>
      <c r="AD29" s="9"/>
      <c r="AE29" s="17"/>
      <c r="AH29" s="279">
        <f>11-AL29</f>
        <v>0.27380952380999979</v>
      </c>
      <c r="AI29" s="428" t="s">
        <v>735</v>
      </c>
      <c r="AJ29" s="414">
        <v>13</v>
      </c>
      <c r="AK29" s="264">
        <v>0</v>
      </c>
      <c r="AL29" s="264">
        <v>10.72619047619</v>
      </c>
      <c r="AM29" s="264">
        <v>0.37175784143468837</v>
      </c>
      <c r="AN29" s="264">
        <v>0.18587892071734419</v>
      </c>
      <c r="AO29" s="431" t="s">
        <v>751</v>
      </c>
      <c r="AP29" s="431"/>
      <c r="AQ29" s="414" t="s">
        <v>748</v>
      </c>
      <c r="AR29" s="414"/>
      <c r="AS29" s="264">
        <v>1.7329444328809003</v>
      </c>
      <c r="AT29" s="207">
        <f>0.1*AL29+(11-10.7261905)</f>
        <v>1.3464285476190005</v>
      </c>
      <c r="AU29" s="264">
        <f t="shared" si="4"/>
        <v>12.55271897891244</v>
      </c>
      <c r="AV29" s="455" t="s">
        <v>747</v>
      </c>
      <c r="AW29" s="420"/>
    </row>
    <row r="30" spans="2:49" ht="16" thickBot="1">
      <c r="B30" s="352"/>
      <c r="C30" s="263"/>
      <c r="D30" s="393"/>
      <c r="E30" s="394"/>
      <c r="F30" s="262">
        <v>8</v>
      </c>
      <c r="G30" s="261">
        <v>10.517490283176015</v>
      </c>
      <c r="H30" s="261">
        <v>10.920599666851748</v>
      </c>
      <c r="I30" s="261">
        <v>10.63353692393115</v>
      </c>
      <c r="J30" s="261">
        <v>10.816768461965575</v>
      </c>
      <c r="K30" s="261">
        <v>10.364797334813993</v>
      </c>
      <c r="L30" s="261">
        <v>10.786229872293172</v>
      </c>
      <c r="M30" s="261"/>
      <c r="N30" s="261"/>
      <c r="O30" s="261"/>
      <c r="P30" s="260"/>
      <c r="R30" s="236"/>
      <c r="S30" s="235"/>
      <c r="T30" s="15">
        <v>8</v>
      </c>
      <c r="U30" s="29">
        <f t="shared" si="0"/>
        <v>10.673237090505275</v>
      </c>
      <c r="V30" s="7">
        <f t="shared" si="1"/>
        <v>0.20761749522445139</v>
      </c>
      <c r="W30" s="8">
        <f t="shared" si="2"/>
        <v>8.4759487495771529E-2</v>
      </c>
      <c r="X30" s="381"/>
      <c r="Y30" s="382"/>
      <c r="Z30" s="369"/>
      <c r="AA30" s="370"/>
      <c r="AB30" s="17">
        <f t="shared" si="3"/>
        <v>0.79413102863771368</v>
      </c>
      <c r="AC30" s="17"/>
      <c r="AD30" s="18"/>
      <c r="AE30" s="17"/>
      <c r="AH30" s="279"/>
      <c r="AI30" s="429"/>
      <c r="AJ30" s="415"/>
      <c r="AK30" s="107">
        <v>8</v>
      </c>
      <c r="AL30" s="107">
        <v>10.742559523809524</v>
      </c>
      <c r="AM30" s="107">
        <v>0.25686782580146683</v>
      </c>
      <c r="AN30" s="107">
        <v>0.12843391290073342</v>
      </c>
      <c r="AO30" s="432"/>
      <c r="AP30" s="432"/>
      <c r="AQ30" s="415"/>
      <c r="AR30" s="415"/>
      <c r="AS30" s="107">
        <v>1.1955615662736232</v>
      </c>
      <c r="AT30" s="207">
        <f>0.1*AL30+(11-10.7261905)</f>
        <v>1.348065452380953</v>
      </c>
      <c r="AU30" s="264">
        <f t="shared" si="4"/>
        <v>12.548829256129665</v>
      </c>
      <c r="AV30" s="456"/>
      <c r="AW30" s="420"/>
    </row>
    <row r="31" spans="2:49" ht="16" thickBot="1">
      <c r="B31" s="352"/>
      <c r="C31" s="263"/>
      <c r="D31" s="393"/>
      <c r="E31" s="394"/>
      <c r="F31" s="262">
        <v>24</v>
      </c>
      <c r="G31" s="261">
        <v>9.5707859222016403</v>
      </c>
      <c r="H31" s="261">
        <v>9.2389521037311457</v>
      </c>
      <c r="I31" s="261">
        <v>9.4951045250066155</v>
      </c>
      <c r="J31" s="261">
        <v>9.3379200846784869</v>
      </c>
      <c r="K31" s="261">
        <v>9.4892828790685364</v>
      </c>
      <c r="L31" s="261">
        <v>9.5707859222016403</v>
      </c>
      <c r="M31" s="261"/>
      <c r="N31" s="261"/>
      <c r="O31" s="261"/>
      <c r="P31" s="260"/>
      <c r="R31" s="236"/>
      <c r="S31" s="235"/>
      <c r="T31" s="15">
        <v>24</v>
      </c>
      <c r="U31" s="29">
        <f t="shared" si="0"/>
        <v>9.4504719061480102</v>
      </c>
      <c r="V31" s="7">
        <f t="shared" si="1"/>
        <v>0.13405806692153852</v>
      </c>
      <c r="W31" s="8">
        <f t="shared" si="2"/>
        <v>5.4728976643608249E-2</v>
      </c>
      <c r="X31" s="381"/>
      <c r="Y31" s="382"/>
      <c r="Z31" s="369"/>
      <c r="AA31" s="370"/>
      <c r="AB31" s="17">
        <f t="shared" si="3"/>
        <v>0.57911369069309948</v>
      </c>
      <c r="AC31" s="17"/>
      <c r="AD31" s="18"/>
      <c r="AE31" s="17"/>
      <c r="AH31" s="279"/>
      <c r="AI31" s="429"/>
      <c r="AJ31" s="415"/>
      <c r="AK31" s="107">
        <v>24</v>
      </c>
      <c r="AL31" s="107">
        <v>10.531947978512866</v>
      </c>
      <c r="AM31" s="107">
        <v>0.30072613458658226</v>
      </c>
      <c r="AN31" s="107">
        <v>0.15036306729329113</v>
      </c>
      <c r="AO31" s="432"/>
      <c r="AP31" s="432"/>
      <c r="AQ31" s="415"/>
      <c r="AR31" s="415"/>
      <c r="AS31" s="107">
        <v>1.4276852449334136</v>
      </c>
      <c r="AT31" s="207">
        <f>0.1*AL31+(11-10.7261905)</f>
        <v>1.327004297851287</v>
      </c>
      <c r="AU31" s="264">
        <f t="shared" si="4"/>
        <v>12.599799206743356</v>
      </c>
      <c r="AV31" s="456"/>
      <c r="AW31" s="420"/>
    </row>
    <row r="32" spans="2:49" ht="16" thickBot="1">
      <c r="B32" s="352"/>
      <c r="C32" s="257"/>
      <c r="D32" s="395"/>
      <c r="E32" s="396"/>
      <c r="F32" s="256">
        <v>48</v>
      </c>
      <c r="G32" s="255">
        <v>8.8081503043133118</v>
      </c>
      <c r="H32" s="255">
        <v>8.3424186292670015</v>
      </c>
      <c r="I32" s="255">
        <v>8.895474993384493</v>
      </c>
      <c r="J32" s="255">
        <v>8.4122783805239489</v>
      </c>
      <c r="K32" s="255">
        <v>8.4297433183381845</v>
      </c>
      <c r="L32" s="255">
        <v>8.6626091558613378</v>
      </c>
      <c r="M32" s="255"/>
      <c r="N32" s="255"/>
      <c r="O32" s="255"/>
      <c r="P32" s="254"/>
      <c r="R32" s="236"/>
      <c r="S32" s="235"/>
      <c r="T32" s="15">
        <v>48</v>
      </c>
      <c r="U32" s="29">
        <f t="shared" si="0"/>
        <v>8.5917791302813793</v>
      </c>
      <c r="V32" s="7">
        <f t="shared" si="1"/>
        <v>0.23009621366866126</v>
      </c>
      <c r="W32" s="8">
        <f t="shared" si="2"/>
        <v>9.3936385872438716E-2</v>
      </c>
      <c r="X32" s="381"/>
      <c r="Y32" s="382"/>
      <c r="Z32" s="369"/>
      <c r="AA32" s="370"/>
      <c r="AB32" s="17">
        <f t="shared" si="3"/>
        <v>1.0933286860385378</v>
      </c>
      <c r="AC32" s="17"/>
      <c r="AD32" s="79"/>
      <c r="AE32" s="17"/>
      <c r="AH32" s="279"/>
      <c r="AI32" s="429"/>
      <c r="AJ32" s="415"/>
      <c r="AK32" s="107">
        <v>48</v>
      </c>
      <c r="AL32" s="107">
        <v>9.649579390115667</v>
      </c>
      <c r="AM32" s="107">
        <v>0.30238131484400999</v>
      </c>
      <c r="AN32" s="107">
        <v>0.15119065742200499</v>
      </c>
      <c r="AO32" s="432"/>
      <c r="AP32" s="432"/>
      <c r="AQ32" s="415"/>
      <c r="AR32" s="415"/>
      <c r="AS32" s="107">
        <v>1.5668108557858367</v>
      </c>
      <c r="AT32" s="207">
        <f>0.1*AL32+(11-10.7261905)</f>
        <v>1.2387674390115673</v>
      </c>
      <c r="AU32" s="264">
        <f t="shared" si="4"/>
        <v>12.837527823031037</v>
      </c>
      <c r="AV32" s="456"/>
      <c r="AW32" s="420"/>
    </row>
    <row r="33" spans="2:49" ht="16" thickBot="1">
      <c r="B33" s="352"/>
      <c r="C33" s="272">
        <v>1</v>
      </c>
      <c r="D33" s="391" t="s">
        <v>226</v>
      </c>
      <c r="E33" s="392"/>
      <c r="F33" s="271">
        <v>0</v>
      </c>
      <c r="G33" s="270">
        <v>11.634085213032581</v>
      </c>
      <c r="H33" s="270">
        <v>11.52993595098858</v>
      </c>
      <c r="I33" s="270">
        <v>11.38902812587023</v>
      </c>
      <c r="J33" s="270">
        <v>11.499303815093286</v>
      </c>
      <c r="K33" s="270">
        <v>11.003063213589529</v>
      </c>
      <c r="L33" s="270">
        <v>11.094959621275409</v>
      </c>
      <c r="M33" s="270"/>
      <c r="N33" s="270"/>
      <c r="O33" s="270"/>
      <c r="P33" s="269"/>
      <c r="R33" s="234" t="s">
        <v>735</v>
      </c>
      <c r="S33" s="233">
        <v>1</v>
      </c>
      <c r="T33" s="232">
        <v>0</v>
      </c>
      <c r="U33" s="231">
        <f t="shared" si="0"/>
        <v>11.358395989974936</v>
      </c>
      <c r="V33" s="199">
        <f t="shared" si="1"/>
        <v>0.25372581705105862</v>
      </c>
      <c r="W33" s="198">
        <f t="shared" si="2"/>
        <v>0.10358313105764155</v>
      </c>
      <c r="X33" s="383" t="s">
        <v>751</v>
      </c>
      <c r="Y33" s="384"/>
      <c r="Z33" s="375" t="s">
        <v>748</v>
      </c>
      <c r="AA33" s="401"/>
      <c r="AB33" s="275">
        <f t="shared" si="3"/>
        <v>0.91195210264781512</v>
      </c>
      <c r="AC33" s="218">
        <f>(U33-11)+W33</f>
        <v>0.46197912103257716</v>
      </c>
      <c r="AD33" s="9"/>
      <c r="AE33" s="38"/>
      <c r="AF33" s="405" t="s">
        <v>747</v>
      </c>
      <c r="AH33" s="278"/>
      <c r="AI33" s="454"/>
      <c r="AJ33" s="441"/>
      <c r="AK33" s="212">
        <v>72</v>
      </c>
      <c r="AL33" s="212">
        <v>9.691508937960041</v>
      </c>
      <c r="AM33" s="212">
        <v>0.15113534039200965</v>
      </c>
      <c r="AN33" s="212">
        <v>7.5567670196004827E-2</v>
      </c>
      <c r="AO33" s="439"/>
      <c r="AP33" s="439"/>
      <c r="AQ33" s="441"/>
      <c r="AR33" s="441"/>
      <c r="AS33" s="212">
        <v>0.77973069704366404</v>
      </c>
      <c r="AT33" s="207">
        <f>0.1*AL33+(11-10.7261905)</f>
        <v>1.2429603937960048</v>
      </c>
      <c r="AU33" s="264">
        <f t="shared" si="4"/>
        <v>12.825251483053728</v>
      </c>
      <c r="AV33" s="457"/>
      <c r="AW33" s="420"/>
    </row>
    <row r="34" spans="2:49">
      <c r="B34" s="352"/>
      <c r="C34" s="263"/>
      <c r="D34" s="393"/>
      <c r="E34" s="394"/>
      <c r="F34" s="262">
        <v>8</v>
      </c>
      <c r="G34" s="261">
        <v>11.107212475633526</v>
      </c>
      <c r="H34" s="261">
        <v>11.223614592035645</v>
      </c>
      <c r="I34" s="261">
        <v>10.629351155666946</v>
      </c>
      <c r="J34" s="261">
        <v>10.782511835143413</v>
      </c>
      <c r="K34" s="261">
        <v>10.813143971038707</v>
      </c>
      <c r="L34" s="261">
        <v>10.384294068504595</v>
      </c>
      <c r="M34" s="261"/>
      <c r="N34" s="261"/>
      <c r="O34" s="261"/>
      <c r="P34" s="260"/>
      <c r="R34" s="230"/>
      <c r="S34" s="229"/>
      <c r="T34" s="228">
        <v>8</v>
      </c>
      <c r="U34" s="227">
        <f t="shared" si="0"/>
        <v>10.823354683003805</v>
      </c>
      <c r="V34" s="195">
        <f t="shared" si="1"/>
        <v>0.30756047532104758</v>
      </c>
      <c r="W34" s="194">
        <f t="shared" si="2"/>
        <v>0.12556103826407081</v>
      </c>
      <c r="X34" s="381"/>
      <c r="Y34" s="382"/>
      <c r="Z34" s="377"/>
      <c r="AA34" s="402"/>
      <c r="AB34" s="253">
        <f t="shared" si="3"/>
        <v>1.1600935379235291</v>
      </c>
      <c r="AC34" s="216">
        <f>(U33-11)+W34</f>
        <v>0.48395702823900644</v>
      </c>
      <c r="AD34" s="18"/>
      <c r="AE34" s="38"/>
      <c r="AF34" s="406"/>
      <c r="AI34" t="s">
        <v>190</v>
      </c>
      <c r="AM34">
        <f>AVERAGE(AM16:AM33)</f>
        <v>0.26357343983576925</v>
      </c>
      <c r="AT34" s="38">
        <f>AVERAGE(AT16:AT33)</f>
        <v>1.1661910342476896</v>
      </c>
      <c r="AU34" s="417" t="s">
        <v>760</v>
      </c>
      <c r="AV34" s="417"/>
      <c r="AW34" s="417"/>
    </row>
    <row r="35" spans="2:49">
      <c r="B35" s="352"/>
      <c r="C35" s="263"/>
      <c r="D35" s="393"/>
      <c r="E35" s="394"/>
      <c r="F35" s="262">
        <v>24</v>
      </c>
      <c r="G35" s="261">
        <v>9.8201892744479498</v>
      </c>
      <c r="H35" s="261">
        <v>9.8548895899053619</v>
      </c>
      <c r="I35" s="261">
        <v>9.2476340694006289</v>
      </c>
      <c r="J35" s="261">
        <v>9.7565720294426921</v>
      </c>
      <c r="K35" s="261">
        <v>9.1319663512092522</v>
      </c>
      <c r="L35" s="261">
        <v>9.1088328075709768</v>
      </c>
      <c r="M35" s="261"/>
      <c r="N35" s="261"/>
      <c r="O35" s="261"/>
      <c r="P35" s="260"/>
      <c r="R35" s="230"/>
      <c r="S35" s="229"/>
      <c r="T35" s="228">
        <v>24</v>
      </c>
      <c r="U35" s="227">
        <f t="shared" si="0"/>
        <v>9.4866806869961433</v>
      </c>
      <c r="V35" s="195">
        <f t="shared" si="1"/>
        <v>0.35927195164554565</v>
      </c>
      <c r="W35" s="194">
        <f t="shared" si="2"/>
        <v>0.14667216007090969</v>
      </c>
      <c r="X35" s="381"/>
      <c r="Y35" s="382"/>
      <c r="Z35" s="377"/>
      <c r="AA35" s="402"/>
      <c r="AB35" s="253">
        <f t="shared" si="3"/>
        <v>1.5460851367323913</v>
      </c>
      <c r="AC35" s="216">
        <f>(U33-11)+W35</f>
        <v>0.50506815004584527</v>
      </c>
      <c r="AD35" s="18"/>
      <c r="AE35" s="38"/>
      <c r="AF35" s="406"/>
    </row>
    <row r="36" spans="2:49" ht="16" thickBot="1">
      <c r="B36" s="352"/>
      <c r="C36" s="257"/>
      <c r="D36" s="395"/>
      <c r="E36" s="396"/>
      <c r="F36" s="256">
        <v>48</v>
      </c>
      <c r="G36" s="255">
        <v>8.2413249211356465</v>
      </c>
      <c r="H36" s="255">
        <v>8.3916929547844372</v>
      </c>
      <c r="I36" s="255">
        <v>8.0793901156677173</v>
      </c>
      <c r="J36" s="255">
        <v>8.7155625657202922</v>
      </c>
      <c r="K36" s="255">
        <v>8.5478443743427963</v>
      </c>
      <c r="L36" s="255">
        <v>7.9579390115667712</v>
      </c>
      <c r="M36" s="255"/>
      <c r="N36" s="255"/>
      <c r="O36" s="255"/>
      <c r="P36" s="254"/>
      <c r="R36" s="226"/>
      <c r="S36" s="225"/>
      <c r="T36" s="224">
        <v>48</v>
      </c>
      <c r="U36" s="223">
        <f t="shared" si="0"/>
        <v>8.3222923238696094</v>
      </c>
      <c r="V36" s="178">
        <f t="shared" si="1"/>
        <v>0.28588885861824637</v>
      </c>
      <c r="W36" s="177">
        <f t="shared" si="2"/>
        <v>0.11671363779356413</v>
      </c>
      <c r="X36" s="385"/>
      <c r="Y36" s="386"/>
      <c r="Z36" s="379"/>
      <c r="AA36" s="403"/>
      <c r="AB36" s="273">
        <f t="shared" si="3"/>
        <v>1.4024217517427444</v>
      </c>
      <c r="AC36" s="210">
        <f>(U33-11)+W36</f>
        <v>0.47510962776849974</v>
      </c>
      <c r="AD36" s="79"/>
      <c r="AE36" s="38"/>
      <c r="AF36" s="407"/>
    </row>
    <row r="37" spans="2:49" ht="15" customHeight="1">
      <c r="B37" s="352"/>
      <c r="C37" s="272">
        <v>13</v>
      </c>
      <c r="D37" s="391" t="s">
        <v>718</v>
      </c>
      <c r="E37" s="392"/>
      <c r="F37" s="271">
        <v>0</v>
      </c>
      <c r="G37" s="270">
        <v>10.462661426165077</v>
      </c>
      <c r="H37" s="270">
        <v>10.382369455362156</v>
      </c>
      <c r="I37" s="270">
        <v>10.598540145985403</v>
      </c>
      <c r="J37" s="270">
        <v>10.901179112857944</v>
      </c>
      <c r="K37" s="270"/>
      <c r="L37" s="270"/>
      <c r="M37" s="270"/>
      <c r="N37" s="270"/>
      <c r="O37" s="270"/>
      <c r="P37" s="269"/>
      <c r="R37" s="206" t="s">
        <v>735</v>
      </c>
      <c r="S37" s="190">
        <v>13</v>
      </c>
      <c r="T37" s="205">
        <v>0</v>
      </c>
      <c r="U37" s="209">
        <f t="shared" si="0"/>
        <v>10.586187535092645</v>
      </c>
      <c r="V37" s="38">
        <f t="shared" si="1"/>
        <v>0.22816133931259394</v>
      </c>
      <c r="W37" s="17">
        <f t="shared" si="2"/>
        <v>0.11408066965629697</v>
      </c>
      <c r="X37" s="381" t="s">
        <v>751</v>
      </c>
      <c r="Y37" s="382"/>
      <c r="Z37" s="369" t="s">
        <v>750</v>
      </c>
      <c r="AA37" s="370"/>
      <c r="AB37" s="17">
        <f t="shared" si="3"/>
        <v>1.0776369611640231</v>
      </c>
      <c r="AC37" s="17"/>
      <c r="AD37" s="9"/>
      <c r="AE37" s="17"/>
      <c r="AI37" s="249"/>
      <c r="AJ37" s="318" t="s">
        <v>188</v>
      </c>
      <c r="AK37" s="318" t="s">
        <v>189</v>
      </c>
      <c r="AL37" s="318" t="s">
        <v>190</v>
      </c>
      <c r="AM37" s="318" t="s">
        <v>191</v>
      </c>
      <c r="AN37" s="318" t="s">
        <v>192</v>
      </c>
      <c r="AO37" s="249"/>
      <c r="AP37" s="248"/>
      <c r="AQ37" s="249"/>
      <c r="AR37" s="248"/>
      <c r="AS37" s="306" t="s">
        <v>754</v>
      </c>
      <c r="AT37" s="358" t="s">
        <v>195</v>
      </c>
      <c r="AU37" s="447" t="s">
        <v>759</v>
      </c>
    </row>
    <row r="38" spans="2:49" ht="16" thickBot="1">
      <c r="B38" s="352"/>
      <c r="C38" s="263"/>
      <c r="D38" s="393"/>
      <c r="E38" s="394"/>
      <c r="F38" s="262">
        <v>8</v>
      </c>
      <c r="G38" s="261">
        <v>10.678832116788323</v>
      </c>
      <c r="H38" s="261">
        <v>10.592363840539024</v>
      </c>
      <c r="I38" s="261">
        <v>10.752947782144863</v>
      </c>
      <c r="J38" s="261">
        <v>10.833239752947783</v>
      </c>
      <c r="K38" s="261"/>
      <c r="L38" s="261"/>
      <c r="M38" s="261"/>
      <c r="N38" s="261"/>
      <c r="O38" s="261"/>
      <c r="P38" s="260"/>
      <c r="R38" s="206"/>
      <c r="S38" s="190"/>
      <c r="T38" s="205">
        <v>8</v>
      </c>
      <c r="U38" s="204">
        <f t="shared" si="0"/>
        <v>10.714345873104998</v>
      </c>
      <c r="V38" s="7">
        <f t="shared" si="1"/>
        <v>0.10290238935068384</v>
      </c>
      <c r="W38" s="8">
        <f t="shared" si="2"/>
        <v>5.145119467534192E-2</v>
      </c>
      <c r="X38" s="381"/>
      <c r="Y38" s="382"/>
      <c r="Z38" s="369"/>
      <c r="AA38" s="370"/>
      <c r="AB38" s="17">
        <f t="shared" si="3"/>
        <v>0.48020845401765494</v>
      </c>
      <c r="AC38" s="17"/>
      <c r="AD38" s="18"/>
      <c r="AE38" s="17"/>
      <c r="AI38" s="277" t="s">
        <v>741</v>
      </c>
      <c r="AJ38" s="306"/>
      <c r="AK38" s="306"/>
      <c r="AL38" s="306"/>
      <c r="AM38" s="306"/>
      <c r="AN38" s="306"/>
      <c r="AO38" s="277" t="s">
        <v>193</v>
      </c>
      <c r="AP38" s="276"/>
      <c r="AQ38" s="277" t="s">
        <v>752</v>
      </c>
      <c r="AR38" s="276"/>
      <c r="AS38" s="323"/>
      <c r="AT38" s="323"/>
      <c r="AU38" s="358"/>
    </row>
    <row r="39" spans="2:49" ht="16" thickBot="1">
      <c r="B39" s="352"/>
      <c r="C39" s="263"/>
      <c r="D39" s="393"/>
      <c r="E39" s="394"/>
      <c r="F39" s="262">
        <v>24</v>
      </c>
      <c r="G39" s="261">
        <v>9.0910652920962214</v>
      </c>
      <c r="H39" s="261">
        <v>9.784077892325314</v>
      </c>
      <c r="I39" s="261">
        <v>9.9478808705612831</v>
      </c>
      <c r="J39" s="261">
        <v>10.363688430698739</v>
      </c>
      <c r="K39" s="261"/>
      <c r="L39" s="261"/>
      <c r="M39" s="261"/>
      <c r="N39" s="261"/>
      <c r="O39" s="261"/>
      <c r="P39" s="260"/>
      <c r="R39" s="206"/>
      <c r="S39" s="190"/>
      <c r="T39" s="205">
        <v>24</v>
      </c>
      <c r="U39" s="204">
        <f t="shared" si="0"/>
        <v>9.7966781214203884</v>
      </c>
      <c r="V39" s="7">
        <f t="shared" si="1"/>
        <v>0.52990917236063495</v>
      </c>
      <c r="W39" s="8">
        <f t="shared" si="2"/>
        <v>0.26495458618031748</v>
      </c>
      <c r="X39" s="381"/>
      <c r="Y39" s="382"/>
      <c r="Z39" s="369"/>
      <c r="AA39" s="370"/>
      <c r="AB39" s="17">
        <f t="shared" si="3"/>
        <v>2.7045349749829546</v>
      </c>
      <c r="AC39" s="17"/>
      <c r="AD39" s="18"/>
      <c r="AE39" s="17"/>
      <c r="AI39" s="436" t="s">
        <v>733</v>
      </c>
      <c r="AJ39" s="414">
        <v>1</v>
      </c>
      <c r="AK39" s="251">
        <v>0</v>
      </c>
      <c r="AL39" s="251">
        <v>8.6595000000000013</v>
      </c>
      <c r="AM39" s="251">
        <v>5.144201833132132</v>
      </c>
      <c r="AN39" s="251">
        <v>3.6374999999999988</v>
      </c>
      <c r="AO39" s="435" t="s">
        <v>749</v>
      </c>
      <c r="AP39" s="435"/>
      <c r="AQ39" s="414" t="s">
        <v>748</v>
      </c>
      <c r="AR39" s="414"/>
      <c r="AS39" s="251">
        <f t="shared" ref="AS39:AS56" si="5">AN39/AL39*100</f>
        <v>42.005889485536095</v>
      </c>
      <c r="AT39" s="251">
        <v>3.6374999999999988</v>
      </c>
      <c r="AU39" s="251">
        <f>AT39/AL39*100</f>
        <v>42.005889485536095</v>
      </c>
      <c r="AV39" s="424" t="s">
        <v>747</v>
      </c>
    </row>
    <row r="40" spans="2:49" ht="16" thickBot="1">
      <c r="B40" s="352"/>
      <c r="C40" s="263"/>
      <c r="D40" s="393"/>
      <c r="E40" s="394"/>
      <c r="F40" s="262">
        <v>48</v>
      </c>
      <c r="G40" s="261">
        <v>7.953846153846154</v>
      </c>
      <c r="H40" s="261">
        <v>8.0666666666666664</v>
      </c>
      <c r="I40" s="261">
        <v>8.2415384615384628</v>
      </c>
      <c r="J40" s="261">
        <v>8.5574358974358962</v>
      </c>
      <c r="K40" s="261"/>
      <c r="L40" s="261"/>
      <c r="M40" s="261"/>
      <c r="N40" s="261"/>
      <c r="O40" s="261"/>
      <c r="P40" s="260"/>
      <c r="R40" s="206"/>
      <c r="S40" s="190"/>
      <c r="T40" s="205">
        <v>48</v>
      </c>
      <c r="U40" s="208">
        <f t="shared" si="0"/>
        <v>8.204871794871794</v>
      </c>
      <c r="V40" s="207">
        <f t="shared" si="1"/>
        <v>0.26316054717972992</v>
      </c>
      <c r="W40" s="107">
        <f t="shared" si="2"/>
        <v>0.13158027358986496</v>
      </c>
      <c r="X40" s="381"/>
      <c r="Y40" s="382"/>
      <c r="Z40" s="369"/>
      <c r="AA40" s="370"/>
      <c r="AB40" s="17">
        <f t="shared" si="3"/>
        <v>1.6036846995233396</v>
      </c>
      <c r="AC40" s="17"/>
      <c r="AD40" s="18"/>
      <c r="AE40" s="17"/>
      <c r="AI40" s="437"/>
      <c r="AJ40" s="415"/>
      <c r="AK40" s="258">
        <v>8</v>
      </c>
      <c r="AL40" s="258">
        <v>51.619799999999998</v>
      </c>
      <c r="AM40" s="258">
        <v>10.49638206240612</v>
      </c>
      <c r="AN40" s="194">
        <v>3.7124677144380192</v>
      </c>
      <c r="AO40" s="416"/>
      <c r="AP40" s="416"/>
      <c r="AQ40" s="415"/>
      <c r="AR40" s="415"/>
      <c r="AS40" s="251">
        <f t="shared" si="5"/>
        <v>7.1919451730499144</v>
      </c>
      <c r="AT40" s="194">
        <f>3.71246771443802+AL39</f>
        <v>12.371967714438021</v>
      </c>
      <c r="AU40" s="258">
        <f>AT40/AL40*100</f>
        <v>23.967484791568396</v>
      </c>
      <c r="AV40" s="425"/>
      <c r="AW40" s="419" t="s">
        <v>758</v>
      </c>
    </row>
    <row r="41" spans="2:49" ht="16" thickBot="1">
      <c r="B41" s="352"/>
      <c r="C41" s="257"/>
      <c r="D41" s="395"/>
      <c r="E41" s="396"/>
      <c r="F41" s="256">
        <v>72</v>
      </c>
      <c r="G41" s="255">
        <v>7.7620512820512815</v>
      </c>
      <c r="H41" s="255">
        <v>8.1117948717948725</v>
      </c>
      <c r="I41" s="255">
        <v>8.3712820512820496</v>
      </c>
      <c r="J41" s="255">
        <v>8.6194871794871801</v>
      </c>
      <c r="K41" s="255"/>
      <c r="L41" s="255"/>
      <c r="M41" s="255"/>
      <c r="N41" s="255"/>
      <c r="O41" s="255"/>
      <c r="P41" s="254"/>
      <c r="R41" s="206"/>
      <c r="S41" s="190"/>
      <c r="T41" s="205">
        <v>72</v>
      </c>
      <c r="U41" s="204">
        <f t="shared" si="0"/>
        <v>8.2161538461538459</v>
      </c>
      <c r="V41" s="7">
        <f t="shared" si="1"/>
        <v>0.36689802037162728</v>
      </c>
      <c r="W41" s="8">
        <f t="shared" si="2"/>
        <v>0.18344901018581364</v>
      </c>
      <c r="X41" s="381"/>
      <c r="Y41" s="382"/>
      <c r="Z41" s="369"/>
      <c r="AA41" s="370"/>
      <c r="AB41" s="17">
        <f t="shared" si="3"/>
        <v>2.2327845074577075</v>
      </c>
      <c r="AC41" s="17"/>
      <c r="AD41" s="79"/>
      <c r="AE41" s="17"/>
      <c r="AI41" s="437"/>
      <c r="AJ41" s="415"/>
      <c r="AK41" s="258">
        <v>24</v>
      </c>
      <c r="AL41" s="258">
        <v>47.885999999999989</v>
      </c>
      <c r="AM41" s="258">
        <v>6.2883837351103686</v>
      </c>
      <c r="AN41" s="258">
        <v>1.988561540410571</v>
      </c>
      <c r="AO41" s="416"/>
      <c r="AP41" s="416"/>
      <c r="AQ41" s="415"/>
      <c r="AR41" s="415"/>
      <c r="AS41" s="251">
        <f t="shared" si="5"/>
        <v>4.1526992031294565</v>
      </c>
      <c r="AT41" s="258">
        <f>7.064014541/100*AL41+AL39</f>
        <v>12.042174003103259</v>
      </c>
      <c r="AU41" s="258">
        <f>AT41/AL41*100</f>
        <v>25.147588028031702</v>
      </c>
      <c r="AV41" s="425"/>
      <c r="AW41" s="418"/>
    </row>
    <row r="42" spans="2:49" ht="15" customHeight="1" thickBot="1">
      <c r="B42" s="352"/>
      <c r="C42" s="272">
        <v>13</v>
      </c>
      <c r="D42" s="391" t="s">
        <v>226</v>
      </c>
      <c r="E42" s="392"/>
      <c r="F42" s="271">
        <v>0</v>
      </c>
      <c r="G42" s="270">
        <v>11.208333333333334</v>
      </c>
      <c r="H42" s="270">
        <v>10.75</v>
      </c>
      <c r="I42" s="270">
        <v>10.636904761904761</v>
      </c>
      <c r="J42" s="270">
        <v>10.309523809523808</v>
      </c>
      <c r="K42" s="270"/>
      <c r="L42" s="270"/>
      <c r="M42" s="270"/>
      <c r="N42" s="270"/>
      <c r="O42" s="270"/>
      <c r="P42" s="269"/>
      <c r="R42" s="203" t="s">
        <v>735</v>
      </c>
      <c r="S42" s="202">
        <v>13</v>
      </c>
      <c r="T42" s="201">
        <v>0</v>
      </c>
      <c r="U42" s="200">
        <f t="shared" si="0"/>
        <v>10.726190476190476</v>
      </c>
      <c r="V42" s="199">
        <f t="shared" si="1"/>
        <v>0.37175784143468837</v>
      </c>
      <c r="W42" s="198">
        <f t="shared" si="2"/>
        <v>0.18587892071734419</v>
      </c>
      <c r="X42" s="383" t="s">
        <v>751</v>
      </c>
      <c r="Y42" s="384"/>
      <c r="Z42" s="375" t="s">
        <v>748</v>
      </c>
      <c r="AA42" s="401"/>
      <c r="AB42" s="275">
        <f t="shared" si="3"/>
        <v>1.7329444328809003</v>
      </c>
      <c r="AC42" s="218">
        <f>(11-U42)+W42</f>
        <v>0.45968844452686791</v>
      </c>
      <c r="AD42" s="9"/>
      <c r="AE42" s="38"/>
      <c r="AF42" s="405" t="s">
        <v>747</v>
      </c>
      <c r="AI42" s="438"/>
      <c r="AJ42" s="337"/>
      <c r="AK42" s="274">
        <v>48</v>
      </c>
      <c r="AL42" s="274">
        <v>42.803333333333335</v>
      </c>
      <c r="AM42" s="274">
        <v>9.0709010715584171</v>
      </c>
      <c r="AN42" s="274">
        <v>3.0236336905194725</v>
      </c>
      <c r="AO42" s="334"/>
      <c r="AP42" s="334"/>
      <c r="AQ42" s="337"/>
      <c r="AR42" s="337"/>
      <c r="AS42" s="251">
        <f t="shared" si="5"/>
        <v>7.064014540579719</v>
      </c>
      <c r="AT42" s="274">
        <v>11.683133690519474</v>
      </c>
      <c r="AU42" s="258">
        <f>AT42/AL42*100</f>
        <v>27.294915560749487</v>
      </c>
      <c r="AV42" s="425"/>
      <c r="AW42" s="418"/>
    </row>
    <row r="43" spans="2:49" ht="16" thickBot="1">
      <c r="B43" s="352"/>
      <c r="C43" s="263"/>
      <c r="D43" s="393"/>
      <c r="E43" s="394"/>
      <c r="F43" s="262">
        <v>8</v>
      </c>
      <c r="G43" s="261">
        <v>11.071428571428571</v>
      </c>
      <c r="H43" s="261">
        <v>10.523809523809524</v>
      </c>
      <c r="I43" s="261">
        <v>10.821428571428571</v>
      </c>
      <c r="J43" s="261">
        <v>10.553571428571429</v>
      </c>
      <c r="K43" s="261"/>
      <c r="L43" s="261"/>
      <c r="M43" s="261"/>
      <c r="N43" s="261"/>
      <c r="O43" s="261"/>
      <c r="P43" s="260"/>
      <c r="R43" s="191"/>
      <c r="S43" s="190"/>
      <c r="T43" s="189">
        <v>8</v>
      </c>
      <c r="U43" s="196">
        <f t="shared" si="0"/>
        <v>10.742559523809524</v>
      </c>
      <c r="V43" s="195">
        <f t="shared" si="1"/>
        <v>0.25686782580146683</v>
      </c>
      <c r="W43" s="194">
        <f t="shared" si="2"/>
        <v>0.12843391290073342</v>
      </c>
      <c r="X43" s="381"/>
      <c r="Y43" s="382"/>
      <c r="Z43" s="377"/>
      <c r="AA43" s="402"/>
      <c r="AB43" s="253">
        <f t="shared" si="3"/>
        <v>1.1955615662736232</v>
      </c>
      <c r="AC43" s="216">
        <f>(11-U42)+W43</f>
        <v>0.40224343671025714</v>
      </c>
      <c r="AD43" s="18"/>
      <c r="AE43" s="38"/>
      <c r="AF43" s="408"/>
      <c r="AI43" s="437" t="s">
        <v>735</v>
      </c>
      <c r="AJ43" s="443">
        <v>13</v>
      </c>
      <c r="AK43" s="107">
        <v>0</v>
      </c>
      <c r="AL43" s="124" t="e">
        <v>#DIV/0!</v>
      </c>
      <c r="AM43" s="124" t="e">
        <v>#DIV/0!</v>
      </c>
      <c r="AN43" s="124" t="e">
        <v>#DIV/0!</v>
      </c>
      <c r="AO43" s="416" t="s">
        <v>749</v>
      </c>
      <c r="AP43" s="416"/>
      <c r="AQ43" s="415" t="s">
        <v>748</v>
      </c>
      <c r="AR43" s="415"/>
      <c r="AS43" s="251" t="e">
        <f t="shared" si="5"/>
        <v>#DIV/0!</v>
      </c>
      <c r="AT43" s="107" t="e">
        <v>#DIV/0!</v>
      </c>
      <c r="AU43" s="107"/>
      <c r="AV43" s="421" t="s">
        <v>747</v>
      </c>
    </row>
    <row r="44" spans="2:49" ht="16" thickBot="1">
      <c r="B44" s="352"/>
      <c r="C44" s="263"/>
      <c r="D44" s="393"/>
      <c r="E44" s="394"/>
      <c r="F44" s="262">
        <v>24</v>
      </c>
      <c r="G44" s="261">
        <v>10.673452078032232</v>
      </c>
      <c r="H44" s="261">
        <v>10.716991800961267</v>
      </c>
      <c r="I44" s="261">
        <v>10.654792196776929</v>
      </c>
      <c r="J44" s="261">
        <v>10.08255583828103</v>
      </c>
      <c r="K44" s="261"/>
      <c r="L44" s="261"/>
      <c r="M44" s="261"/>
      <c r="N44" s="261"/>
      <c r="O44" s="261"/>
      <c r="P44" s="260"/>
      <c r="R44" s="191"/>
      <c r="S44" s="190"/>
      <c r="T44" s="189">
        <v>24</v>
      </c>
      <c r="U44" s="196">
        <f t="shared" si="0"/>
        <v>10.531947978512866</v>
      </c>
      <c r="V44" s="195">
        <f t="shared" si="1"/>
        <v>0.30072613458658226</v>
      </c>
      <c r="W44" s="194">
        <f t="shared" si="2"/>
        <v>0.15036306729329113</v>
      </c>
      <c r="X44" s="381"/>
      <c r="Y44" s="382"/>
      <c r="Z44" s="377"/>
      <c r="AA44" s="402"/>
      <c r="AB44" s="253">
        <f t="shared" si="3"/>
        <v>1.4276852449334136</v>
      </c>
      <c r="AC44" s="216">
        <f>(11-U42)+W44</f>
        <v>0.42417259110281486</v>
      </c>
      <c r="AD44" s="18"/>
      <c r="AE44" s="38"/>
      <c r="AF44" s="408"/>
      <c r="AI44" s="437"/>
      <c r="AJ44" s="443"/>
      <c r="AK44" s="107">
        <v>8</v>
      </c>
      <c r="AL44" s="107">
        <v>9.6593333333333344</v>
      </c>
      <c r="AM44" s="107">
        <v>1.1100222219997824</v>
      </c>
      <c r="AN44" s="107">
        <v>0.64087162867804093</v>
      </c>
      <c r="AO44" s="416"/>
      <c r="AP44" s="416"/>
      <c r="AQ44" s="415"/>
      <c r="AR44" s="415"/>
      <c r="AS44" s="251">
        <f t="shared" si="5"/>
        <v>6.6347397544141167</v>
      </c>
      <c r="AT44" s="107">
        <v>0.64087162867804093</v>
      </c>
      <c r="AU44" s="258">
        <f t="shared" ref="AU44:AU56" si="6">AT44/AL44*100</f>
        <v>6.6347397544141167</v>
      </c>
      <c r="AV44" s="422"/>
    </row>
    <row r="45" spans="2:49" ht="16" thickBot="1">
      <c r="B45" s="352"/>
      <c r="C45" s="263"/>
      <c r="D45" s="393"/>
      <c r="E45" s="394"/>
      <c r="F45" s="262">
        <v>48</v>
      </c>
      <c r="G45" s="261">
        <v>9.7450052576235535</v>
      </c>
      <c r="H45" s="261">
        <v>10.005257623554153</v>
      </c>
      <c r="I45" s="261">
        <v>9.288117770767613</v>
      </c>
      <c r="J45" s="261">
        <v>9.5599369085173489</v>
      </c>
      <c r="K45" s="261"/>
      <c r="L45" s="261"/>
      <c r="M45" s="261"/>
      <c r="N45" s="261"/>
      <c r="O45" s="261"/>
      <c r="P45" s="260"/>
      <c r="R45" s="191"/>
      <c r="S45" s="190"/>
      <c r="T45" s="189">
        <v>48</v>
      </c>
      <c r="U45" s="188">
        <f t="shared" si="0"/>
        <v>9.649579390115667</v>
      </c>
      <c r="V45" s="187">
        <f t="shared" si="1"/>
        <v>0.30238131484400999</v>
      </c>
      <c r="W45" s="186">
        <f t="shared" si="2"/>
        <v>0.15119065742200499</v>
      </c>
      <c r="X45" s="381"/>
      <c r="Y45" s="382"/>
      <c r="Z45" s="377"/>
      <c r="AA45" s="402"/>
      <c r="AB45" s="253">
        <f t="shared" si="3"/>
        <v>1.5668108557858367</v>
      </c>
      <c r="AC45" s="216">
        <f>(11-U42)+W45</f>
        <v>0.42500018123152872</v>
      </c>
      <c r="AD45" s="18"/>
      <c r="AE45" s="38"/>
      <c r="AF45" s="408"/>
      <c r="AI45" s="437"/>
      <c r="AJ45" s="443"/>
      <c r="AK45" s="107">
        <v>24</v>
      </c>
      <c r="AL45" s="107">
        <v>27.220500000000001</v>
      </c>
      <c r="AM45" s="107">
        <v>5.1200690425032347</v>
      </c>
      <c r="AN45" s="107">
        <v>2.5600345212516173</v>
      </c>
      <c r="AO45" s="416"/>
      <c r="AP45" s="416"/>
      <c r="AQ45" s="415"/>
      <c r="AR45" s="415"/>
      <c r="AS45" s="251">
        <f t="shared" si="5"/>
        <v>9.4048034431829581</v>
      </c>
      <c r="AT45" s="107">
        <v>2.5600345212516173</v>
      </c>
      <c r="AU45" s="258">
        <f t="shared" si="6"/>
        <v>9.4048034431829581</v>
      </c>
      <c r="AV45" s="422"/>
    </row>
    <row r="46" spans="2:49" ht="16" thickBot="1">
      <c r="B46" s="352"/>
      <c r="C46" s="257"/>
      <c r="D46" s="395"/>
      <c r="E46" s="396"/>
      <c r="F46" s="256">
        <v>72</v>
      </c>
      <c r="G46" s="255">
        <v>9.5715036803364875</v>
      </c>
      <c r="H46" s="255">
        <v>9.8780231335436373</v>
      </c>
      <c r="I46" s="255">
        <v>9.7507886435331219</v>
      </c>
      <c r="J46" s="255">
        <v>9.5657202944269173</v>
      </c>
      <c r="K46" s="255"/>
      <c r="L46" s="255"/>
      <c r="M46" s="255"/>
      <c r="N46" s="255"/>
      <c r="O46" s="255"/>
      <c r="P46" s="254"/>
      <c r="R46" s="182"/>
      <c r="S46" s="181"/>
      <c r="T46" s="180">
        <v>72</v>
      </c>
      <c r="U46" s="179">
        <f t="shared" si="0"/>
        <v>9.691508937960041</v>
      </c>
      <c r="V46" s="178">
        <f t="shared" si="1"/>
        <v>0.15113534039200965</v>
      </c>
      <c r="W46" s="177">
        <f t="shared" si="2"/>
        <v>7.5567670196004827E-2</v>
      </c>
      <c r="X46" s="385"/>
      <c r="Y46" s="386"/>
      <c r="Z46" s="379"/>
      <c r="AA46" s="403"/>
      <c r="AB46" s="273">
        <f t="shared" si="3"/>
        <v>0.77973069704366404</v>
      </c>
      <c r="AC46" s="210">
        <f>(11-U42)+W46</f>
        <v>0.34937719400552858</v>
      </c>
      <c r="AD46" s="79"/>
      <c r="AE46" s="38"/>
      <c r="AF46" s="409"/>
      <c r="AI46" s="437"/>
      <c r="AJ46" s="443"/>
      <c r="AK46" s="107">
        <v>48</v>
      </c>
      <c r="AL46" s="107">
        <v>63.64425</v>
      </c>
      <c r="AM46" s="107">
        <v>10.227952984346372</v>
      </c>
      <c r="AN46" s="107">
        <v>5.1139764921731858</v>
      </c>
      <c r="AO46" s="416"/>
      <c r="AP46" s="416"/>
      <c r="AQ46" s="415"/>
      <c r="AR46" s="415"/>
      <c r="AS46" s="251">
        <f t="shared" si="5"/>
        <v>8.0352529759926234</v>
      </c>
      <c r="AT46" s="107">
        <v>5.1139764921731858</v>
      </c>
      <c r="AU46" s="258">
        <f t="shared" si="6"/>
        <v>8.0352529759926234</v>
      </c>
      <c r="AV46" s="422"/>
    </row>
    <row r="47" spans="2:49" ht="16" thickBot="1">
      <c r="B47" s="352"/>
      <c r="C47" s="272">
        <v>13</v>
      </c>
      <c r="D47" s="391" t="s">
        <v>717</v>
      </c>
      <c r="E47" s="392"/>
      <c r="F47" s="271">
        <v>0</v>
      </c>
      <c r="G47" s="270">
        <v>12.06850084222347</v>
      </c>
      <c r="H47" s="270">
        <v>11.95115103874228</v>
      </c>
      <c r="I47" s="270">
        <v>11.815272318921954</v>
      </c>
      <c r="J47" s="270">
        <v>11.444693992139248</v>
      </c>
      <c r="K47" s="270"/>
      <c r="L47" s="270"/>
      <c r="M47" s="270"/>
      <c r="N47" s="270"/>
      <c r="O47" s="270"/>
      <c r="P47" s="269"/>
      <c r="R47" s="206" t="s">
        <v>735</v>
      </c>
      <c r="S47" s="190">
        <v>13</v>
      </c>
      <c r="T47" s="205">
        <v>0</v>
      </c>
      <c r="U47" s="209">
        <f t="shared" si="0"/>
        <v>11.819904548006738</v>
      </c>
      <c r="V47" s="38">
        <f t="shared" si="1"/>
        <v>0.27069674152045209</v>
      </c>
      <c r="W47" s="17">
        <f t="shared" si="2"/>
        <v>0.13534837076022604</v>
      </c>
      <c r="X47" s="310" t="s">
        <v>749</v>
      </c>
      <c r="Y47" s="325"/>
      <c r="Z47" s="369" t="s">
        <v>750</v>
      </c>
      <c r="AA47" s="370"/>
      <c r="AB47" s="17">
        <f t="shared" si="3"/>
        <v>1.1450885259733392</v>
      </c>
      <c r="AC47" s="17"/>
      <c r="AD47" s="9"/>
      <c r="AE47" s="17"/>
      <c r="AI47" s="442"/>
      <c r="AJ47" s="444"/>
      <c r="AK47" s="212">
        <v>72</v>
      </c>
      <c r="AL47" s="212">
        <v>89.013000000000005</v>
      </c>
      <c r="AM47" s="212">
        <v>24.694671732987246</v>
      </c>
      <c r="AN47" s="212">
        <v>12.347335866493623</v>
      </c>
      <c r="AO47" s="440"/>
      <c r="AP47" s="440"/>
      <c r="AQ47" s="441"/>
      <c r="AR47" s="441"/>
      <c r="AS47" s="251">
        <f t="shared" si="5"/>
        <v>13.871384928598768</v>
      </c>
      <c r="AT47" s="212">
        <v>12.347335866493623</v>
      </c>
      <c r="AU47" s="250">
        <f t="shared" si="6"/>
        <v>13.871384928598768</v>
      </c>
      <c r="AV47" s="423"/>
    </row>
    <row r="48" spans="2:49" ht="15" customHeight="1" thickBot="1">
      <c r="B48" s="352"/>
      <c r="C48" s="263"/>
      <c r="D48" s="393"/>
      <c r="E48" s="394"/>
      <c r="F48" s="262">
        <v>8</v>
      </c>
      <c r="G48" s="261">
        <v>10.116788321167885</v>
      </c>
      <c r="H48" s="261">
        <v>10.271195957327345</v>
      </c>
      <c r="I48" s="261">
        <v>10.907355418304325</v>
      </c>
      <c r="J48" s="261">
        <v>10.400898371701292</v>
      </c>
      <c r="K48" s="261"/>
      <c r="L48" s="261"/>
      <c r="M48" s="261"/>
      <c r="N48" s="261"/>
      <c r="O48" s="261"/>
      <c r="P48" s="260"/>
      <c r="R48" s="206"/>
      <c r="S48" s="190"/>
      <c r="T48" s="205">
        <v>8</v>
      </c>
      <c r="U48" s="204">
        <f t="shared" si="0"/>
        <v>10.424059517125212</v>
      </c>
      <c r="V48" s="7">
        <f t="shared" si="1"/>
        <v>0.34248806428497203</v>
      </c>
      <c r="W48" s="8">
        <f t="shared" si="2"/>
        <v>0.17124403214248601</v>
      </c>
      <c r="X48" s="310"/>
      <c r="Y48" s="325"/>
      <c r="Z48" s="369"/>
      <c r="AA48" s="370"/>
      <c r="AB48" s="17">
        <f t="shared" si="3"/>
        <v>1.642776807453536</v>
      </c>
      <c r="AC48" s="17"/>
      <c r="AD48" s="18"/>
      <c r="AE48" s="17"/>
      <c r="AI48" s="436" t="s">
        <v>735</v>
      </c>
      <c r="AJ48" s="414">
        <v>1</v>
      </c>
      <c r="AK48" s="264">
        <v>0</v>
      </c>
      <c r="AL48" s="264">
        <v>44.612500000000004</v>
      </c>
      <c r="AM48" s="264">
        <v>18.341422995503919</v>
      </c>
      <c r="AN48" s="264">
        <v>7.487854582589061</v>
      </c>
      <c r="AO48" s="431" t="s">
        <v>751</v>
      </c>
      <c r="AP48" s="431"/>
      <c r="AQ48" s="414" t="s">
        <v>748</v>
      </c>
      <c r="AR48" s="414"/>
      <c r="AS48" s="251">
        <f t="shared" si="5"/>
        <v>16.784207526117253</v>
      </c>
      <c r="AT48" s="264">
        <v>52.100354582589063</v>
      </c>
      <c r="AU48" s="251">
        <f t="shared" si="6"/>
        <v>116.78420752611724</v>
      </c>
      <c r="AV48" s="433" t="s">
        <v>747</v>
      </c>
      <c r="AW48" s="449" t="s">
        <v>757</v>
      </c>
    </row>
    <row r="49" spans="2:49" ht="16" thickBot="1">
      <c r="B49" s="352"/>
      <c r="C49" s="263"/>
      <c r="D49" s="393"/>
      <c r="E49" s="394"/>
      <c r="F49" s="262">
        <v>24</v>
      </c>
      <c r="G49" s="261">
        <v>9.821878579610539</v>
      </c>
      <c r="H49" s="261">
        <v>9.8848797250859111</v>
      </c>
      <c r="I49" s="261">
        <v>9.8596792668957622</v>
      </c>
      <c r="J49" s="261">
        <v>9.7399770904925553</v>
      </c>
      <c r="K49" s="261"/>
      <c r="L49" s="261"/>
      <c r="M49" s="261"/>
      <c r="N49" s="261"/>
      <c r="O49" s="261"/>
      <c r="P49" s="260"/>
      <c r="R49" s="206"/>
      <c r="S49" s="190"/>
      <c r="T49" s="205">
        <v>24</v>
      </c>
      <c r="U49" s="204">
        <f t="shared" si="0"/>
        <v>9.8266036655211906</v>
      </c>
      <c r="V49" s="7">
        <f t="shared" si="1"/>
        <v>6.3289242010353353E-2</v>
      </c>
      <c r="W49" s="8">
        <f t="shared" si="2"/>
        <v>3.1644621005176676E-2</v>
      </c>
      <c r="X49" s="310"/>
      <c r="Y49" s="325"/>
      <c r="Z49" s="369"/>
      <c r="AA49" s="370"/>
      <c r="AB49" s="17">
        <f t="shared" si="3"/>
        <v>0.32203009383810621</v>
      </c>
      <c r="AC49" s="17"/>
      <c r="AD49" s="18"/>
      <c r="AE49" s="17"/>
      <c r="AI49" s="437"/>
      <c r="AJ49" s="415"/>
      <c r="AK49" s="107">
        <v>8</v>
      </c>
      <c r="AL49" s="107">
        <v>663.4620000000001</v>
      </c>
      <c r="AM49" s="107">
        <v>65.56010289192659</v>
      </c>
      <c r="AN49" s="107">
        <v>26.764799928263994</v>
      </c>
      <c r="AO49" s="432"/>
      <c r="AP49" s="432"/>
      <c r="AQ49" s="415"/>
      <c r="AR49" s="415"/>
      <c r="AS49" s="251">
        <f t="shared" si="5"/>
        <v>4.0341119654575524</v>
      </c>
      <c r="AT49" s="107">
        <f>0.1*AL49</f>
        <v>66.34620000000001</v>
      </c>
      <c r="AU49" s="258">
        <f t="shared" si="6"/>
        <v>10</v>
      </c>
      <c r="AV49" s="421"/>
      <c r="AW49" s="450"/>
    </row>
    <row r="50" spans="2:49" ht="16" thickBot="1">
      <c r="B50" s="352"/>
      <c r="C50" s="263"/>
      <c r="D50" s="393"/>
      <c r="E50" s="394"/>
      <c r="F50" s="262">
        <v>48</v>
      </c>
      <c r="G50" s="261">
        <v>7.3018327605956479</v>
      </c>
      <c r="H50" s="261">
        <v>8.9902634593356243</v>
      </c>
      <c r="I50" s="261">
        <v>8.9272623138602523</v>
      </c>
      <c r="J50" s="261">
        <v>8.2923076923076913</v>
      </c>
      <c r="K50" s="261"/>
      <c r="L50" s="261"/>
      <c r="M50" s="261"/>
      <c r="N50" s="261"/>
      <c r="O50" s="261"/>
      <c r="P50" s="260"/>
      <c r="R50" s="206"/>
      <c r="S50" s="190"/>
      <c r="T50" s="205">
        <v>48</v>
      </c>
      <c r="U50" s="208">
        <f t="shared" si="0"/>
        <v>8.3779165565248057</v>
      </c>
      <c r="V50" s="207">
        <f t="shared" si="1"/>
        <v>0.78358890241807866</v>
      </c>
      <c r="W50" s="107">
        <f t="shared" si="2"/>
        <v>0.39179445120903933</v>
      </c>
      <c r="X50" s="310"/>
      <c r="Y50" s="325"/>
      <c r="Z50" s="369"/>
      <c r="AA50" s="370"/>
      <c r="AB50" s="17">
        <f t="shared" si="3"/>
        <v>4.6765141257453307</v>
      </c>
      <c r="AC50" s="17"/>
      <c r="AD50" s="18"/>
      <c r="AE50" s="17"/>
      <c r="AI50" s="437"/>
      <c r="AJ50" s="415"/>
      <c r="AK50" s="107">
        <v>24</v>
      </c>
      <c r="AL50" s="107">
        <v>1291.2766666666666</v>
      </c>
      <c r="AM50" s="107">
        <v>178.37726959079458</v>
      </c>
      <c r="AN50" s="107">
        <v>72.82221536805352</v>
      </c>
      <c r="AO50" s="432"/>
      <c r="AP50" s="432"/>
      <c r="AQ50" s="415"/>
      <c r="AR50" s="415"/>
      <c r="AS50" s="251">
        <f t="shared" si="5"/>
        <v>5.6395517124954004</v>
      </c>
      <c r="AT50" s="107">
        <v>117.43471536805353</v>
      </c>
      <c r="AU50" s="258">
        <f t="shared" si="6"/>
        <v>9.0944658414065813</v>
      </c>
      <c r="AV50" s="421"/>
      <c r="AW50" s="450"/>
    </row>
    <row r="51" spans="2:49" ht="16" thickBot="1">
      <c r="B51" s="352"/>
      <c r="C51" s="257"/>
      <c r="D51" s="395"/>
      <c r="E51" s="396"/>
      <c r="F51" s="256">
        <v>72</v>
      </c>
      <c r="G51" s="255">
        <v>7.9764102564102561</v>
      </c>
      <c r="H51" s="255">
        <v>8.0158974358974362</v>
      </c>
      <c r="I51" s="255">
        <v>7.8523076923076918</v>
      </c>
      <c r="J51" s="255">
        <v>7.8015384615384624</v>
      </c>
      <c r="K51" s="255"/>
      <c r="L51" s="255"/>
      <c r="M51" s="255"/>
      <c r="N51" s="255"/>
      <c r="O51" s="255"/>
      <c r="P51" s="254"/>
      <c r="R51" s="206"/>
      <c r="S51" s="190"/>
      <c r="T51" s="205">
        <v>72</v>
      </c>
      <c r="U51" s="204">
        <f t="shared" si="0"/>
        <v>7.9115384615384619</v>
      </c>
      <c r="V51" s="7">
        <f t="shared" si="1"/>
        <v>0.10117217885501567</v>
      </c>
      <c r="W51" s="8">
        <f t="shared" si="2"/>
        <v>5.0586089427507835E-2</v>
      </c>
      <c r="X51" s="310"/>
      <c r="Y51" s="325"/>
      <c r="Z51" s="369"/>
      <c r="AA51" s="370"/>
      <c r="AB51" s="17">
        <f t="shared" si="3"/>
        <v>0.63939636612309358</v>
      </c>
      <c r="AC51" s="17"/>
      <c r="AD51" s="79"/>
      <c r="AE51" s="17"/>
      <c r="AI51" s="438"/>
      <c r="AJ51" s="337"/>
      <c r="AK51" s="8">
        <v>48</v>
      </c>
      <c r="AL51" s="8">
        <v>1561.3056666666669</v>
      </c>
      <c r="AM51" s="8">
        <v>94.875487754565313</v>
      </c>
      <c r="AN51" s="8">
        <v>38.732755682726463</v>
      </c>
      <c r="AO51" s="340"/>
      <c r="AP51" s="340"/>
      <c r="AQ51" s="337"/>
      <c r="AR51" s="337"/>
      <c r="AS51" s="251">
        <f t="shared" si="5"/>
        <v>2.4807926154152469</v>
      </c>
      <c r="AT51" s="107">
        <f>0.1*AL51</f>
        <v>156.13056666666671</v>
      </c>
      <c r="AU51" s="258">
        <f t="shared" si="6"/>
        <v>10.000000000000002</v>
      </c>
      <c r="AV51" s="434"/>
      <c r="AW51" s="451"/>
    </row>
    <row r="52" spans="2:49" ht="16" thickBot="1">
      <c r="B52" s="352"/>
      <c r="C52" s="272">
        <v>13</v>
      </c>
      <c r="D52" s="391" t="s">
        <v>203</v>
      </c>
      <c r="E52" s="392"/>
      <c r="F52" s="271">
        <v>0</v>
      </c>
      <c r="G52" s="270">
        <v>12.529761904761905</v>
      </c>
      <c r="H52" s="270">
        <v>12.654761904761903</v>
      </c>
      <c r="I52" s="270">
        <v>12.863095238095237</v>
      </c>
      <c r="J52" s="270">
        <v>13.154761904761903</v>
      </c>
      <c r="K52" s="270"/>
      <c r="L52" s="270"/>
      <c r="M52" s="270"/>
      <c r="N52" s="270"/>
      <c r="O52" s="270"/>
      <c r="P52" s="269"/>
      <c r="R52" s="203" t="s">
        <v>735</v>
      </c>
      <c r="S52" s="202">
        <v>13</v>
      </c>
      <c r="T52" s="201">
        <v>0</v>
      </c>
      <c r="U52" s="268">
        <f t="shared" si="0"/>
        <v>12.800595238095239</v>
      </c>
      <c r="V52" s="267">
        <f t="shared" si="1"/>
        <v>0.27322660517924946</v>
      </c>
      <c r="W52" s="266">
        <f t="shared" si="2"/>
        <v>0.13661330258962473</v>
      </c>
      <c r="X52" s="371" t="s">
        <v>749</v>
      </c>
      <c r="Y52" s="372"/>
      <c r="Z52" s="375" t="s">
        <v>748</v>
      </c>
      <c r="AA52" s="401"/>
      <c r="AB52" s="265">
        <f t="shared" si="3"/>
        <v>1.0672417965615881</v>
      </c>
      <c r="AC52" s="218"/>
      <c r="AD52" s="9"/>
      <c r="AE52" s="17"/>
      <c r="AF52" s="405" t="s">
        <v>747</v>
      </c>
      <c r="AI52" s="436" t="s">
        <v>735</v>
      </c>
      <c r="AJ52" s="452">
        <v>13</v>
      </c>
      <c r="AK52" s="264">
        <v>0</v>
      </c>
      <c r="AL52" s="264">
        <v>8.7720000000000002</v>
      </c>
      <c r="AM52" s="264">
        <v>4.442044799413889</v>
      </c>
      <c r="AN52" s="264">
        <v>3.1409999999999978</v>
      </c>
      <c r="AO52" s="431" t="s">
        <v>751</v>
      </c>
      <c r="AP52" s="431"/>
      <c r="AQ52" s="414" t="s">
        <v>748</v>
      </c>
      <c r="AR52" s="414"/>
      <c r="AS52" s="251">
        <f t="shared" si="5"/>
        <v>35.807113543091631</v>
      </c>
      <c r="AT52" s="264">
        <v>3.1409999999999978</v>
      </c>
      <c r="AU52" s="258">
        <f t="shared" si="6"/>
        <v>35.807113543091631</v>
      </c>
      <c r="AV52" s="453" t="s">
        <v>747</v>
      </c>
    </row>
    <row r="53" spans="2:49" ht="16" thickBot="1">
      <c r="B53" s="352"/>
      <c r="C53" s="263"/>
      <c r="D53" s="393"/>
      <c r="E53" s="394"/>
      <c r="F53" s="262">
        <v>8</v>
      </c>
      <c r="G53" s="261">
        <v>10.202380952380951</v>
      </c>
      <c r="H53" s="261">
        <v>9.8095238095238084</v>
      </c>
      <c r="I53" s="261">
        <v>9.8928571428571423</v>
      </c>
      <c r="J53" s="261">
        <v>10.261904761904761</v>
      </c>
      <c r="K53" s="261"/>
      <c r="L53" s="261"/>
      <c r="M53" s="261"/>
      <c r="N53" s="261"/>
      <c r="O53" s="261"/>
      <c r="P53" s="260"/>
      <c r="R53" s="191"/>
      <c r="S53" s="190"/>
      <c r="T53" s="189">
        <v>8</v>
      </c>
      <c r="U53" s="196">
        <f t="shared" si="0"/>
        <v>10.041666666666666</v>
      </c>
      <c r="V53" s="195">
        <f t="shared" si="1"/>
        <v>0.22388127860216697</v>
      </c>
      <c r="W53" s="194">
        <f t="shared" si="2"/>
        <v>0.11194063930108349</v>
      </c>
      <c r="X53" s="310"/>
      <c r="Y53" s="325"/>
      <c r="Z53" s="377"/>
      <c r="AA53" s="402"/>
      <c r="AB53" s="253">
        <f>0.05*U53</f>
        <v>0.50208333333333333</v>
      </c>
      <c r="AC53" s="259"/>
      <c r="AD53" s="18"/>
      <c r="AE53" s="17"/>
      <c r="AF53" s="408"/>
      <c r="AI53" s="437"/>
      <c r="AJ53" s="443"/>
      <c r="AK53" s="107">
        <v>8</v>
      </c>
      <c r="AL53" s="107">
        <v>109.1575</v>
      </c>
      <c r="AM53" s="107">
        <v>14.010770559347014</v>
      </c>
      <c r="AN53" s="107">
        <v>7.005385279673507</v>
      </c>
      <c r="AO53" s="432"/>
      <c r="AP53" s="432"/>
      <c r="AQ53" s="415"/>
      <c r="AR53" s="415"/>
      <c r="AS53" s="251">
        <f t="shared" si="5"/>
        <v>6.4176857107147987</v>
      </c>
      <c r="AT53" s="107">
        <f>7.00538527967351+AL52</f>
        <v>15.77738527967351</v>
      </c>
      <c r="AU53" s="258">
        <f t="shared" si="6"/>
        <v>14.453780344615359</v>
      </c>
      <c r="AV53" s="422"/>
      <c r="AW53" s="418" t="s">
        <v>756</v>
      </c>
    </row>
    <row r="54" spans="2:49" ht="16" thickBot="1">
      <c r="B54" s="352"/>
      <c r="C54" s="263"/>
      <c r="D54" s="393"/>
      <c r="E54" s="394"/>
      <c r="F54" s="262">
        <v>24</v>
      </c>
      <c r="G54" s="261">
        <v>10.611252473847893</v>
      </c>
      <c r="H54" s="261">
        <v>11.115069267741024</v>
      </c>
      <c r="I54" s="261">
        <v>10.698331919705964</v>
      </c>
      <c r="J54" s="261">
        <v>10.735651682216568</v>
      </c>
      <c r="K54" s="261"/>
      <c r="L54" s="261"/>
      <c r="M54" s="261"/>
      <c r="N54" s="261"/>
      <c r="O54" s="261"/>
      <c r="P54" s="260"/>
      <c r="R54" s="191"/>
      <c r="S54" s="190"/>
      <c r="T54" s="189">
        <v>24</v>
      </c>
      <c r="U54" s="196">
        <f t="shared" si="0"/>
        <v>10.790076335877863</v>
      </c>
      <c r="V54" s="195">
        <f t="shared" si="1"/>
        <v>0.22284333825747146</v>
      </c>
      <c r="W54" s="194">
        <f t="shared" si="2"/>
        <v>0.11142166912873573</v>
      </c>
      <c r="X54" s="310"/>
      <c r="Y54" s="325"/>
      <c r="Z54" s="377"/>
      <c r="AA54" s="402"/>
      <c r="AB54" s="253">
        <f>0.05*U54</f>
        <v>0.53950381679389314</v>
      </c>
      <c r="AC54" s="259"/>
      <c r="AD54" s="18"/>
      <c r="AE54" s="17"/>
      <c r="AF54" s="408"/>
      <c r="AI54" s="437"/>
      <c r="AJ54" s="443"/>
      <c r="AK54" s="107">
        <v>24</v>
      </c>
      <c r="AL54" s="107">
        <v>270.7525</v>
      </c>
      <c r="AM54" s="107">
        <v>72.664725222535921</v>
      </c>
      <c r="AN54" s="107">
        <v>36.332362611267961</v>
      </c>
      <c r="AO54" s="432"/>
      <c r="AP54" s="432"/>
      <c r="AQ54" s="415"/>
      <c r="AR54" s="415"/>
      <c r="AS54" s="251">
        <f t="shared" si="5"/>
        <v>13.419031259644127</v>
      </c>
      <c r="AT54" s="107">
        <f>36.332362611268+AL52</f>
        <v>45.104362611268002</v>
      </c>
      <c r="AU54" s="258">
        <f t="shared" si="6"/>
        <v>16.658890540721877</v>
      </c>
      <c r="AV54" s="422"/>
      <c r="AW54" s="418"/>
    </row>
    <row r="55" spans="2:49" ht="16" thickBot="1">
      <c r="B55" s="352"/>
      <c r="C55" s="263"/>
      <c r="D55" s="393"/>
      <c r="E55" s="394"/>
      <c r="F55" s="262">
        <v>48</v>
      </c>
      <c r="G55" s="261">
        <v>10.424653661294883</v>
      </c>
      <c r="H55" s="261">
        <v>9.9705965507492227</v>
      </c>
      <c r="I55" s="261">
        <v>9.9643765903307884</v>
      </c>
      <c r="J55" s="261">
        <v>10.350014136273678</v>
      </c>
      <c r="K55" s="261"/>
      <c r="L55" s="261"/>
      <c r="M55" s="261"/>
      <c r="N55" s="261"/>
      <c r="O55" s="261"/>
      <c r="P55" s="260"/>
      <c r="R55" s="191"/>
      <c r="S55" s="190"/>
      <c r="T55" s="189">
        <v>48</v>
      </c>
      <c r="U55" s="188">
        <f t="shared" si="0"/>
        <v>10.177410234662142</v>
      </c>
      <c r="V55" s="187">
        <f t="shared" si="1"/>
        <v>0.24431990799997935</v>
      </c>
      <c r="W55" s="186">
        <f t="shared" si="2"/>
        <v>0.12215995399998968</v>
      </c>
      <c r="X55" s="310"/>
      <c r="Y55" s="325"/>
      <c r="Z55" s="377"/>
      <c r="AA55" s="402"/>
      <c r="AB55" s="253">
        <f>0.05*U55</f>
        <v>0.50887051173310716</v>
      </c>
      <c r="AC55" s="259"/>
      <c r="AD55" s="18"/>
      <c r="AE55" s="17"/>
      <c r="AF55" s="408"/>
      <c r="AI55" s="437"/>
      <c r="AJ55" s="443"/>
      <c r="AK55" s="107">
        <v>48</v>
      </c>
      <c r="AL55" s="107">
        <v>310.20749999999998</v>
      </c>
      <c r="AM55" s="107">
        <v>43.862187492949651</v>
      </c>
      <c r="AN55" s="107">
        <v>21.931093746474826</v>
      </c>
      <c r="AO55" s="432"/>
      <c r="AP55" s="432"/>
      <c r="AQ55" s="415"/>
      <c r="AR55" s="415"/>
      <c r="AS55" s="251">
        <f t="shared" si="5"/>
        <v>7.0698141555168155</v>
      </c>
      <c r="AT55" s="107">
        <f>21.9310937464748+AL52</f>
        <v>30.703093746474799</v>
      </c>
      <c r="AU55" s="258">
        <f t="shared" si="6"/>
        <v>9.8975987835480446</v>
      </c>
      <c r="AV55" s="422"/>
      <c r="AW55" s="418"/>
    </row>
    <row r="56" spans="2:49" ht="16" thickBot="1">
      <c r="B56" s="353"/>
      <c r="C56" s="257"/>
      <c r="D56" s="395"/>
      <c r="E56" s="396"/>
      <c r="F56" s="256">
        <v>72</v>
      </c>
      <c r="G56" s="255">
        <v>10.184542586750787</v>
      </c>
      <c r="H56" s="255">
        <v>10.467928496319663</v>
      </c>
      <c r="I56" s="255">
        <v>10.27707676130389</v>
      </c>
      <c r="J56" s="255">
        <v>9.8201892744479498</v>
      </c>
      <c r="K56" s="255"/>
      <c r="L56" s="255"/>
      <c r="M56" s="255"/>
      <c r="N56" s="255"/>
      <c r="O56" s="255"/>
      <c r="P56" s="254"/>
      <c r="R56" s="182"/>
      <c r="S56" s="181"/>
      <c r="T56" s="180">
        <v>72</v>
      </c>
      <c r="U56" s="179">
        <f t="shared" si="0"/>
        <v>10.187434279705572</v>
      </c>
      <c r="V56" s="178">
        <f t="shared" si="1"/>
        <v>0.2717781177332429</v>
      </c>
      <c r="W56" s="177">
        <f t="shared" si="2"/>
        <v>0.13588905886662145</v>
      </c>
      <c r="X56" s="373"/>
      <c r="Y56" s="374"/>
      <c r="Z56" s="379"/>
      <c r="AA56" s="403"/>
      <c r="AB56" s="253">
        <f>0.05*U56</f>
        <v>0.50937171398527858</v>
      </c>
      <c r="AC56" s="252"/>
      <c r="AD56" s="79"/>
      <c r="AE56" s="25"/>
      <c r="AF56" s="409"/>
      <c r="AI56" s="442"/>
      <c r="AJ56" s="444"/>
      <c r="AK56" s="212">
        <v>72</v>
      </c>
      <c r="AL56" s="212">
        <v>303.03999999999996</v>
      </c>
      <c r="AM56" s="212">
        <v>61.61039793195102</v>
      </c>
      <c r="AN56" s="212">
        <v>30.80519896597551</v>
      </c>
      <c r="AO56" s="439"/>
      <c r="AP56" s="439"/>
      <c r="AQ56" s="441"/>
      <c r="AR56" s="441"/>
      <c r="AS56" s="251">
        <f t="shared" si="5"/>
        <v>10.165390366280198</v>
      </c>
      <c r="AT56" s="212">
        <f>30.8051989659755+AL52</f>
        <v>39.577198965975498</v>
      </c>
      <c r="AU56" s="250">
        <f t="shared" si="6"/>
        <v>13.060057736924335</v>
      </c>
      <c r="AV56" s="423"/>
      <c r="AW56" s="418"/>
    </row>
    <row r="60" spans="2:49" ht="24">
      <c r="B60" s="168" t="s">
        <v>755</v>
      </c>
      <c r="C60" s="168"/>
      <c r="D60" s="168"/>
      <c r="E60" s="168"/>
      <c r="F60" s="168"/>
      <c r="G60" s="168"/>
      <c r="H60" s="168"/>
      <c r="I60" s="168"/>
      <c r="J60" s="168"/>
      <c r="K60" s="168"/>
      <c r="L60" s="168"/>
      <c r="M60" s="168"/>
      <c r="N60" s="168"/>
      <c r="O60" s="168"/>
      <c r="P60" s="168"/>
    </row>
    <row r="62" spans="2:49" ht="15" customHeight="1">
      <c r="B62" s="167"/>
      <c r="C62" s="167"/>
      <c r="D62" s="167"/>
      <c r="E62" s="167"/>
      <c r="F62" s="167"/>
      <c r="G62" s="404" t="s">
        <v>723</v>
      </c>
      <c r="H62" s="404"/>
      <c r="I62" s="404"/>
      <c r="J62" s="404"/>
      <c r="K62" s="404"/>
      <c r="L62" s="404"/>
      <c r="M62" s="404"/>
      <c r="N62" s="404"/>
      <c r="O62" s="404"/>
      <c r="P62" s="404"/>
      <c r="R62" s="249"/>
      <c r="S62" s="318" t="s">
        <v>188</v>
      </c>
      <c r="T62" s="318" t="s">
        <v>189</v>
      </c>
      <c r="U62" s="318" t="s">
        <v>190</v>
      </c>
      <c r="V62" s="318" t="s">
        <v>191</v>
      </c>
      <c r="W62" s="318" t="s">
        <v>192</v>
      </c>
      <c r="X62" s="249"/>
      <c r="Y62" s="248"/>
      <c r="Z62" s="249"/>
      <c r="AA62" s="248"/>
      <c r="AB62" s="306" t="s">
        <v>754</v>
      </c>
      <c r="AC62" s="306" t="s">
        <v>195</v>
      </c>
      <c r="AD62" s="8"/>
    </row>
    <row r="63" spans="2:49">
      <c r="B63" s="166" t="s">
        <v>741</v>
      </c>
      <c r="C63" s="166" t="s">
        <v>720</v>
      </c>
      <c r="D63" s="166" t="s">
        <v>193</v>
      </c>
      <c r="E63" s="166" t="s">
        <v>721</v>
      </c>
      <c r="F63" s="166" t="s">
        <v>753</v>
      </c>
      <c r="G63" s="165">
        <v>1</v>
      </c>
      <c r="H63" s="165">
        <v>2</v>
      </c>
      <c r="I63" s="165">
        <v>3</v>
      </c>
      <c r="J63" s="165">
        <v>4</v>
      </c>
      <c r="K63" s="165">
        <v>5</v>
      </c>
      <c r="L63" s="165">
        <v>6</v>
      </c>
      <c r="M63" s="165">
        <v>7</v>
      </c>
      <c r="N63" s="165">
        <v>8</v>
      </c>
      <c r="O63" s="165">
        <v>9</v>
      </c>
      <c r="P63" s="165">
        <v>10</v>
      </c>
      <c r="R63" s="247" t="s">
        <v>741</v>
      </c>
      <c r="S63" s="318"/>
      <c r="T63" s="318"/>
      <c r="U63" s="306"/>
      <c r="V63" s="306"/>
      <c r="W63" s="306"/>
      <c r="X63" s="247" t="s">
        <v>193</v>
      </c>
      <c r="Y63" s="246"/>
      <c r="Z63" s="247" t="s">
        <v>752</v>
      </c>
      <c r="AA63" s="246"/>
      <c r="AB63" s="307"/>
      <c r="AC63" s="307"/>
      <c r="AD63" s="25"/>
    </row>
    <row r="64" spans="2:49">
      <c r="B64" s="238" t="s">
        <v>733</v>
      </c>
      <c r="C64" s="192">
        <v>1</v>
      </c>
      <c r="D64" s="360" t="s">
        <v>717</v>
      </c>
      <c r="E64" s="360"/>
      <c r="F64" s="171" t="s">
        <v>728</v>
      </c>
      <c r="G64" s="171" t="s">
        <v>728</v>
      </c>
      <c r="H64" s="172">
        <v>14.214000000000002</v>
      </c>
      <c r="I64" s="171" t="s">
        <v>728</v>
      </c>
      <c r="J64" s="172">
        <v>29.597999999999999</v>
      </c>
      <c r="K64" s="171" t="s">
        <v>728</v>
      </c>
      <c r="L64" s="172">
        <v>5.82</v>
      </c>
      <c r="M64" s="171" t="s">
        <v>728</v>
      </c>
      <c r="N64" s="172">
        <v>71.31</v>
      </c>
      <c r="O64" s="171" t="s">
        <v>728</v>
      </c>
      <c r="P64" s="172">
        <v>74.319000000000003</v>
      </c>
      <c r="R64" s="236" t="s">
        <v>733</v>
      </c>
      <c r="S64" s="237">
        <v>1</v>
      </c>
      <c r="T64" s="6">
        <v>0</v>
      </c>
      <c r="U64" s="29">
        <f t="shared" ref="U64:U109" si="7">AVERAGE(G64:P64)</f>
        <v>39.052200000000006</v>
      </c>
      <c r="V64" s="7">
        <f t="shared" ref="V64:V109" si="8">STDEV(G64:P64)</f>
        <v>31.996132722565068</v>
      </c>
      <c r="W64" s="8">
        <f t="shared" ref="W64:W109" si="9">V64/SQRT(COUNT(G64:P64))</f>
        <v>14.309105556952181</v>
      </c>
      <c r="X64" s="314" t="s">
        <v>749</v>
      </c>
      <c r="Y64" s="315"/>
      <c r="Z64" s="399" t="s">
        <v>750</v>
      </c>
      <c r="AA64" s="400"/>
      <c r="AB64" s="8">
        <f t="shared" ref="AB64:AB71" si="10">W64/U64*100</f>
        <v>36.640971717219969</v>
      </c>
      <c r="AC64" s="8"/>
      <c r="AD64" s="8"/>
    </row>
    <row r="65" spans="2:32">
      <c r="B65" s="193"/>
      <c r="C65" s="192"/>
      <c r="D65" s="364"/>
      <c r="E65" s="364"/>
      <c r="F65" s="172">
        <v>8</v>
      </c>
      <c r="G65" s="172">
        <v>143.22900000000001</v>
      </c>
      <c r="H65" s="172">
        <v>99.876000000000005</v>
      </c>
      <c r="I65" s="172">
        <v>105.50699999999999</v>
      </c>
      <c r="J65" s="172">
        <v>121.965</v>
      </c>
      <c r="K65" s="172">
        <v>131.02800000000002</v>
      </c>
      <c r="L65" s="172">
        <v>105.42</v>
      </c>
      <c r="M65" s="172">
        <v>116.62200000000001</v>
      </c>
      <c r="N65" s="172">
        <v>104.94</v>
      </c>
      <c r="O65" s="172">
        <v>73.119</v>
      </c>
      <c r="P65" s="172">
        <v>103.73099999999999</v>
      </c>
      <c r="R65" s="236"/>
      <c r="S65" s="235"/>
      <c r="T65" s="15">
        <v>8</v>
      </c>
      <c r="U65" s="29">
        <f t="shared" si="7"/>
        <v>110.54369999999999</v>
      </c>
      <c r="V65" s="7">
        <f t="shared" si="8"/>
        <v>19.146134463645708</v>
      </c>
      <c r="W65" s="8">
        <f t="shared" si="9"/>
        <v>6.0545393292966718</v>
      </c>
      <c r="X65" s="310"/>
      <c r="Y65" s="311"/>
      <c r="Z65" s="369"/>
      <c r="AA65" s="370"/>
      <c r="AB65" s="17">
        <f t="shared" si="10"/>
        <v>5.477055073510904</v>
      </c>
      <c r="AC65" s="17"/>
      <c r="AD65" s="17"/>
    </row>
    <row r="66" spans="2:32">
      <c r="B66" s="193"/>
      <c r="C66" s="192"/>
      <c r="D66" s="364"/>
      <c r="E66" s="364"/>
      <c r="F66" s="172">
        <v>24</v>
      </c>
      <c r="G66" s="172">
        <v>166.13400000000001</v>
      </c>
      <c r="H66" s="172">
        <v>141.46799999999999</v>
      </c>
      <c r="I66" s="172">
        <v>151.07399999999998</v>
      </c>
      <c r="J66" s="172">
        <v>149.77499999999998</v>
      </c>
      <c r="K66" s="172">
        <v>132.369</v>
      </c>
      <c r="L66" s="172">
        <v>134.46299999999999</v>
      </c>
      <c r="M66" s="172">
        <v>111.83700000000002</v>
      </c>
      <c r="N66" s="172">
        <v>110.34299999999999</v>
      </c>
      <c r="O66" s="172">
        <v>126.58200000000001</v>
      </c>
      <c r="P66" s="172">
        <v>129.279</v>
      </c>
      <c r="R66" s="236"/>
      <c r="S66" s="235"/>
      <c r="T66" s="15">
        <v>24</v>
      </c>
      <c r="U66" s="29">
        <f t="shared" si="7"/>
        <v>135.33240000000001</v>
      </c>
      <c r="V66" s="7">
        <f t="shared" si="8"/>
        <v>17.454784432928196</v>
      </c>
      <c r="W66" s="8">
        <f t="shared" si="9"/>
        <v>5.519687487530363</v>
      </c>
      <c r="X66" s="310"/>
      <c r="Y66" s="311"/>
      <c r="Z66" s="369"/>
      <c r="AA66" s="370"/>
      <c r="AB66" s="17">
        <f t="shared" si="10"/>
        <v>4.0786149418249904</v>
      </c>
      <c r="AC66" s="17"/>
      <c r="AD66" s="17"/>
    </row>
    <row r="67" spans="2:32" ht="16" thickBot="1">
      <c r="B67" s="193"/>
      <c r="C67" s="184"/>
      <c r="D67" s="361"/>
      <c r="E67" s="361"/>
      <c r="F67" s="172">
        <v>48</v>
      </c>
      <c r="G67" s="172">
        <v>162.441</v>
      </c>
      <c r="H67" s="172">
        <v>194.86500000000001</v>
      </c>
      <c r="I67" s="172">
        <v>155.976</v>
      </c>
      <c r="J67" s="172">
        <v>180.48599999999999</v>
      </c>
      <c r="K67" s="172">
        <v>149.727</v>
      </c>
      <c r="L67" s="172">
        <v>167.76</v>
      </c>
      <c r="M67" s="172">
        <v>152.322</v>
      </c>
      <c r="N67" s="172">
        <v>184.203</v>
      </c>
      <c r="O67" s="172">
        <v>188.607</v>
      </c>
      <c r="P67" s="172">
        <v>164.15100000000001</v>
      </c>
      <c r="R67" s="236"/>
      <c r="S67" s="235"/>
      <c r="T67" s="15">
        <v>48</v>
      </c>
      <c r="U67" s="29">
        <f t="shared" si="7"/>
        <v>170.0538</v>
      </c>
      <c r="V67" s="7">
        <f t="shared" si="8"/>
        <v>15.960669735321259</v>
      </c>
      <c r="W67" s="8">
        <f t="shared" si="9"/>
        <v>5.0472069345331976</v>
      </c>
      <c r="X67" s="310"/>
      <c r="Y67" s="311"/>
      <c r="Z67" s="369"/>
      <c r="AA67" s="370"/>
      <c r="AB67" s="17">
        <f t="shared" si="10"/>
        <v>2.968005969012864</v>
      </c>
      <c r="AC67" s="17"/>
      <c r="AD67" s="25"/>
    </row>
    <row r="68" spans="2:32" ht="15" customHeight="1">
      <c r="B68" s="193"/>
      <c r="C68" s="192">
        <v>1</v>
      </c>
      <c r="D68" s="360" t="s">
        <v>203</v>
      </c>
      <c r="E68" s="360"/>
      <c r="F68" s="171" t="s">
        <v>728</v>
      </c>
      <c r="G68" s="171" t="s">
        <v>728</v>
      </c>
      <c r="H68" s="171" t="s">
        <v>728</v>
      </c>
      <c r="I68" s="171" t="s">
        <v>728</v>
      </c>
      <c r="J68" s="171" t="s">
        <v>728</v>
      </c>
      <c r="K68" s="172">
        <v>5.0220000000000002</v>
      </c>
      <c r="L68" s="172">
        <v>12.297000000000001</v>
      </c>
      <c r="M68" s="171" t="s">
        <v>728</v>
      </c>
      <c r="N68" s="171" t="s">
        <v>728</v>
      </c>
      <c r="O68" s="171" t="s">
        <v>728</v>
      </c>
      <c r="P68" s="171" t="s">
        <v>728</v>
      </c>
      <c r="R68" s="234" t="s">
        <v>733</v>
      </c>
      <c r="S68" s="233">
        <v>1</v>
      </c>
      <c r="T68" s="232">
        <v>0</v>
      </c>
      <c r="U68" s="231">
        <f t="shared" si="7"/>
        <v>8.6595000000000013</v>
      </c>
      <c r="V68" s="199">
        <f t="shared" si="8"/>
        <v>5.144201833132132</v>
      </c>
      <c r="W68" s="198">
        <f t="shared" si="9"/>
        <v>3.6374999999999988</v>
      </c>
      <c r="X68" s="371" t="s">
        <v>749</v>
      </c>
      <c r="Y68" s="412"/>
      <c r="Z68" s="375" t="s">
        <v>748</v>
      </c>
      <c r="AA68" s="376"/>
      <c r="AB68" s="198">
        <f t="shared" si="10"/>
        <v>42.005889485536095</v>
      </c>
      <c r="AC68" s="218">
        <f>U68+W68</f>
        <v>12.297000000000001</v>
      </c>
      <c r="AD68" s="9"/>
      <c r="AF68" s="405" t="s">
        <v>747</v>
      </c>
    </row>
    <row r="69" spans="2:32">
      <c r="B69" s="193"/>
      <c r="C69" s="192"/>
      <c r="D69" s="364"/>
      <c r="E69" s="364"/>
      <c r="F69" s="172">
        <v>8</v>
      </c>
      <c r="G69" s="172">
        <v>48.408000000000001</v>
      </c>
      <c r="H69" s="172">
        <v>30.791999999999998</v>
      </c>
      <c r="I69" s="172">
        <v>46.881</v>
      </c>
      <c r="J69" s="172">
        <v>53.171999999999997</v>
      </c>
      <c r="K69" s="172">
        <v>56.519999999999996</v>
      </c>
      <c r="L69" s="172">
        <v>59.007000000000005</v>
      </c>
      <c r="M69" s="172">
        <v>41.133000000000003</v>
      </c>
      <c r="N69" s="172">
        <v>63.579000000000008</v>
      </c>
      <c r="O69" s="172">
        <v>65.436000000000007</v>
      </c>
      <c r="P69" s="172">
        <v>51.269999999999996</v>
      </c>
      <c r="R69" s="230"/>
      <c r="S69" s="229"/>
      <c r="T69" s="228">
        <v>8</v>
      </c>
      <c r="U69" s="227">
        <f t="shared" si="7"/>
        <v>51.619799999999998</v>
      </c>
      <c r="V69" s="195">
        <f t="shared" si="8"/>
        <v>10.49638206240612</v>
      </c>
      <c r="W69" s="194">
        <f t="shared" si="9"/>
        <v>3.3192474508538972</v>
      </c>
      <c r="X69" s="310"/>
      <c r="Y69" s="311"/>
      <c r="Z69" s="377"/>
      <c r="AA69" s="378"/>
      <c r="AB69" s="174">
        <f t="shared" si="10"/>
        <v>6.4301827028657552</v>
      </c>
      <c r="AC69" s="216">
        <f>U68+W69</f>
        <v>11.978747450853898</v>
      </c>
      <c r="AD69" s="18"/>
      <c r="AF69" s="406"/>
    </row>
    <row r="70" spans="2:32">
      <c r="B70" s="193"/>
      <c r="C70" s="192"/>
      <c r="D70" s="364"/>
      <c r="E70" s="364"/>
      <c r="F70" s="172">
        <v>24</v>
      </c>
      <c r="G70" s="172">
        <v>44.588999999999999</v>
      </c>
      <c r="H70" s="172">
        <v>37.253999999999998</v>
      </c>
      <c r="I70" s="172">
        <v>48.168000000000006</v>
      </c>
      <c r="J70" s="172">
        <v>46.214999999999996</v>
      </c>
      <c r="K70" s="172">
        <v>46.713000000000001</v>
      </c>
      <c r="L70" s="172">
        <v>58.010999999999996</v>
      </c>
      <c r="M70" s="172">
        <v>43.421999999999997</v>
      </c>
      <c r="N70" s="172">
        <v>53.954999999999998</v>
      </c>
      <c r="O70" s="172">
        <v>55.610999999999997</v>
      </c>
      <c r="P70" s="172">
        <v>44.921999999999997</v>
      </c>
      <c r="R70" s="230"/>
      <c r="S70" s="229"/>
      <c r="T70" s="228">
        <v>24</v>
      </c>
      <c r="U70" s="227">
        <f t="shared" si="7"/>
        <v>47.885999999999989</v>
      </c>
      <c r="V70" s="195">
        <f t="shared" si="8"/>
        <v>6.2883837351103686</v>
      </c>
      <c r="W70" s="194">
        <f t="shared" si="9"/>
        <v>1.988561540410571</v>
      </c>
      <c r="X70" s="310"/>
      <c r="Y70" s="311"/>
      <c r="Z70" s="377"/>
      <c r="AA70" s="378"/>
      <c r="AB70" s="174">
        <f t="shared" si="10"/>
        <v>4.1526992031294565</v>
      </c>
      <c r="AC70" s="216">
        <f>U68+W70</f>
        <v>10.648061540410572</v>
      </c>
      <c r="AD70" s="18"/>
      <c r="AF70" s="406"/>
    </row>
    <row r="71" spans="2:32" ht="16" thickBot="1">
      <c r="B71" s="193"/>
      <c r="C71" s="184"/>
      <c r="D71" s="361"/>
      <c r="E71" s="361"/>
      <c r="F71" s="172">
        <v>48</v>
      </c>
      <c r="G71" s="172">
        <v>60.483000000000004</v>
      </c>
      <c r="H71" s="172">
        <v>37.896000000000001</v>
      </c>
      <c r="I71" s="172">
        <v>36.414000000000001</v>
      </c>
      <c r="J71" s="172">
        <v>50.166000000000004</v>
      </c>
      <c r="K71" s="172">
        <v>33.561</v>
      </c>
      <c r="L71" s="172"/>
      <c r="M71" s="172">
        <v>34.419000000000004</v>
      </c>
      <c r="N71" s="172">
        <v>46.064999999999998</v>
      </c>
      <c r="O71" s="172">
        <v>37.634999999999998</v>
      </c>
      <c r="P71" s="172">
        <v>48.590999999999994</v>
      </c>
      <c r="R71" s="226"/>
      <c r="S71" s="225"/>
      <c r="T71" s="224">
        <v>48</v>
      </c>
      <c r="U71" s="223">
        <f t="shared" si="7"/>
        <v>42.803333333333335</v>
      </c>
      <c r="V71" s="178">
        <f t="shared" si="8"/>
        <v>9.0709010715584171</v>
      </c>
      <c r="W71" s="177">
        <f t="shared" si="9"/>
        <v>3.0236336905194725</v>
      </c>
      <c r="X71" s="373"/>
      <c r="Y71" s="413"/>
      <c r="Z71" s="379"/>
      <c r="AA71" s="380"/>
      <c r="AB71" s="176">
        <f t="shared" si="10"/>
        <v>7.064014540579719</v>
      </c>
      <c r="AC71" s="210">
        <f>U68+W71</f>
        <v>11.683133690519474</v>
      </c>
      <c r="AD71" s="79"/>
      <c r="AF71" s="407"/>
    </row>
    <row r="72" spans="2:32">
      <c r="B72" s="193"/>
      <c r="C72" s="192">
        <v>13</v>
      </c>
      <c r="D72" s="360" t="s">
        <v>717</v>
      </c>
      <c r="E72" s="360"/>
      <c r="F72" s="172">
        <v>0</v>
      </c>
      <c r="G72" s="172">
        <v>6.1589999999999998</v>
      </c>
      <c r="H72" s="171" t="s">
        <v>728</v>
      </c>
      <c r="I72" s="171" t="s">
        <v>728</v>
      </c>
      <c r="J72" s="171" t="s">
        <v>728</v>
      </c>
      <c r="K72" s="172"/>
      <c r="L72" s="172"/>
      <c r="M72" s="172"/>
      <c r="N72" s="172"/>
      <c r="O72" s="172"/>
      <c r="P72" s="172"/>
      <c r="R72" s="206" t="s">
        <v>733</v>
      </c>
      <c r="S72" s="190">
        <v>13</v>
      </c>
      <c r="T72" s="205">
        <v>0</v>
      </c>
      <c r="U72" s="209">
        <f t="shared" si="7"/>
        <v>6.1589999999999998</v>
      </c>
      <c r="V72" s="38" t="e">
        <f t="shared" si="8"/>
        <v>#DIV/0!</v>
      </c>
      <c r="W72" s="17" t="e">
        <f t="shared" si="9"/>
        <v>#DIV/0!</v>
      </c>
      <c r="X72" s="310" t="s">
        <v>749</v>
      </c>
      <c r="Y72" s="325"/>
      <c r="Z72" s="369" t="s">
        <v>750</v>
      </c>
      <c r="AA72" s="370"/>
      <c r="AB72" s="17"/>
      <c r="AC72" s="17"/>
      <c r="AD72" s="8"/>
    </row>
    <row r="73" spans="2:32">
      <c r="B73" s="193"/>
      <c r="C73" s="192"/>
      <c r="D73" s="364"/>
      <c r="E73" s="364"/>
      <c r="F73" s="172">
        <v>8</v>
      </c>
      <c r="G73" s="172">
        <v>27.37</v>
      </c>
      <c r="H73" s="172">
        <v>126.17000000000002</v>
      </c>
      <c r="I73" s="172">
        <v>19.023</v>
      </c>
      <c r="J73" s="172">
        <v>16.53</v>
      </c>
      <c r="K73" s="172"/>
      <c r="L73" s="172"/>
      <c r="M73" s="172"/>
      <c r="N73" s="172"/>
      <c r="O73" s="172"/>
      <c r="P73" s="172"/>
      <c r="R73" s="206"/>
      <c r="S73" s="190"/>
      <c r="T73" s="205">
        <v>8</v>
      </c>
      <c r="U73" s="204">
        <f t="shared" si="7"/>
        <v>47.273250000000004</v>
      </c>
      <c r="V73" s="7">
        <f t="shared" si="8"/>
        <v>52.801706306867274</v>
      </c>
      <c r="W73" s="8">
        <f t="shared" si="9"/>
        <v>26.400853153433637</v>
      </c>
      <c r="X73" s="310"/>
      <c r="Y73" s="325"/>
      <c r="Z73" s="369"/>
      <c r="AA73" s="370"/>
      <c r="AB73" s="17">
        <f>W73/U73*100</f>
        <v>55.847341051088371</v>
      </c>
      <c r="AC73" s="17"/>
      <c r="AD73" s="17"/>
    </row>
    <row r="74" spans="2:32">
      <c r="B74" s="193"/>
      <c r="C74" s="192"/>
      <c r="D74" s="364"/>
      <c r="E74" s="364"/>
      <c r="F74" s="172">
        <v>24</v>
      </c>
      <c r="G74" s="172">
        <v>85.77</v>
      </c>
      <c r="H74" s="172">
        <v>209.22</v>
      </c>
      <c r="I74" s="172">
        <v>58.32</v>
      </c>
      <c r="J74" s="172">
        <v>66</v>
      </c>
      <c r="K74" s="172"/>
      <c r="L74" s="172"/>
      <c r="M74" s="172"/>
      <c r="N74" s="172"/>
      <c r="O74" s="172"/>
      <c r="P74" s="172"/>
      <c r="R74" s="206"/>
      <c r="S74" s="190"/>
      <c r="T74" s="205">
        <v>24</v>
      </c>
      <c r="U74" s="204">
        <f t="shared" si="7"/>
        <v>104.8275</v>
      </c>
      <c r="V74" s="7">
        <f t="shared" si="8"/>
        <v>70.549048363532151</v>
      </c>
      <c r="W74" s="8">
        <f t="shared" si="9"/>
        <v>35.274524181766076</v>
      </c>
      <c r="X74" s="310"/>
      <c r="Y74" s="325"/>
      <c r="Z74" s="369"/>
      <c r="AA74" s="370"/>
      <c r="AB74" s="17">
        <f>W74/U74*100</f>
        <v>33.650067188253153</v>
      </c>
      <c r="AC74" s="17"/>
      <c r="AD74" s="17"/>
    </row>
    <row r="75" spans="2:32">
      <c r="B75" s="193"/>
      <c r="C75" s="192"/>
      <c r="D75" s="364"/>
      <c r="E75" s="364"/>
      <c r="F75" s="172">
        <v>48</v>
      </c>
      <c r="G75" s="172">
        <v>144.74</v>
      </c>
      <c r="H75" s="172">
        <v>249.32999999999998</v>
      </c>
      <c r="I75" s="172">
        <v>107.24000000000001</v>
      </c>
      <c r="J75" s="172">
        <v>69.850000000000009</v>
      </c>
      <c r="K75" s="172"/>
      <c r="L75" s="172"/>
      <c r="M75" s="172"/>
      <c r="N75" s="172"/>
      <c r="O75" s="172"/>
      <c r="P75" s="172"/>
      <c r="R75" s="206"/>
      <c r="S75" s="190"/>
      <c r="T75" s="205">
        <v>48</v>
      </c>
      <c r="U75" s="208">
        <f t="shared" si="7"/>
        <v>142.79</v>
      </c>
      <c r="V75" s="207">
        <f t="shared" si="8"/>
        <v>77.327485842141982</v>
      </c>
      <c r="W75" s="107">
        <f t="shared" si="9"/>
        <v>38.663742921070991</v>
      </c>
      <c r="X75" s="310"/>
      <c r="Y75" s="325"/>
      <c r="Z75" s="369"/>
      <c r="AA75" s="370"/>
      <c r="AB75" s="17">
        <f>W75/U75*100</f>
        <v>27.077346397556546</v>
      </c>
      <c r="AC75" s="17"/>
      <c r="AD75" s="17"/>
    </row>
    <row r="76" spans="2:32">
      <c r="B76" s="193"/>
      <c r="C76" s="184"/>
      <c r="D76" s="364"/>
      <c r="E76" s="364"/>
      <c r="F76" s="172">
        <v>72</v>
      </c>
      <c r="G76" s="172">
        <v>168.69</v>
      </c>
      <c r="H76" s="172">
        <v>287.95999999999998</v>
      </c>
      <c r="I76" s="172">
        <v>104.49</v>
      </c>
      <c r="J76" s="172">
        <v>106.41999999999999</v>
      </c>
      <c r="K76" s="172"/>
      <c r="L76" s="172"/>
      <c r="M76" s="172"/>
      <c r="N76" s="172"/>
      <c r="O76" s="172"/>
      <c r="P76" s="172"/>
      <c r="R76" s="242"/>
      <c r="S76" s="241"/>
      <c r="T76" s="240">
        <v>72</v>
      </c>
      <c r="U76" s="208">
        <f t="shared" si="7"/>
        <v>166.89</v>
      </c>
      <c r="V76" s="207">
        <f t="shared" si="8"/>
        <v>86.04565803494485</v>
      </c>
      <c r="W76" s="107">
        <f t="shared" si="9"/>
        <v>43.022829017472425</v>
      </c>
      <c r="X76" s="316"/>
      <c r="Y76" s="328"/>
      <c r="Z76" s="387"/>
      <c r="AA76" s="388"/>
      <c r="AB76" s="25">
        <f>W76/U76*100</f>
        <v>25.779153345001156</v>
      </c>
      <c r="AC76" s="25"/>
      <c r="AD76" s="25"/>
    </row>
    <row r="77" spans="2:32" ht="15" customHeight="1">
      <c r="B77" s="193"/>
      <c r="C77" s="192">
        <v>13</v>
      </c>
      <c r="D77" s="364" t="s">
        <v>203</v>
      </c>
      <c r="E77" s="364"/>
      <c r="F77" s="172">
        <v>0</v>
      </c>
      <c r="G77" s="171" t="s">
        <v>728</v>
      </c>
      <c r="H77" s="171" t="s">
        <v>728</v>
      </c>
      <c r="I77" s="171" t="s">
        <v>728</v>
      </c>
      <c r="J77" s="171" t="s">
        <v>728</v>
      </c>
      <c r="K77" s="172"/>
      <c r="L77" s="172"/>
      <c r="M77" s="172"/>
      <c r="N77" s="172"/>
      <c r="O77" s="172"/>
      <c r="P77" s="172"/>
      <c r="R77" s="245" t="s">
        <v>733</v>
      </c>
      <c r="S77" s="244">
        <v>13</v>
      </c>
      <c r="T77" s="243">
        <v>0</v>
      </c>
      <c r="U77" s="204" t="e">
        <f t="shared" si="7"/>
        <v>#DIV/0!</v>
      </c>
      <c r="V77" s="7" t="e">
        <f t="shared" si="8"/>
        <v>#DIV/0!</v>
      </c>
      <c r="W77" s="8" t="e">
        <f t="shared" si="9"/>
        <v>#DIV/0!</v>
      </c>
      <c r="X77" s="308" t="s">
        <v>749</v>
      </c>
      <c r="Y77" s="324"/>
      <c r="Z77" s="389" t="s">
        <v>748</v>
      </c>
      <c r="AA77" s="390"/>
      <c r="AB77" s="8"/>
      <c r="AC77" s="8"/>
      <c r="AD77" s="8"/>
      <c r="AF77" s="239"/>
    </row>
    <row r="78" spans="2:32" ht="15" customHeight="1">
      <c r="B78" s="193"/>
      <c r="C78" s="192"/>
      <c r="D78" s="364"/>
      <c r="E78" s="364"/>
      <c r="F78" s="172">
        <v>8</v>
      </c>
      <c r="G78" s="172">
        <v>4.5720000000000001</v>
      </c>
      <c r="H78" s="172">
        <v>11.476000000000001</v>
      </c>
      <c r="I78" s="172">
        <v>3.78</v>
      </c>
      <c r="J78" s="172">
        <v>4.8079999999999998</v>
      </c>
      <c r="K78" s="172"/>
      <c r="L78" s="172"/>
      <c r="M78" s="172"/>
      <c r="N78" s="172"/>
      <c r="O78" s="172"/>
      <c r="P78" s="172"/>
      <c r="R78" s="206"/>
      <c r="S78" s="190"/>
      <c r="T78" s="205">
        <v>8</v>
      </c>
      <c r="U78" s="204">
        <f t="shared" si="7"/>
        <v>6.1590000000000007</v>
      </c>
      <c r="V78" s="7">
        <f t="shared" si="8"/>
        <v>3.5718295965326603</v>
      </c>
      <c r="W78" s="8">
        <f t="shared" si="9"/>
        <v>1.7859147982663302</v>
      </c>
      <c r="X78" s="310"/>
      <c r="Y78" s="325"/>
      <c r="Z78" s="377"/>
      <c r="AA78" s="378"/>
      <c r="AB78" s="17">
        <f t="shared" ref="AB78:AB99" si="11">W78/U78*100</f>
        <v>28.996830626178436</v>
      </c>
      <c r="AC78" s="8"/>
      <c r="AD78" s="17"/>
      <c r="AF78" s="239"/>
    </row>
    <row r="79" spans="2:32" ht="15" customHeight="1">
      <c r="B79" s="193"/>
      <c r="C79" s="192"/>
      <c r="D79" s="364"/>
      <c r="E79" s="364"/>
      <c r="F79" s="172">
        <v>24</v>
      </c>
      <c r="G79" s="172">
        <v>7.8520000000000003</v>
      </c>
      <c r="H79" s="172">
        <v>20.591999999999999</v>
      </c>
      <c r="I79" s="172">
        <v>5.31</v>
      </c>
      <c r="J79" s="172">
        <v>7.42</v>
      </c>
      <c r="K79" s="172"/>
      <c r="L79" s="172"/>
      <c r="M79" s="172"/>
      <c r="N79" s="172"/>
      <c r="O79" s="172"/>
      <c r="P79" s="172"/>
      <c r="R79" s="206"/>
      <c r="S79" s="190"/>
      <c r="T79" s="205">
        <v>24</v>
      </c>
      <c r="U79" s="204">
        <f t="shared" si="7"/>
        <v>10.2935</v>
      </c>
      <c r="V79" s="7">
        <f t="shared" si="8"/>
        <v>6.9549095129507856</v>
      </c>
      <c r="W79" s="8">
        <f t="shared" si="9"/>
        <v>3.4774547564753928</v>
      </c>
      <c r="X79" s="310"/>
      <c r="Y79" s="325"/>
      <c r="Z79" s="377"/>
      <c r="AA79" s="378"/>
      <c r="AB79" s="17">
        <f t="shared" si="11"/>
        <v>33.783016043866446</v>
      </c>
      <c r="AC79" s="8"/>
      <c r="AD79" s="17"/>
      <c r="AF79" s="239"/>
    </row>
    <row r="80" spans="2:32" ht="15" customHeight="1">
      <c r="B80" s="193"/>
      <c r="C80" s="192"/>
      <c r="D80" s="364"/>
      <c r="E80" s="364"/>
      <c r="F80" s="172">
        <v>48</v>
      </c>
      <c r="G80" s="172">
        <v>10.176</v>
      </c>
      <c r="H80" s="172">
        <v>39.808</v>
      </c>
      <c r="I80" s="172">
        <v>10.474</v>
      </c>
      <c r="J80" s="172">
        <v>12.135999999999999</v>
      </c>
      <c r="K80" s="172"/>
      <c r="L80" s="172"/>
      <c r="M80" s="172"/>
      <c r="N80" s="172"/>
      <c r="O80" s="172"/>
      <c r="P80" s="172"/>
      <c r="R80" s="206"/>
      <c r="S80" s="190"/>
      <c r="T80" s="205">
        <v>48</v>
      </c>
      <c r="U80" s="208">
        <f t="shared" si="7"/>
        <v>18.148499999999999</v>
      </c>
      <c r="V80" s="207">
        <f t="shared" si="8"/>
        <v>14.465393219681244</v>
      </c>
      <c r="W80" s="107">
        <f t="shared" si="9"/>
        <v>7.2326966098406222</v>
      </c>
      <c r="X80" s="310"/>
      <c r="Y80" s="325"/>
      <c r="Z80" s="377"/>
      <c r="AA80" s="378"/>
      <c r="AB80" s="17">
        <f t="shared" si="11"/>
        <v>39.85286172323125</v>
      </c>
      <c r="AC80" s="107"/>
      <c r="AD80" s="17"/>
      <c r="AF80" s="239"/>
    </row>
    <row r="81" spans="2:32" ht="16" customHeight="1">
      <c r="B81" s="185"/>
      <c r="C81" s="184"/>
      <c r="D81" s="364"/>
      <c r="E81" s="364"/>
      <c r="F81" s="172">
        <v>72</v>
      </c>
      <c r="G81" s="171" t="s">
        <v>728</v>
      </c>
      <c r="H81" s="172">
        <v>35.355000000000004</v>
      </c>
      <c r="I81" s="172">
        <v>9.48</v>
      </c>
      <c r="J81" s="172">
        <v>13.818</v>
      </c>
      <c r="K81" s="172"/>
      <c r="L81" s="172"/>
      <c r="M81" s="172"/>
      <c r="N81" s="172"/>
      <c r="O81" s="172"/>
      <c r="P81" s="172"/>
      <c r="R81" s="242"/>
      <c r="S81" s="241"/>
      <c r="T81" s="240">
        <v>72</v>
      </c>
      <c r="U81" s="208">
        <f t="shared" si="7"/>
        <v>19.551000000000002</v>
      </c>
      <c r="V81" s="207">
        <f t="shared" si="8"/>
        <v>13.857466326857882</v>
      </c>
      <c r="W81" s="107">
        <f t="shared" si="9"/>
        <v>8.0006119140975738</v>
      </c>
      <c r="X81" s="316"/>
      <c r="Y81" s="328"/>
      <c r="Z81" s="377"/>
      <c r="AA81" s="378"/>
      <c r="AB81" s="25">
        <f t="shared" si="11"/>
        <v>40.921752923623202</v>
      </c>
      <c r="AC81" s="107"/>
      <c r="AD81" s="25"/>
      <c r="AF81" s="239"/>
    </row>
    <row r="82" spans="2:32">
      <c r="B82" s="238" t="s">
        <v>735</v>
      </c>
      <c r="C82" s="192">
        <v>1</v>
      </c>
      <c r="D82" s="360" t="s">
        <v>718</v>
      </c>
      <c r="E82" s="360"/>
      <c r="F82" s="172">
        <v>0</v>
      </c>
      <c r="G82" s="172">
        <v>64.787999999999997</v>
      </c>
      <c r="H82" s="172">
        <v>49.418999999999997</v>
      </c>
      <c r="I82" s="172">
        <v>118.29600000000001</v>
      </c>
      <c r="J82" s="172">
        <v>126.65400000000001</v>
      </c>
      <c r="K82" s="172">
        <v>44.535000000000004</v>
      </c>
      <c r="L82" s="172">
        <v>42.381</v>
      </c>
      <c r="M82" s="172"/>
      <c r="N82" s="172"/>
      <c r="O82" s="172"/>
      <c r="P82" s="172"/>
      <c r="R82" s="236" t="s">
        <v>735</v>
      </c>
      <c r="S82" s="237">
        <v>1</v>
      </c>
      <c r="T82" s="6">
        <v>0</v>
      </c>
      <c r="U82" s="29">
        <f t="shared" si="7"/>
        <v>74.345500000000001</v>
      </c>
      <c r="V82" s="7">
        <f t="shared" si="8"/>
        <v>38.186115281604671</v>
      </c>
      <c r="W82" s="8">
        <f t="shared" si="9"/>
        <v>15.589416283171104</v>
      </c>
      <c r="X82" s="397" t="s">
        <v>751</v>
      </c>
      <c r="Y82" s="398"/>
      <c r="Z82" s="399" t="s">
        <v>750</v>
      </c>
      <c r="AA82" s="400"/>
      <c r="AB82" s="8">
        <f t="shared" si="11"/>
        <v>20.968876775556158</v>
      </c>
      <c r="AC82" s="8"/>
      <c r="AD82" s="8"/>
    </row>
    <row r="83" spans="2:32">
      <c r="B83" s="193"/>
      <c r="C83" s="192"/>
      <c r="D83" s="364"/>
      <c r="E83" s="364"/>
      <c r="F83" s="172">
        <v>8</v>
      </c>
      <c r="G83" s="172">
        <v>1068.54</v>
      </c>
      <c r="H83" s="172">
        <v>1195.0500000000002</v>
      </c>
      <c r="I83" s="172">
        <v>1111.3499999999999</v>
      </c>
      <c r="J83" s="172">
        <v>1095.9780000000001</v>
      </c>
      <c r="K83" s="172">
        <v>1170.0120000000002</v>
      </c>
      <c r="L83" s="172">
        <v>1262.028</v>
      </c>
      <c r="M83" s="172"/>
      <c r="N83" s="172"/>
      <c r="O83" s="172"/>
      <c r="P83" s="172"/>
      <c r="R83" s="236"/>
      <c r="S83" s="235"/>
      <c r="T83" s="15">
        <v>8</v>
      </c>
      <c r="U83" s="29">
        <f t="shared" si="7"/>
        <v>1150.4930000000002</v>
      </c>
      <c r="V83" s="7">
        <f t="shared" si="8"/>
        <v>72.148080664699634</v>
      </c>
      <c r="W83" s="8">
        <f t="shared" si="9"/>
        <v>29.454330591612518</v>
      </c>
      <c r="X83" s="381"/>
      <c r="Y83" s="382"/>
      <c r="Z83" s="369"/>
      <c r="AA83" s="370"/>
      <c r="AB83" s="17">
        <f t="shared" si="11"/>
        <v>2.5601486138214238</v>
      </c>
      <c r="AC83" s="17"/>
      <c r="AD83" s="17"/>
    </row>
    <row r="84" spans="2:32">
      <c r="B84" s="193"/>
      <c r="C84" s="192"/>
      <c r="D84" s="364"/>
      <c r="E84" s="364"/>
      <c r="F84" s="172">
        <v>24</v>
      </c>
      <c r="G84" s="172">
        <v>1946.1799999999998</v>
      </c>
      <c r="H84" s="172">
        <v>1780.44</v>
      </c>
      <c r="I84" s="172">
        <v>2157.54</v>
      </c>
      <c r="J84" s="172">
        <v>2152.12</v>
      </c>
      <c r="K84" s="172">
        <v>2528.48</v>
      </c>
      <c r="L84" s="172">
        <v>2472.54</v>
      </c>
      <c r="M84" s="172"/>
      <c r="N84" s="172"/>
      <c r="O84" s="172"/>
      <c r="P84" s="172"/>
      <c r="R84" s="236"/>
      <c r="S84" s="235"/>
      <c r="T84" s="15">
        <v>24</v>
      </c>
      <c r="U84" s="29">
        <f t="shared" si="7"/>
        <v>2172.8833333333332</v>
      </c>
      <c r="V84" s="7">
        <f t="shared" si="8"/>
        <v>290.6254676842118</v>
      </c>
      <c r="W84" s="8">
        <f t="shared" si="9"/>
        <v>118.64735034734014</v>
      </c>
      <c r="X84" s="381"/>
      <c r="Y84" s="382"/>
      <c r="Z84" s="369"/>
      <c r="AA84" s="370"/>
      <c r="AB84" s="17">
        <f t="shared" si="11"/>
        <v>5.4603645086332353</v>
      </c>
      <c r="AC84" s="17"/>
      <c r="AD84" s="17"/>
    </row>
    <row r="85" spans="2:32" ht="16" thickBot="1">
      <c r="B85" s="193"/>
      <c r="C85" s="184"/>
      <c r="D85" s="361"/>
      <c r="E85" s="361"/>
      <c r="F85" s="172">
        <v>48</v>
      </c>
      <c r="G85" s="172">
        <v>2815.24</v>
      </c>
      <c r="H85" s="172">
        <v>2605.56</v>
      </c>
      <c r="I85" s="172">
        <v>2859.66</v>
      </c>
      <c r="J85" s="172">
        <v>2663.3199999999997</v>
      </c>
      <c r="K85" s="172">
        <v>2807.58</v>
      </c>
      <c r="L85" s="172">
        <v>3204.1000000000004</v>
      </c>
      <c r="M85" s="172"/>
      <c r="N85" s="172"/>
      <c r="O85" s="172"/>
      <c r="P85" s="172"/>
      <c r="R85" s="236"/>
      <c r="S85" s="235"/>
      <c r="T85" s="15">
        <v>48</v>
      </c>
      <c r="U85" s="29">
        <f t="shared" si="7"/>
        <v>2825.91</v>
      </c>
      <c r="V85" s="7">
        <f t="shared" si="8"/>
        <v>209.5739521028319</v>
      </c>
      <c r="W85" s="8">
        <f t="shared" si="9"/>
        <v>85.558207671736639</v>
      </c>
      <c r="X85" s="381"/>
      <c r="Y85" s="382"/>
      <c r="Z85" s="369"/>
      <c r="AA85" s="370"/>
      <c r="AB85" s="17">
        <f t="shared" si="11"/>
        <v>3.0276338479193128</v>
      </c>
      <c r="AC85" s="17"/>
      <c r="AD85" s="25"/>
    </row>
    <row r="86" spans="2:32" ht="15" customHeight="1">
      <c r="B86" s="193"/>
      <c r="C86" s="192">
        <v>1</v>
      </c>
      <c r="D86" s="360" t="s">
        <v>226</v>
      </c>
      <c r="E86" s="360"/>
      <c r="F86" s="172">
        <v>0</v>
      </c>
      <c r="G86" s="172">
        <v>27.525000000000002</v>
      </c>
      <c r="H86" s="172">
        <v>18.134999999999998</v>
      </c>
      <c r="I86" s="172">
        <v>60.981000000000009</v>
      </c>
      <c r="J86" s="172">
        <v>63.417000000000002</v>
      </c>
      <c r="K86" s="172">
        <v>52.823999999999998</v>
      </c>
      <c r="L86" s="172">
        <v>44.792999999999999</v>
      </c>
      <c r="M86" s="172"/>
      <c r="N86" s="172"/>
      <c r="O86" s="172"/>
      <c r="P86" s="172"/>
      <c r="R86" s="234" t="s">
        <v>735</v>
      </c>
      <c r="S86" s="233">
        <v>1</v>
      </c>
      <c r="T86" s="232">
        <v>0</v>
      </c>
      <c r="U86" s="231">
        <f t="shared" si="7"/>
        <v>44.612500000000004</v>
      </c>
      <c r="V86" s="199">
        <f t="shared" si="8"/>
        <v>18.341422995503919</v>
      </c>
      <c r="W86" s="198">
        <f t="shared" si="9"/>
        <v>7.487854582589061</v>
      </c>
      <c r="X86" s="383" t="s">
        <v>751</v>
      </c>
      <c r="Y86" s="384"/>
      <c r="Z86" s="375" t="s">
        <v>748</v>
      </c>
      <c r="AA86" s="376"/>
      <c r="AB86" s="198">
        <f t="shared" si="11"/>
        <v>16.784207526117253</v>
      </c>
      <c r="AC86" s="218">
        <f>U86+W86</f>
        <v>52.100354582589063</v>
      </c>
      <c r="AD86" s="9"/>
      <c r="AF86" s="405" t="s">
        <v>747</v>
      </c>
    </row>
    <row r="87" spans="2:32">
      <c r="B87" s="193"/>
      <c r="C87" s="192"/>
      <c r="D87" s="364"/>
      <c r="E87" s="364"/>
      <c r="F87" s="172">
        <v>8</v>
      </c>
      <c r="G87" s="172">
        <v>617.74199999999996</v>
      </c>
      <c r="H87" s="172">
        <v>733.29599999999994</v>
      </c>
      <c r="I87" s="172">
        <v>653.66399999999999</v>
      </c>
      <c r="J87" s="172">
        <v>609.13799999999992</v>
      </c>
      <c r="K87" s="172">
        <v>756.52800000000002</v>
      </c>
      <c r="L87" s="172">
        <v>610.404</v>
      </c>
      <c r="M87" s="172"/>
      <c r="N87" s="172"/>
      <c r="O87" s="172"/>
      <c r="P87" s="172"/>
      <c r="R87" s="230"/>
      <c r="S87" s="229"/>
      <c r="T87" s="228">
        <v>8</v>
      </c>
      <c r="U87" s="227">
        <f t="shared" si="7"/>
        <v>663.4620000000001</v>
      </c>
      <c r="V87" s="195">
        <f t="shared" si="8"/>
        <v>65.56010289192659</v>
      </c>
      <c r="W87" s="194">
        <f t="shared" si="9"/>
        <v>26.764799928263994</v>
      </c>
      <c r="X87" s="381"/>
      <c r="Y87" s="382"/>
      <c r="Z87" s="377"/>
      <c r="AA87" s="378"/>
      <c r="AB87" s="174">
        <f t="shared" si="11"/>
        <v>4.0341119654575524</v>
      </c>
      <c r="AC87" s="216">
        <f>U86+W87</f>
        <v>71.377299928263994</v>
      </c>
      <c r="AD87" s="18"/>
      <c r="AF87" s="406"/>
    </row>
    <row r="88" spans="2:32">
      <c r="B88" s="193"/>
      <c r="C88" s="192"/>
      <c r="D88" s="364"/>
      <c r="E88" s="364"/>
      <c r="F88" s="172">
        <v>24</v>
      </c>
      <c r="G88" s="172">
        <v>1060.5</v>
      </c>
      <c r="H88" s="172">
        <v>1368.02</v>
      </c>
      <c r="I88" s="172">
        <v>1578.3400000000001</v>
      </c>
      <c r="J88" s="172">
        <v>1250.98</v>
      </c>
      <c r="K88" s="172">
        <v>1168.7</v>
      </c>
      <c r="L88" s="172">
        <v>1321.12</v>
      </c>
      <c r="M88" s="172"/>
      <c r="N88" s="172"/>
      <c r="O88" s="172"/>
      <c r="P88" s="172"/>
      <c r="R88" s="230"/>
      <c r="S88" s="229"/>
      <c r="T88" s="228">
        <v>24</v>
      </c>
      <c r="U88" s="227">
        <f t="shared" si="7"/>
        <v>1291.2766666666666</v>
      </c>
      <c r="V88" s="195">
        <f t="shared" si="8"/>
        <v>178.37726959079458</v>
      </c>
      <c r="W88" s="194">
        <f t="shared" si="9"/>
        <v>72.82221536805352</v>
      </c>
      <c r="X88" s="381"/>
      <c r="Y88" s="382"/>
      <c r="Z88" s="377"/>
      <c r="AA88" s="378"/>
      <c r="AB88" s="174">
        <f t="shared" si="11"/>
        <v>5.6395517124954004</v>
      </c>
      <c r="AC88" s="216">
        <f>U86+W88</f>
        <v>117.43471536805353</v>
      </c>
      <c r="AD88" s="18"/>
      <c r="AF88" s="406"/>
    </row>
    <row r="89" spans="2:32" ht="16" thickBot="1">
      <c r="B89" s="193"/>
      <c r="C89" s="184"/>
      <c r="D89" s="361"/>
      <c r="E89" s="361"/>
      <c r="F89" s="172">
        <v>48</v>
      </c>
      <c r="G89" s="172">
        <v>1598.88</v>
      </c>
      <c r="H89" s="172">
        <v>1517.2800000000002</v>
      </c>
      <c r="I89" s="172">
        <v>1518.44</v>
      </c>
      <c r="J89" s="172">
        <v>1522.5</v>
      </c>
      <c r="K89" s="172">
        <v>1736.5740000000001</v>
      </c>
      <c r="L89" s="172">
        <v>1474.1599999999999</v>
      </c>
      <c r="M89" s="172"/>
      <c r="N89" s="172"/>
      <c r="O89" s="172"/>
      <c r="P89" s="172"/>
      <c r="R89" s="226"/>
      <c r="S89" s="225"/>
      <c r="T89" s="224">
        <v>48</v>
      </c>
      <c r="U89" s="223">
        <f t="shared" si="7"/>
        <v>1561.3056666666669</v>
      </c>
      <c r="V89" s="178">
        <f t="shared" si="8"/>
        <v>94.875487754565313</v>
      </c>
      <c r="W89" s="177">
        <f t="shared" si="9"/>
        <v>38.732755682726463</v>
      </c>
      <c r="X89" s="385"/>
      <c r="Y89" s="386"/>
      <c r="Z89" s="379"/>
      <c r="AA89" s="380"/>
      <c r="AB89" s="176">
        <f t="shared" si="11"/>
        <v>2.4807926154152469</v>
      </c>
      <c r="AC89" s="210">
        <f>U86+W89</f>
        <v>83.345255682726474</v>
      </c>
      <c r="AD89" s="79"/>
      <c r="AF89" s="407"/>
    </row>
    <row r="90" spans="2:32">
      <c r="B90" s="193"/>
      <c r="C90" s="192">
        <v>13</v>
      </c>
      <c r="D90" s="360" t="s">
        <v>718</v>
      </c>
      <c r="E90" s="360"/>
      <c r="F90" s="172">
        <v>0</v>
      </c>
      <c r="G90" s="172">
        <v>54.849000000000004</v>
      </c>
      <c r="H90" s="172">
        <v>70.215000000000003</v>
      </c>
      <c r="I90" s="172">
        <v>57.447000000000003</v>
      </c>
      <c r="J90" s="172">
        <v>88.923000000000002</v>
      </c>
      <c r="K90" s="172"/>
      <c r="L90" s="172"/>
      <c r="M90" s="172"/>
      <c r="N90" s="172"/>
      <c r="O90" s="172"/>
      <c r="P90" s="172"/>
      <c r="R90" s="206" t="s">
        <v>735</v>
      </c>
      <c r="S90" s="190">
        <v>13</v>
      </c>
      <c r="T90" s="205">
        <v>0</v>
      </c>
      <c r="U90" s="209">
        <f t="shared" si="7"/>
        <v>67.858500000000006</v>
      </c>
      <c r="V90" s="38">
        <f t="shared" si="8"/>
        <v>15.566124276774827</v>
      </c>
      <c r="W90" s="17">
        <f t="shared" si="9"/>
        <v>7.7830621383874137</v>
      </c>
      <c r="X90" s="381" t="s">
        <v>751</v>
      </c>
      <c r="Y90" s="382"/>
      <c r="Z90" s="369" t="s">
        <v>750</v>
      </c>
      <c r="AA90" s="370"/>
      <c r="AB90" s="17">
        <f t="shared" si="11"/>
        <v>11.469546391958875</v>
      </c>
      <c r="AC90" s="17"/>
      <c r="AD90" s="8"/>
    </row>
    <row r="91" spans="2:32">
      <c r="B91" s="193"/>
      <c r="C91" s="192"/>
      <c r="D91" s="364"/>
      <c r="E91" s="364"/>
      <c r="F91" s="172">
        <v>8</v>
      </c>
      <c r="G91" s="172">
        <v>789.30000000000007</v>
      </c>
      <c r="H91" s="172">
        <v>722.33999999999992</v>
      </c>
      <c r="I91" s="172">
        <v>675.15</v>
      </c>
      <c r="J91" s="172">
        <v>717.65</v>
      </c>
      <c r="K91" s="172"/>
      <c r="L91" s="172"/>
      <c r="M91" s="172"/>
      <c r="N91" s="172"/>
      <c r="O91" s="172"/>
      <c r="P91" s="172"/>
      <c r="R91" s="206"/>
      <c r="S91" s="190"/>
      <c r="T91" s="205">
        <v>8</v>
      </c>
      <c r="U91" s="204">
        <f t="shared" si="7"/>
        <v>726.11</v>
      </c>
      <c r="V91" s="7">
        <f t="shared" si="8"/>
        <v>47.172316033877365</v>
      </c>
      <c r="W91" s="8">
        <f t="shared" si="9"/>
        <v>23.586158016938683</v>
      </c>
      <c r="X91" s="381"/>
      <c r="Y91" s="382"/>
      <c r="Z91" s="369"/>
      <c r="AA91" s="370"/>
      <c r="AB91" s="17">
        <f t="shared" si="11"/>
        <v>3.2482899308560249</v>
      </c>
      <c r="AC91" s="17"/>
      <c r="AD91" s="17"/>
    </row>
    <row r="92" spans="2:32">
      <c r="B92" s="193"/>
      <c r="C92" s="192"/>
      <c r="D92" s="364"/>
      <c r="E92" s="364"/>
      <c r="F92" s="172">
        <v>24</v>
      </c>
      <c r="G92" s="172">
        <v>1901.08</v>
      </c>
      <c r="H92" s="172">
        <v>1749.3000000000002</v>
      </c>
      <c r="I92" s="172">
        <v>1790.5150000000001</v>
      </c>
      <c r="J92" s="172">
        <v>2248.02</v>
      </c>
      <c r="K92" s="172"/>
      <c r="L92" s="172"/>
      <c r="M92" s="172"/>
      <c r="N92" s="172"/>
      <c r="O92" s="172"/>
      <c r="P92" s="172"/>
      <c r="R92" s="206"/>
      <c r="S92" s="190"/>
      <c r="T92" s="205">
        <v>24</v>
      </c>
      <c r="U92" s="204">
        <f t="shared" si="7"/>
        <v>1922.2287500000002</v>
      </c>
      <c r="V92" s="7">
        <f t="shared" si="8"/>
        <v>226.45093119610331</v>
      </c>
      <c r="W92" s="8">
        <f t="shared" si="9"/>
        <v>113.22546559805166</v>
      </c>
      <c r="X92" s="381"/>
      <c r="Y92" s="382"/>
      <c r="Z92" s="369"/>
      <c r="AA92" s="370"/>
      <c r="AB92" s="17">
        <f t="shared" si="11"/>
        <v>5.8903221376775079</v>
      </c>
      <c r="AC92" s="17"/>
      <c r="AD92" s="17"/>
    </row>
    <row r="93" spans="2:32">
      <c r="B93" s="193"/>
      <c r="C93" s="192"/>
      <c r="D93" s="364"/>
      <c r="E93" s="364"/>
      <c r="F93" s="172">
        <v>48</v>
      </c>
      <c r="G93" s="172">
        <v>2343.38</v>
      </c>
      <c r="H93" s="172">
        <v>2376.14</v>
      </c>
      <c r="I93" s="172">
        <v>2552.06</v>
      </c>
      <c r="J93" s="172">
        <v>2507.54</v>
      </c>
      <c r="K93" s="172"/>
      <c r="L93" s="172"/>
      <c r="M93" s="172"/>
      <c r="N93" s="172"/>
      <c r="O93" s="172"/>
      <c r="P93" s="172"/>
      <c r="R93" s="206"/>
      <c r="S93" s="190"/>
      <c r="T93" s="205">
        <v>48</v>
      </c>
      <c r="U93" s="208">
        <f t="shared" si="7"/>
        <v>2444.7799999999997</v>
      </c>
      <c r="V93" s="207">
        <f t="shared" si="8"/>
        <v>100.73269181353189</v>
      </c>
      <c r="W93" s="107">
        <f t="shared" si="9"/>
        <v>50.366345906765943</v>
      </c>
      <c r="X93" s="381"/>
      <c r="Y93" s="382"/>
      <c r="Z93" s="369"/>
      <c r="AA93" s="370"/>
      <c r="AB93" s="17">
        <f t="shared" si="11"/>
        <v>2.0601586198662436</v>
      </c>
      <c r="AC93" s="17"/>
      <c r="AD93" s="17"/>
    </row>
    <row r="94" spans="2:32" ht="16" thickBot="1">
      <c r="B94" s="193"/>
      <c r="C94" s="184"/>
      <c r="D94" s="364"/>
      <c r="E94" s="364"/>
      <c r="F94" s="172">
        <v>72</v>
      </c>
      <c r="G94" s="172">
        <v>2888.48</v>
      </c>
      <c r="H94" s="172">
        <v>2797.1</v>
      </c>
      <c r="I94" s="172">
        <v>3322.24</v>
      </c>
      <c r="J94" s="172">
        <v>3879.46</v>
      </c>
      <c r="K94" s="172"/>
      <c r="L94" s="172"/>
      <c r="M94" s="172"/>
      <c r="N94" s="172"/>
      <c r="O94" s="172"/>
      <c r="P94" s="172"/>
      <c r="R94" s="206"/>
      <c r="S94" s="190"/>
      <c r="T94" s="205">
        <v>72</v>
      </c>
      <c r="U94" s="204">
        <f t="shared" si="7"/>
        <v>3221.8199999999997</v>
      </c>
      <c r="V94" s="7">
        <f t="shared" si="8"/>
        <v>494.66391957907462</v>
      </c>
      <c r="W94" s="8">
        <f t="shared" si="9"/>
        <v>247.33195978953731</v>
      </c>
      <c r="X94" s="381"/>
      <c r="Y94" s="382"/>
      <c r="Z94" s="369"/>
      <c r="AA94" s="370"/>
      <c r="AB94" s="17">
        <f t="shared" si="11"/>
        <v>7.6767777153763195</v>
      </c>
      <c r="AC94" s="17"/>
      <c r="AD94" s="25"/>
    </row>
    <row r="95" spans="2:32">
      <c r="B95" s="193"/>
      <c r="C95" s="192">
        <v>13</v>
      </c>
      <c r="D95" s="360" t="s">
        <v>226</v>
      </c>
      <c r="E95" s="360"/>
      <c r="F95" s="172">
        <v>0</v>
      </c>
      <c r="G95" s="172">
        <v>5.6310000000000002</v>
      </c>
      <c r="H95" s="171" t="s">
        <v>728</v>
      </c>
      <c r="I95" s="171" t="s">
        <v>728</v>
      </c>
      <c r="J95" s="172">
        <v>11.913</v>
      </c>
      <c r="K95" s="172"/>
      <c r="L95" s="172"/>
      <c r="M95" s="172"/>
      <c r="N95" s="172"/>
      <c r="O95" s="172"/>
      <c r="P95" s="172"/>
      <c r="R95" s="203" t="s">
        <v>735</v>
      </c>
      <c r="S95" s="202">
        <v>13</v>
      </c>
      <c r="T95" s="222">
        <v>0</v>
      </c>
      <c r="U95" s="221">
        <f t="shared" si="7"/>
        <v>8.7720000000000002</v>
      </c>
      <c r="V95" s="220">
        <f t="shared" si="8"/>
        <v>4.442044799413889</v>
      </c>
      <c r="W95" s="197">
        <f t="shared" si="9"/>
        <v>3.1409999999999978</v>
      </c>
      <c r="X95" s="383" t="s">
        <v>751</v>
      </c>
      <c r="Y95" s="384"/>
      <c r="Z95" s="375" t="s">
        <v>748</v>
      </c>
      <c r="AA95" s="376"/>
      <c r="AB95" s="219">
        <f t="shared" si="11"/>
        <v>35.807113543091631</v>
      </c>
      <c r="AC95" s="218">
        <f>U95+W95</f>
        <v>11.912999999999998</v>
      </c>
      <c r="AD95" s="9"/>
      <c r="AF95" s="405" t="s">
        <v>747</v>
      </c>
    </row>
    <row r="96" spans="2:32">
      <c r="B96" s="193"/>
      <c r="C96" s="192"/>
      <c r="D96" s="364"/>
      <c r="E96" s="364"/>
      <c r="F96" s="172">
        <v>8</v>
      </c>
      <c r="G96" s="172">
        <v>115.57000000000001</v>
      </c>
      <c r="H96" s="172">
        <v>117.72</v>
      </c>
      <c r="I96" s="172">
        <v>88.21</v>
      </c>
      <c r="J96" s="172">
        <v>115.13</v>
      </c>
      <c r="K96" s="172"/>
      <c r="L96" s="172"/>
      <c r="M96" s="172"/>
      <c r="N96" s="172"/>
      <c r="O96" s="172"/>
      <c r="P96" s="172"/>
      <c r="R96" s="191"/>
      <c r="S96" s="190"/>
      <c r="T96" s="205">
        <v>8</v>
      </c>
      <c r="U96" s="204">
        <f t="shared" si="7"/>
        <v>109.1575</v>
      </c>
      <c r="V96" s="7">
        <f t="shared" si="8"/>
        <v>14.010770559347014</v>
      </c>
      <c r="W96" s="8">
        <f t="shared" si="9"/>
        <v>7.005385279673507</v>
      </c>
      <c r="X96" s="381"/>
      <c r="Y96" s="382"/>
      <c r="Z96" s="377"/>
      <c r="AA96" s="378"/>
      <c r="AB96" s="217">
        <f t="shared" si="11"/>
        <v>6.4176857107147987</v>
      </c>
      <c r="AC96" s="216">
        <f>U95+W96</f>
        <v>15.777385279673506</v>
      </c>
      <c r="AD96" s="18"/>
      <c r="AF96" s="408"/>
    </row>
    <row r="97" spans="2:32">
      <c r="B97" s="193"/>
      <c r="C97" s="192"/>
      <c r="D97" s="364"/>
      <c r="E97" s="364"/>
      <c r="F97" s="172">
        <v>24</v>
      </c>
      <c r="G97" s="172">
        <v>254.37</v>
      </c>
      <c r="H97" s="172">
        <v>195.35</v>
      </c>
      <c r="I97" s="172">
        <v>263.38</v>
      </c>
      <c r="J97" s="172">
        <v>369.90999999999997</v>
      </c>
      <c r="K97" s="172"/>
      <c r="L97" s="172"/>
      <c r="M97" s="172"/>
      <c r="N97" s="172"/>
      <c r="O97" s="172"/>
      <c r="P97" s="172"/>
      <c r="R97" s="191"/>
      <c r="S97" s="190"/>
      <c r="T97" s="205">
        <v>24</v>
      </c>
      <c r="U97" s="204">
        <f t="shared" si="7"/>
        <v>270.7525</v>
      </c>
      <c r="V97" s="7">
        <f t="shared" si="8"/>
        <v>72.664725222535921</v>
      </c>
      <c r="W97" s="8">
        <f t="shared" si="9"/>
        <v>36.332362611267961</v>
      </c>
      <c r="X97" s="381"/>
      <c r="Y97" s="382"/>
      <c r="Z97" s="377"/>
      <c r="AA97" s="378"/>
      <c r="AB97" s="217">
        <f t="shared" si="11"/>
        <v>13.419031259644127</v>
      </c>
      <c r="AC97" s="216">
        <f>U95+W97</f>
        <v>45.104362611267959</v>
      </c>
      <c r="AD97" s="18"/>
      <c r="AF97" s="408"/>
    </row>
    <row r="98" spans="2:32">
      <c r="B98" s="193"/>
      <c r="C98" s="192"/>
      <c r="D98" s="364"/>
      <c r="E98" s="364"/>
      <c r="F98" s="172">
        <v>48</v>
      </c>
      <c r="G98" s="172">
        <v>327.23999999999995</v>
      </c>
      <c r="H98" s="172">
        <v>255.75</v>
      </c>
      <c r="I98" s="172">
        <v>298.79000000000002</v>
      </c>
      <c r="J98" s="172">
        <v>359.05</v>
      </c>
      <c r="K98" s="172"/>
      <c r="L98" s="172"/>
      <c r="M98" s="172"/>
      <c r="N98" s="172"/>
      <c r="O98" s="172"/>
      <c r="P98" s="172"/>
      <c r="R98" s="191"/>
      <c r="S98" s="190"/>
      <c r="T98" s="205">
        <v>48</v>
      </c>
      <c r="U98" s="208">
        <f t="shared" si="7"/>
        <v>310.20749999999998</v>
      </c>
      <c r="V98" s="207">
        <f t="shared" si="8"/>
        <v>43.862187492949651</v>
      </c>
      <c r="W98" s="107">
        <f t="shared" si="9"/>
        <v>21.931093746474826</v>
      </c>
      <c r="X98" s="381"/>
      <c r="Y98" s="382"/>
      <c r="Z98" s="377"/>
      <c r="AA98" s="378"/>
      <c r="AB98" s="217">
        <f t="shared" si="11"/>
        <v>7.0698141555168155</v>
      </c>
      <c r="AC98" s="216">
        <f>U95+W98</f>
        <v>30.703093746474828</v>
      </c>
      <c r="AD98" s="18"/>
      <c r="AF98" s="408"/>
    </row>
    <row r="99" spans="2:32" ht="16" thickBot="1">
      <c r="B99" s="193"/>
      <c r="C99" s="184"/>
      <c r="D99" s="364"/>
      <c r="E99" s="364"/>
      <c r="F99" s="172">
        <v>72</v>
      </c>
      <c r="G99" s="172">
        <v>294.18</v>
      </c>
      <c r="H99" s="172">
        <v>231.89</v>
      </c>
      <c r="I99" s="172">
        <v>304.02</v>
      </c>
      <c r="J99" s="172">
        <v>382.07</v>
      </c>
      <c r="K99" s="172"/>
      <c r="L99" s="172"/>
      <c r="M99" s="172"/>
      <c r="N99" s="172"/>
      <c r="O99" s="172"/>
      <c r="P99" s="172"/>
      <c r="R99" s="182"/>
      <c r="S99" s="181"/>
      <c r="T99" s="215">
        <v>72</v>
      </c>
      <c r="U99" s="214">
        <f t="shared" si="7"/>
        <v>303.03999999999996</v>
      </c>
      <c r="V99" s="213">
        <f t="shared" si="8"/>
        <v>61.61039793195102</v>
      </c>
      <c r="W99" s="212">
        <f t="shared" si="9"/>
        <v>30.80519896597551</v>
      </c>
      <c r="X99" s="385"/>
      <c r="Y99" s="386"/>
      <c r="Z99" s="379"/>
      <c r="AA99" s="380"/>
      <c r="AB99" s="211">
        <f t="shared" si="11"/>
        <v>10.165390366280198</v>
      </c>
      <c r="AC99" s="210">
        <f>U95+W99</f>
        <v>39.577198965975512</v>
      </c>
      <c r="AD99" s="79"/>
      <c r="AF99" s="409"/>
    </row>
    <row r="100" spans="2:32">
      <c r="B100" s="193"/>
      <c r="C100" s="192">
        <v>13</v>
      </c>
      <c r="D100" s="360" t="s">
        <v>717</v>
      </c>
      <c r="E100" s="360"/>
      <c r="F100" s="172">
        <v>0</v>
      </c>
      <c r="G100" s="171" t="s">
        <v>728</v>
      </c>
      <c r="H100" s="171" t="s">
        <v>728</v>
      </c>
      <c r="I100" s="171" t="s">
        <v>728</v>
      </c>
      <c r="J100" s="171" t="s">
        <v>728</v>
      </c>
      <c r="K100" s="172"/>
      <c r="L100" s="172"/>
      <c r="M100" s="172"/>
      <c r="N100" s="172"/>
      <c r="O100" s="172"/>
      <c r="P100" s="172"/>
      <c r="R100" s="206" t="s">
        <v>735</v>
      </c>
      <c r="S100" s="190">
        <v>13</v>
      </c>
      <c r="T100" s="205">
        <v>0</v>
      </c>
      <c r="U100" s="209" t="e">
        <f t="shared" si="7"/>
        <v>#DIV/0!</v>
      </c>
      <c r="V100" s="38" t="e">
        <f t="shared" si="8"/>
        <v>#DIV/0!</v>
      </c>
      <c r="W100" s="17" t="e">
        <f t="shared" si="9"/>
        <v>#DIV/0!</v>
      </c>
      <c r="X100" s="310" t="s">
        <v>749</v>
      </c>
      <c r="Y100" s="325"/>
      <c r="Z100" s="369" t="s">
        <v>750</v>
      </c>
      <c r="AA100" s="370"/>
      <c r="AB100" s="17"/>
      <c r="AC100" s="17"/>
      <c r="AD100" s="8"/>
    </row>
    <row r="101" spans="2:32">
      <c r="B101" s="193"/>
      <c r="C101" s="192"/>
      <c r="D101" s="364"/>
      <c r="E101" s="364"/>
      <c r="F101" s="172">
        <v>8</v>
      </c>
      <c r="G101" s="172">
        <v>211.84</v>
      </c>
      <c r="H101" s="172">
        <v>172.71999999999997</v>
      </c>
      <c r="I101" s="172">
        <v>187.06</v>
      </c>
      <c r="J101" s="172">
        <v>178.4</v>
      </c>
      <c r="K101" s="172"/>
      <c r="L101" s="172"/>
      <c r="M101" s="172"/>
      <c r="N101" s="172"/>
      <c r="O101" s="172"/>
      <c r="P101" s="172"/>
      <c r="R101" s="206"/>
      <c r="S101" s="190"/>
      <c r="T101" s="205">
        <v>8</v>
      </c>
      <c r="U101" s="204">
        <f t="shared" si="7"/>
        <v>187.50499999999997</v>
      </c>
      <c r="V101" s="7">
        <f t="shared" si="8"/>
        <v>17.261590309122745</v>
      </c>
      <c r="W101" s="8">
        <f t="shared" si="9"/>
        <v>8.6307951545613726</v>
      </c>
      <c r="X101" s="310"/>
      <c r="Y101" s="325"/>
      <c r="Z101" s="369"/>
      <c r="AA101" s="370"/>
      <c r="AB101" s="17">
        <f>W101/U101*100</f>
        <v>4.6029680032859783</v>
      </c>
      <c r="AC101" s="17"/>
      <c r="AD101" s="17"/>
    </row>
    <row r="102" spans="2:32">
      <c r="B102" s="193"/>
      <c r="C102" s="192"/>
      <c r="D102" s="364"/>
      <c r="E102" s="364"/>
      <c r="F102" s="172">
        <v>24</v>
      </c>
      <c r="G102" s="172">
        <v>1285.79</v>
      </c>
      <c r="H102" s="172">
        <v>1091.78</v>
      </c>
      <c r="I102" s="172">
        <v>940.86</v>
      </c>
      <c r="J102" s="172">
        <v>1494.6100000000001</v>
      </c>
      <c r="K102" s="172"/>
      <c r="L102" s="172"/>
      <c r="M102" s="172"/>
      <c r="N102" s="172"/>
      <c r="O102" s="172"/>
      <c r="P102" s="172"/>
      <c r="R102" s="206"/>
      <c r="S102" s="190"/>
      <c r="T102" s="205">
        <v>24</v>
      </c>
      <c r="U102" s="204">
        <f t="shared" si="7"/>
        <v>1203.26</v>
      </c>
      <c r="V102" s="7">
        <f t="shared" si="8"/>
        <v>240.12328347469094</v>
      </c>
      <c r="W102" s="8">
        <f t="shared" si="9"/>
        <v>120.06164173734547</v>
      </c>
      <c r="X102" s="310"/>
      <c r="Y102" s="325"/>
      <c r="Z102" s="369"/>
      <c r="AA102" s="370"/>
      <c r="AB102" s="17">
        <f>W102/U102*100</f>
        <v>9.9780298304061859</v>
      </c>
      <c r="AC102" s="17"/>
      <c r="AD102" s="17"/>
    </row>
    <row r="103" spans="2:32">
      <c r="B103" s="193"/>
      <c r="C103" s="192"/>
      <c r="D103" s="364"/>
      <c r="E103" s="364"/>
      <c r="F103" s="172">
        <v>48</v>
      </c>
      <c r="G103" s="172">
        <v>1753.0600000000002</v>
      </c>
      <c r="H103" s="172">
        <v>2212.94</v>
      </c>
      <c r="I103" s="172">
        <v>1992.56</v>
      </c>
      <c r="J103" s="172">
        <v>2371.38</v>
      </c>
      <c r="K103" s="172"/>
      <c r="L103" s="172"/>
      <c r="M103" s="172"/>
      <c r="N103" s="172"/>
      <c r="O103" s="172"/>
      <c r="P103" s="172"/>
      <c r="R103" s="206"/>
      <c r="S103" s="190"/>
      <c r="T103" s="205">
        <v>48</v>
      </c>
      <c r="U103" s="208">
        <f t="shared" si="7"/>
        <v>2082.4849999999997</v>
      </c>
      <c r="V103" s="207">
        <f t="shared" si="8"/>
        <v>269.00196052569697</v>
      </c>
      <c r="W103" s="107">
        <f t="shared" si="9"/>
        <v>134.50098026284849</v>
      </c>
      <c r="X103" s="310"/>
      <c r="Y103" s="325"/>
      <c r="Z103" s="369"/>
      <c r="AA103" s="370"/>
      <c r="AB103" s="17">
        <f>W103/U103*100</f>
        <v>6.4586770259016753</v>
      </c>
      <c r="AC103" s="17"/>
      <c r="AD103" s="17"/>
    </row>
    <row r="104" spans="2:32" ht="16" thickBot="1">
      <c r="B104" s="193"/>
      <c r="C104" s="184"/>
      <c r="D104" s="364"/>
      <c r="E104" s="364"/>
      <c r="F104" s="172">
        <v>72</v>
      </c>
      <c r="G104" s="172">
        <v>2936.14</v>
      </c>
      <c r="H104" s="172">
        <v>2327.2800000000002</v>
      </c>
      <c r="I104" s="172">
        <v>2280.7400000000002</v>
      </c>
      <c r="J104" s="172">
        <v>2768.3999999999996</v>
      </c>
      <c r="K104" s="172"/>
      <c r="L104" s="172"/>
      <c r="M104" s="172"/>
      <c r="N104" s="172"/>
      <c r="O104" s="172"/>
      <c r="P104" s="172"/>
      <c r="R104" s="206"/>
      <c r="S104" s="190"/>
      <c r="T104" s="205">
        <v>72</v>
      </c>
      <c r="U104" s="204">
        <f t="shared" si="7"/>
        <v>2578.14</v>
      </c>
      <c r="V104" s="7">
        <f t="shared" si="8"/>
        <v>324.41761522252051</v>
      </c>
      <c r="W104" s="8">
        <f t="shared" si="9"/>
        <v>162.20880761126026</v>
      </c>
      <c r="X104" s="310"/>
      <c r="Y104" s="325"/>
      <c r="Z104" s="369"/>
      <c r="AA104" s="370"/>
      <c r="AB104" s="17">
        <f>W104/U104*100</f>
        <v>6.2916989617034087</v>
      </c>
      <c r="AC104" s="17"/>
      <c r="AD104" s="25"/>
    </row>
    <row r="105" spans="2:32" ht="15" customHeight="1">
      <c r="B105" s="193"/>
      <c r="C105" s="192">
        <v>13</v>
      </c>
      <c r="D105" s="360" t="s">
        <v>203</v>
      </c>
      <c r="E105" s="360"/>
      <c r="F105" s="172">
        <v>0</v>
      </c>
      <c r="G105" s="171" t="s">
        <v>728</v>
      </c>
      <c r="H105" s="171" t="s">
        <v>728</v>
      </c>
      <c r="I105" s="171" t="s">
        <v>728</v>
      </c>
      <c r="J105" s="171" t="s">
        <v>728</v>
      </c>
      <c r="K105" s="172"/>
      <c r="L105" s="172"/>
      <c r="M105" s="172"/>
      <c r="N105" s="172"/>
      <c r="O105" s="172"/>
      <c r="P105" s="172"/>
      <c r="R105" s="203" t="s">
        <v>735</v>
      </c>
      <c r="S105" s="202">
        <v>13</v>
      </c>
      <c r="T105" s="201">
        <v>0</v>
      </c>
      <c r="U105" s="200" t="e">
        <f t="shared" si="7"/>
        <v>#DIV/0!</v>
      </c>
      <c r="V105" s="199" t="e">
        <f t="shared" si="8"/>
        <v>#DIV/0!</v>
      </c>
      <c r="W105" s="198" t="e">
        <f t="shared" si="9"/>
        <v>#DIV/0!</v>
      </c>
      <c r="X105" s="371" t="s">
        <v>749</v>
      </c>
      <c r="Y105" s="372"/>
      <c r="Z105" s="375" t="s">
        <v>748</v>
      </c>
      <c r="AA105" s="376"/>
      <c r="AB105" s="198"/>
      <c r="AC105" s="197" t="e">
        <v>#DIV/0!</v>
      </c>
      <c r="AD105" s="18"/>
      <c r="AF105" s="405" t="s">
        <v>747</v>
      </c>
    </row>
    <row r="106" spans="2:32">
      <c r="B106" s="193"/>
      <c r="C106" s="192"/>
      <c r="D106" s="364"/>
      <c r="E106" s="364"/>
      <c r="F106" s="172">
        <v>8</v>
      </c>
      <c r="G106" s="171" t="s">
        <v>728</v>
      </c>
      <c r="H106" s="172">
        <v>10.206</v>
      </c>
      <c r="I106" s="172">
        <v>8.3819999999999997</v>
      </c>
      <c r="J106" s="172">
        <v>10.39</v>
      </c>
      <c r="K106" s="172"/>
      <c r="L106" s="172"/>
      <c r="M106" s="172"/>
      <c r="N106" s="172"/>
      <c r="O106" s="172"/>
      <c r="P106" s="172"/>
      <c r="R106" s="191"/>
      <c r="S106" s="190"/>
      <c r="T106" s="189">
        <v>8</v>
      </c>
      <c r="U106" s="196">
        <f t="shared" si="7"/>
        <v>9.6593333333333344</v>
      </c>
      <c r="V106" s="195">
        <f t="shared" si="8"/>
        <v>1.1100222219997824</v>
      </c>
      <c r="W106" s="194">
        <f t="shared" si="9"/>
        <v>0.64087162867804093</v>
      </c>
      <c r="X106" s="310"/>
      <c r="Y106" s="325"/>
      <c r="Z106" s="377"/>
      <c r="AA106" s="378"/>
      <c r="AB106" s="174">
        <f>W106/U106*100</f>
        <v>6.6347397544141167</v>
      </c>
      <c r="AC106" s="17">
        <v>0.64087162867804093</v>
      </c>
      <c r="AD106" s="18"/>
      <c r="AF106" s="408"/>
    </row>
    <row r="107" spans="2:32">
      <c r="B107" s="193"/>
      <c r="C107" s="192"/>
      <c r="D107" s="364"/>
      <c r="E107" s="364"/>
      <c r="F107" s="172">
        <v>24</v>
      </c>
      <c r="G107" s="172">
        <v>25.286999999999999</v>
      </c>
      <c r="H107" s="172">
        <v>34.86</v>
      </c>
      <c r="I107" s="172">
        <v>24.003</v>
      </c>
      <c r="J107" s="172">
        <v>24.731999999999999</v>
      </c>
      <c r="K107" s="172"/>
      <c r="L107" s="172"/>
      <c r="M107" s="172"/>
      <c r="N107" s="172"/>
      <c r="O107" s="172"/>
      <c r="P107" s="172"/>
      <c r="R107" s="191"/>
      <c r="S107" s="190"/>
      <c r="T107" s="189">
        <v>24</v>
      </c>
      <c r="U107" s="196">
        <f t="shared" si="7"/>
        <v>27.220500000000001</v>
      </c>
      <c r="V107" s="195">
        <f t="shared" si="8"/>
        <v>5.1200690425032347</v>
      </c>
      <c r="W107" s="194">
        <f t="shared" si="9"/>
        <v>2.5600345212516173</v>
      </c>
      <c r="X107" s="310"/>
      <c r="Y107" s="325"/>
      <c r="Z107" s="377"/>
      <c r="AA107" s="378"/>
      <c r="AB107" s="174">
        <f>W107/U107*100</f>
        <v>9.4048034431829581</v>
      </c>
      <c r="AC107" s="17">
        <v>2.5600345212516173</v>
      </c>
      <c r="AD107" s="18"/>
      <c r="AF107" s="408"/>
    </row>
    <row r="108" spans="2:32">
      <c r="B108" s="193"/>
      <c r="C108" s="192"/>
      <c r="D108" s="364"/>
      <c r="E108" s="364"/>
      <c r="F108" s="172">
        <v>48</v>
      </c>
      <c r="G108" s="172">
        <v>59.628</v>
      </c>
      <c r="H108" s="172">
        <v>77.283000000000001</v>
      </c>
      <c r="I108" s="172">
        <v>53.114999999999995</v>
      </c>
      <c r="J108" s="172">
        <v>64.551000000000002</v>
      </c>
      <c r="K108" s="172"/>
      <c r="L108" s="172"/>
      <c r="M108" s="172"/>
      <c r="N108" s="172"/>
      <c r="O108" s="172"/>
      <c r="P108" s="172"/>
      <c r="R108" s="191"/>
      <c r="S108" s="190"/>
      <c r="T108" s="189">
        <v>48</v>
      </c>
      <c r="U108" s="188">
        <f t="shared" si="7"/>
        <v>63.64425</v>
      </c>
      <c r="V108" s="187">
        <f t="shared" si="8"/>
        <v>10.227952984346372</v>
      </c>
      <c r="W108" s="186">
        <f t="shared" si="9"/>
        <v>5.1139764921731858</v>
      </c>
      <c r="X108" s="310"/>
      <c r="Y108" s="325"/>
      <c r="Z108" s="377"/>
      <c r="AA108" s="378"/>
      <c r="AB108" s="174">
        <f>W108/U108*100</f>
        <v>8.0352529759926234</v>
      </c>
      <c r="AC108" s="17">
        <v>5.1139764921731858</v>
      </c>
      <c r="AD108" s="18"/>
      <c r="AF108" s="408"/>
    </row>
    <row r="109" spans="2:32" ht="16" thickBot="1">
      <c r="B109" s="185"/>
      <c r="C109" s="184"/>
      <c r="D109" s="364"/>
      <c r="E109" s="364"/>
      <c r="F109" s="183">
        <v>72</v>
      </c>
      <c r="G109" s="183">
        <v>78.744</v>
      </c>
      <c r="H109" s="183">
        <v>125.334</v>
      </c>
      <c r="I109" s="183">
        <v>70.266000000000005</v>
      </c>
      <c r="J109" s="183">
        <v>81.707999999999998</v>
      </c>
      <c r="K109" s="183"/>
      <c r="L109" s="183"/>
      <c r="M109" s="183"/>
      <c r="N109" s="183"/>
      <c r="O109" s="183"/>
      <c r="P109" s="183"/>
      <c r="R109" s="182"/>
      <c r="S109" s="181"/>
      <c r="T109" s="180">
        <v>72</v>
      </c>
      <c r="U109" s="179">
        <f t="shared" si="7"/>
        <v>89.013000000000005</v>
      </c>
      <c r="V109" s="178">
        <f t="shared" si="8"/>
        <v>24.694671732987246</v>
      </c>
      <c r="W109" s="177">
        <f t="shared" si="9"/>
        <v>12.347335866493623</v>
      </c>
      <c r="X109" s="373"/>
      <c r="Y109" s="374"/>
      <c r="Z109" s="379"/>
      <c r="AA109" s="380"/>
      <c r="AB109" s="176">
        <f>W109/U109*100</f>
        <v>13.871384928598768</v>
      </c>
      <c r="AC109" s="175">
        <v>12.347335866493623</v>
      </c>
      <c r="AD109" s="79"/>
      <c r="AF109" s="409"/>
    </row>
    <row r="110" spans="2:32">
      <c r="AB110" s="174">
        <f>AVERAGE(AB106:AB109)</f>
        <v>9.4865452755471171</v>
      </c>
    </row>
    <row r="111" spans="2:32">
      <c r="B111" t="s">
        <v>746</v>
      </c>
    </row>
    <row r="168" spans="4:4">
      <c r="D168" t="s">
        <v>745</v>
      </c>
    </row>
    <row r="224" spans="4:4">
      <c r="D224" t="s">
        <v>744</v>
      </c>
    </row>
    <row r="281" spans="2:19" ht="24">
      <c r="B281" s="168" t="s">
        <v>743</v>
      </c>
      <c r="C281" s="168"/>
      <c r="D281" s="168"/>
      <c r="E281" s="168"/>
      <c r="F281" s="168"/>
      <c r="G281" s="168"/>
      <c r="H281" s="168"/>
      <c r="I281" s="168"/>
      <c r="J281" s="168"/>
      <c r="K281" s="168"/>
      <c r="L281" s="168"/>
      <c r="M281" s="168"/>
      <c r="N281" s="168"/>
      <c r="O281" s="168"/>
      <c r="P281" s="168"/>
      <c r="Q281" s="168"/>
      <c r="R281" s="168"/>
      <c r="S281" s="168"/>
    </row>
    <row r="282" spans="2:19">
      <c r="B282" t="s">
        <v>742</v>
      </c>
    </row>
    <row r="283" spans="2:19">
      <c r="B283" s="365" t="s">
        <v>741</v>
      </c>
      <c r="C283" s="365" t="s">
        <v>722</v>
      </c>
      <c r="D283" s="365" t="s">
        <v>720</v>
      </c>
      <c r="E283" s="346" t="s">
        <v>724</v>
      </c>
      <c r="F283" s="346"/>
      <c r="G283" s="367" t="s">
        <v>740</v>
      </c>
      <c r="H283" s="347" t="s">
        <v>723</v>
      </c>
      <c r="I283" s="347"/>
      <c r="J283" s="347"/>
      <c r="K283" s="347"/>
      <c r="L283" s="347"/>
      <c r="M283" s="347"/>
      <c r="N283" s="347"/>
      <c r="O283" s="347"/>
      <c r="P283" s="347"/>
      <c r="Q283" s="347"/>
      <c r="R283" s="347"/>
      <c r="S283" s="347"/>
    </row>
    <row r="284" spans="2:19">
      <c r="B284" s="366"/>
      <c r="C284" s="366"/>
      <c r="D284" s="366"/>
      <c r="E284" s="348" t="s">
        <v>721</v>
      </c>
      <c r="F284" s="348"/>
      <c r="G284" s="368"/>
      <c r="H284" s="165">
        <v>1</v>
      </c>
      <c r="I284" s="165">
        <v>2</v>
      </c>
      <c r="J284" s="165">
        <v>3</v>
      </c>
      <c r="K284" s="165">
        <v>4</v>
      </c>
      <c r="L284" s="165">
        <v>5</v>
      </c>
      <c r="M284" s="164">
        <v>6</v>
      </c>
      <c r="N284" s="164">
        <v>7</v>
      </c>
      <c r="O284" s="164">
        <v>8</v>
      </c>
      <c r="P284" s="164">
        <v>9</v>
      </c>
      <c r="Q284" s="164">
        <v>10</v>
      </c>
      <c r="R284" s="164">
        <v>11</v>
      </c>
      <c r="S284" s="164">
        <v>12</v>
      </c>
    </row>
    <row r="285" spans="2:19">
      <c r="B285" s="351" t="s">
        <v>733</v>
      </c>
      <c r="C285" s="362" t="s">
        <v>738</v>
      </c>
      <c r="D285" s="357">
        <v>0</v>
      </c>
      <c r="E285" s="360" t="s">
        <v>739</v>
      </c>
      <c r="F285" s="360"/>
      <c r="G285" s="172" t="s">
        <v>730</v>
      </c>
      <c r="H285" s="170">
        <v>3.9929999999999999</v>
      </c>
      <c r="I285" s="170">
        <v>2.8730000000000002</v>
      </c>
      <c r="J285" s="170">
        <v>4.0439999999999996</v>
      </c>
      <c r="K285" s="170">
        <v>6.1660000000000004</v>
      </c>
      <c r="L285" s="170">
        <v>3.984</v>
      </c>
      <c r="M285" s="170">
        <v>4.5709999999999997</v>
      </c>
      <c r="N285" s="170">
        <v>3.677</v>
      </c>
      <c r="O285" s="170">
        <v>4.6130000000000004</v>
      </c>
      <c r="P285" s="170">
        <v>4.8550000000000004</v>
      </c>
      <c r="Q285" s="170">
        <v>3.4449999999999998</v>
      </c>
      <c r="R285" s="171" t="s">
        <v>728</v>
      </c>
      <c r="S285" s="170">
        <v>4.78</v>
      </c>
    </row>
    <row r="286" spans="2:19">
      <c r="B286" s="352"/>
      <c r="C286" s="363"/>
      <c r="D286" s="350"/>
      <c r="E286" s="364"/>
      <c r="F286" s="364"/>
      <c r="G286" s="172" t="s">
        <v>729</v>
      </c>
      <c r="H286" s="170">
        <v>106.60899999999999</v>
      </c>
      <c r="I286" s="170">
        <v>133.30199999999999</v>
      </c>
      <c r="J286" s="170">
        <v>160.69200000000001</v>
      </c>
      <c r="K286" s="170">
        <v>191.42400000000001</v>
      </c>
      <c r="L286" s="170">
        <v>208.209</v>
      </c>
      <c r="M286" s="170">
        <v>205.70400000000001</v>
      </c>
      <c r="N286" s="170">
        <v>161.35599999999999</v>
      </c>
      <c r="O286" s="170">
        <v>199.65700000000001</v>
      </c>
      <c r="P286" s="170">
        <v>119.70699999999999</v>
      </c>
      <c r="Q286" s="170">
        <v>179.03800000000001</v>
      </c>
      <c r="R286" s="170">
        <v>146.62</v>
      </c>
      <c r="S286" s="170">
        <v>132.22999999999999</v>
      </c>
    </row>
    <row r="287" spans="2:19">
      <c r="B287" s="351" t="s">
        <v>733</v>
      </c>
      <c r="C287" s="362" t="s">
        <v>738</v>
      </c>
      <c r="D287" s="357">
        <v>16</v>
      </c>
      <c r="E287" s="360" t="s">
        <v>739</v>
      </c>
      <c r="F287" s="360"/>
      <c r="G287" s="172" t="s">
        <v>730</v>
      </c>
      <c r="H287" s="171" t="s">
        <v>728</v>
      </c>
      <c r="I287" s="171" t="s">
        <v>728</v>
      </c>
      <c r="J287" s="171" t="s">
        <v>728</v>
      </c>
      <c r="K287" s="171" t="s">
        <v>728</v>
      </c>
      <c r="L287" s="171" t="s">
        <v>728</v>
      </c>
      <c r="M287" s="171" t="s">
        <v>728</v>
      </c>
      <c r="N287" s="171" t="s">
        <v>728</v>
      </c>
      <c r="O287" s="170">
        <v>3.1717791411042948</v>
      </c>
      <c r="P287" s="171" t="s">
        <v>728</v>
      </c>
      <c r="Q287" s="171" t="s">
        <v>728</v>
      </c>
      <c r="R287" s="170"/>
      <c r="S287" s="170"/>
    </row>
    <row r="288" spans="2:19">
      <c r="B288" s="352"/>
      <c r="C288" s="363"/>
      <c r="D288" s="350"/>
      <c r="E288" s="364"/>
      <c r="F288" s="364"/>
      <c r="G288" s="172" t="s">
        <v>729</v>
      </c>
      <c r="H288" s="170">
        <v>72.312883435582819</v>
      </c>
      <c r="I288" s="170">
        <v>181.84399999999999</v>
      </c>
      <c r="J288" s="170">
        <v>172.239</v>
      </c>
      <c r="K288" s="170">
        <v>160.74600000000001</v>
      </c>
      <c r="L288" s="170">
        <v>130.958</v>
      </c>
      <c r="M288" s="170">
        <v>139.249</v>
      </c>
      <c r="N288" s="170">
        <v>164.46799999999999</v>
      </c>
      <c r="O288" s="170">
        <v>81.075999999999993</v>
      </c>
      <c r="P288" s="170">
        <v>165.67500000000001</v>
      </c>
      <c r="Q288" s="170">
        <v>132.482</v>
      </c>
      <c r="R288" s="170"/>
      <c r="S288" s="170"/>
    </row>
    <row r="289" spans="2:19">
      <c r="B289" s="351" t="s">
        <v>735</v>
      </c>
      <c r="C289" s="362" t="s">
        <v>738</v>
      </c>
      <c r="D289" s="357">
        <v>16</v>
      </c>
      <c r="E289" s="360" t="s">
        <v>737</v>
      </c>
      <c r="F289" s="360"/>
      <c r="G289" s="172" t="s">
        <v>730</v>
      </c>
      <c r="H289" s="171" t="s">
        <v>728</v>
      </c>
      <c r="I289" s="170">
        <v>9.2453987730061353</v>
      </c>
      <c r="J289" s="170">
        <v>3.9693251533742338</v>
      </c>
      <c r="K289" s="170">
        <v>7.0981595092024543</v>
      </c>
      <c r="L289" s="170">
        <v>10.656441717791411</v>
      </c>
      <c r="M289" s="170">
        <v>7.0368098159509209</v>
      </c>
      <c r="N289" s="170">
        <v>8.6932515337423322</v>
      </c>
      <c r="O289" s="170"/>
      <c r="P289" s="170"/>
      <c r="Q289" s="170"/>
      <c r="R289" s="170"/>
      <c r="S289" s="170"/>
    </row>
    <row r="290" spans="2:19">
      <c r="B290" s="353"/>
      <c r="C290" s="363"/>
      <c r="D290" s="350"/>
      <c r="E290" s="361"/>
      <c r="F290" s="361"/>
      <c r="G290" s="172" t="s">
        <v>729</v>
      </c>
      <c r="H290" s="170">
        <v>22.803680981595097</v>
      </c>
      <c r="I290" s="170">
        <v>25.564417177914113</v>
      </c>
      <c r="J290" s="170">
        <v>20.533742331288344</v>
      </c>
      <c r="K290" s="170">
        <v>23.110429447852766</v>
      </c>
      <c r="L290" s="170">
        <v>14.030674846625768</v>
      </c>
      <c r="M290" s="170">
        <v>29.797546012269944</v>
      </c>
      <c r="N290" s="170">
        <v>36.423312883435585</v>
      </c>
      <c r="O290" s="170"/>
      <c r="P290" s="170"/>
      <c r="Q290" s="170"/>
      <c r="R290" s="170"/>
      <c r="S290" s="170"/>
    </row>
    <row r="291" spans="2:19">
      <c r="B291" s="351" t="s">
        <v>735</v>
      </c>
      <c r="C291" s="362" t="s">
        <v>738</v>
      </c>
      <c r="D291" s="357">
        <v>16</v>
      </c>
      <c r="E291" s="360" t="s">
        <v>736</v>
      </c>
      <c r="F291" s="360"/>
      <c r="G291" s="172" t="s">
        <v>730</v>
      </c>
      <c r="H291" s="171" t="s">
        <v>728</v>
      </c>
      <c r="I291" s="171" t="s">
        <v>728</v>
      </c>
      <c r="J291" s="171" t="s">
        <v>728</v>
      </c>
      <c r="K291" s="170">
        <v>4.0920245398773014</v>
      </c>
      <c r="L291" s="171" t="s">
        <v>728</v>
      </c>
      <c r="M291" s="170"/>
      <c r="N291" s="169"/>
      <c r="O291" s="169"/>
      <c r="P291" s="169"/>
      <c r="Q291" s="169"/>
      <c r="R291" s="169"/>
      <c r="S291" s="170"/>
    </row>
    <row r="292" spans="2:19">
      <c r="B292" s="353"/>
      <c r="C292" s="363"/>
      <c r="D292" s="350"/>
      <c r="E292" s="361"/>
      <c r="F292" s="361"/>
      <c r="G292" s="172" t="s">
        <v>729</v>
      </c>
      <c r="H292" s="173">
        <v>60.226993865030678</v>
      </c>
      <c r="I292" s="173">
        <v>54.153374233128844</v>
      </c>
      <c r="J292" s="173">
        <v>19.981595092024545</v>
      </c>
      <c r="K292" s="173">
        <v>16.055214723926383</v>
      </c>
      <c r="L292" s="173">
        <v>36.177914110429448</v>
      </c>
      <c r="M292" s="170"/>
      <c r="N292" s="170"/>
      <c r="O292" s="170"/>
      <c r="P292" s="170"/>
      <c r="Q292" s="170"/>
      <c r="R292" s="170"/>
      <c r="S292" s="170"/>
    </row>
    <row r="293" spans="2:19">
      <c r="B293" s="351" t="s">
        <v>735</v>
      </c>
      <c r="C293" s="362" t="s">
        <v>738</v>
      </c>
      <c r="D293" s="357">
        <v>16</v>
      </c>
      <c r="E293" s="360" t="s">
        <v>734</v>
      </c>
      <c r="F293" s="360"/>
      <c r="G293" s="172" t="s">
        <v>730</v>
      </c>
      <c r="H293" s="171" t="s">
        <v>728</v>
      </c>
      <c r="I293" s="171" t="s">
        <v>728</v>
      </c>
      <c r="J293" s="171" t="s">
        <v>728</v>
      </c>
      <c r="K293" s="171" t="s">
        <v>728</v>
      </c>
      <c r="L293" s="171" t="s">
        <v>728</v>
      </c>
      <c r="M293" s="171" t="s">
        <v>728</v>
      </c>
      <c r="N293" s="171" t="s">
        <v>728</v>
      </c>
      <c r="O293" s="171" t="s">
        <v>728</v>
      </c>
      <c r="P293" s="171" t="s">
        <v>728</v>
      </c>
      <c r="Q293" s="170">
        <v>2.8036809815950923</v>
      </c>
      <c r="R293" s="170"/>
      <c r="S293" s="170"/>
    </row>
    <row r="294" spans="2:19">
      <c r="B294" s="353"/>
      <c r="C294" s="363"/>
      <c r="D294" s="350"/>
      <c r="E294" s="361"/>
      <c r="F294" s="361"/>
      <c r="G294" s="172" t="s">
        <v>729</v>
      </c>
      <c r="H294" s="170">
        <v>162.00700000000001</v>
      </c>
      <c r="I294" s="170">
        <v>87.293000000000006</v>
      </c>
      <c r="J294" s="170">
        <v>90.712000000000003</v>
      </c>
      <c r="K294" s="170">
        <v>101.73099999999999</v>
      </c>
      <c r="L294" s="170">
        <v>92.998000000000005</v>
      </c>
      <c r="M294" s="170">
        <v>59.184049079754608</v>
      </c>
      <c r="N294" s="170">
        <v>56.730061349693251</v>
      </c>
      <c r="O294" s="170">
        <v>20.472392638036812</v>
      </c>
      <c r="P294" s="170">
        <v>46.177914110429455</v>
      </c>
      <c r="Q294" s="170">
        <v>121.703</v>
      </c>
      <c r="R294" s="170"/>
      <c r="S294" s="170"/>
    </row>
    <row r="295" spans="2:19">
      <c r="B295" s="351" t="s">
        <v>735</v>
      </c>
      <c r="C295" s="362" t="s">
        <v>738</v>
      </c>
      <c r="D295" s="357">
        <v>16</v>
      </c>
      <c r="E295" s="360" t="s">
        <v>731</v>
      </c>
      <c r="F295" s="360"/>
      <c r="G295" s="172" t="s">
        <v>730</v>
      </c>
      <c r="H295" s="171" t="s">
        <v>728</v>
      </c>
      <c r="I295" s="171" t="s">
        <v>728</v>
      </c>
      <c r="J295" s="171" t="s">
        <v>728</v>
      </c>
      <c r="K295" s="171" t="s">
        <v>728</v>
      </c>
      <c r="L295" s="170"/>
      <c r="M295" s="170"/>
      <c r="N295" s="170"/>
      <c r="O295" s="170"/>
      <c r="P295" s="170"/>
      <c r="Q295" s="170"/>
      <c r="R295" s="170"/>
      <c r="S295" s="170"/>
    </row>
    <row r="296" spans="2:19">
      <c r="B296" s="353"/>
      <c r="C296" s="363"/>
      <c r="D296" s="350"/>
      <c r="E296" s="361"/>
      <c r="F296" s="361"/>
      <c r="G296" s="172" t="s">
        <v>729</v>
      </c>
      <c r="H296" s="173">
        <v>3.5398773006134969</v>
      </c>
      <c r="I296" s="173">
        <v>7.0368098159509209</v>
      </c>
      <c r="J296" s="173">
        <v>5.1963190184049086</v>
      </c>
      <c r="K296" s="173">
        <v>5.7484662576687127</v>
      </c>
      <c r="L296" s="170"/>
      <c r="M296" s="170"/>
      <c r="N296" s="170"/>
      <c r="O296" s="170"/>
      <c r="P296" s="170"/>
      <c r="Q296" s="170"/>
      <c r="R296" s="170"/>
      <c r="S296" s="170"/>
    </row>
    <row r="297" spans="2:19">
      <c r="B297" s="351" t="s">
        <v>735</v>
      </c>
      <c r="C297" s="354" t="s">
        <v>732</v>
      </c>
      <c r="D297" s="357">
        <v>16</v>
      </c>
      <c r="E297" s="360" t="s">
        <v>737</v>
      </c>
      <c r="F297" s="360"/>
      <c r="G297" s="172" t="s">
        <v>730</v>
      </c>
      <c r="H297" s="170">
        <v>5.9532163742690054</v>
      </c>
      <c r="I297" s="171" t="s">
        <v>728</v>
      </c>
      <c r="J297" s="170">
        <v>10.514619883040936</v>
      </c>
      <c r="K297" s="170">
        <v>4.7836257309941521</v>
      </c>
      <c r="L297" s="170">
        <v>5.4269005847953213</v>
      </c>
      <c r="M297" s="170">
        <v>8.526315789473685</v>
      </c>
      <c r="N297" s="170">
        <v>6.7134502923976607</v>
      </c>
      <c r="O297" s="170">
        <v>7.4736842105263168</v>
      </c>
      <c r="P297" s="170">
        <v>4.4327485380116949</v>
      </c>
      <c r="Q297" s="170">
        <v>5.5438596491228065</v>
      </c>
      <c r="R297" s="170">
        <v>6.128654970760234</v>
      </c>
      <c r="S297" s="170"/>
    </row>
    <row r="298" spans="2:19">
      <c r="B298" s="353"/>
      <c r="C298" s="356"/>
      <c r="D298" s="350"/>
      <c r="E298" s="361"/>
      <c r="F298" s="361"/>
      <c r="G298" s="172" t="s">
        <v>729</v>
      </c>
      <c r="H298" s="170">
        <v>127.91925465838509</v>
      </c>
      <c r="I298" s="170">
        <v>126.41800000000001</v>
      </c>
      <c r="J298" s="170">
        <v>152.95500000000001</v>
      </c>
      <c r="K298" s="170">
        <v>181.11600000000001</v>
      </c>
      <c r="L298" s="170">
        <v>199.54599999999999</v>
      </c>
      <c r="M298" s="170">
        <v>181.96100000000001</v>
      </c>
      <c r="N298" s="170">
        <v>159.85499999999999</v>
      </c>
      <c r="O298" s="170">
        <v>185.80500000000001</v>
      </c>
      <c r="P298" s="170">
        <v>154.62700000000001</v>
      </c>
      <c r="Q298" s="170">
        <v>149.404</v>
      </c>
      <c r="R298" s="170">
        <v>179.583</v>
      </c>
      <c r="S298" s="170"/>
    </row>
    <row r="299" spans="2:19">
      <c r="B299" s="351" t="s">
        <v>735</v>
      </c>
      <c r="C299" s="354" t="s">
        <v>732</v>
      </c>
      <c r="D299" s="357">
        <v>16</v>
      </c>
      <c r="E299" s="360" t="s">
        <v>736</v>
      </c>
      <c r="F299" s="360"/>
      <c r="G299" s="172" t="s">
        <v>730</v>
      </c>
      <c r="H299" s="171" t="s">
        <v>728</v>
      </c>
      <c r="I299" s="171" t="s">
        <v>728</v>
      </c>
      <c r="J299" s="170">
        <v>9.5789473684210531</v>
      </c>
      <c r="K299" s="171" t="s">
        <v>728</v>
      </c>
      <c r="L299" s="171" t="s">
        <v>728</v>
      </c>
      <c r="M299" s="171" t="s">
        <v>728</v>
      </c>
      <c r="N299" s="171" t="s">
        <v>728</v>
      </c>
      <c r="O299" s="171" t="s">
        <v>728</v>
      </c>
      <c r="P299" s="171" t="s">
        <v>728</v>
      </c>
      <c r="Q299" s="171" t="s">
        <v>728</v>
      </c>
      <c r="R299" s="171" t="s">
        <v>728</v>
      </c>
      <c r="S299" s="170"/>
    </row>
    <row r="300" spans="2:19">
      <c r="B300" s="353"/>
      <c r="C300" s="356"/>
      <c r="D300" s="350"/>
      <c r="E300" s="361"/>
      <c r="F300" s="361"/>
      <c r="G300" s="172" t="s">
        <v>729</v>
      </c>
      <c r="H300" s="170">
        <v>24.689440993788818</v>
      </c>
      <c r="I300" s="170">
        <v>30.341614906832298</v>
      </c>
      <c r="J300" s="170">
        <v>25.93167701863354</v>
      </c>
      <c r="K300" s="170">
        <v>38.354037267080741</v>
      </c>
      <c r="L300" s="170">
        <v>12.639751552795031</v>
      </c>
      <c r="M300" s="170">
        <v>41.70807453416149</v>
      </c>
      <c r="N300" s="170">
        <v>30.838509316770185</v>
      </c>
      <c r="O300" s="170">
        <v>44.254658385093173</v>
      </c>
      <c r="P300" s="170">
        <v>32.639751552795026</v>
      </c>
      <c r="Q300" s="170">
        <v>12.763975155279505</v>
      </c>
      <c r="R300" s="170">
        <v>31.708074534161494</v>
      </c>
      <c r="S300" s="169"/>
    </row>
    <row r="301" spans="2:19">
      <c r="B301" s="351" t="s">
        <v>735</v>
      </c>
      <c r="C301" s="354" t="s">
        <v>732</v>
      </c>
      <c r="D301" s="357">
        <v>16</v>
      </c>
      <c r="E301" s="360" t="s">
        <v>734</v>
      </c>
      <c r="F301" s="360"/>
      <c r="G301" s="172" t="s">
        <v>730</v>
      </c>
      <c r="H301" s="170">
        <v>10.280701754385966</v>
      </c>
      <c r="I301" s="170">
        <v>9.7543859649122808</v>
      </c>
      <c r="J301" s="170">
        <v>5.4853801169590639</v>
      </c>
      <c r="K301" s="170">
        <v>5.4853801169590639</v>
      </c>
      <c r="L301" s="170">
        <v>9.0526315789473699</v>
      </c>
      <c r="M301" s="170">
        <v>8.2923976608187129</v>
      </c>
      <c r="N301" s="170">
        <v>4.6666666666666661</v>
      </c>
      <c r="O301" s="170">
        <v>8.1169590643274852</v>
      </c>
      <c r="P301" s="170">
        <v>4.6666666666666661</v>
      </c>
      <c r="Q301" s="170">
        <v>5.0175438596491224</v>
      </c>
      <c r="R301" s="170">
        <v>6.128654970760234</v>
      </c>
      <c r="S301" s="169"/>
    </row>
    <row r="302" spans="2:19">
      <c r="B302" s="353"/>
      <c r="C302" s="356"/>
      <c r="D302" s="350"/>
      <c r="E302" s="361"/>
      <c r="F302" s="361"/>
      <c r="G302" s="172" t="s">
        <v>729</v>
      </c>
      <c r="H302" s="170">
        <v>275.94</v>
      </c>
      <c r="I302" s="170">
        <v>169.39499999999998</v>
      </c>
      <c r="J302" s="170">
        <v>189.77</v>
      </c>
      <c r="K302" s="170">
        <v>289.11500000000001</v>
      </c>
      <c r="L302" s="170">
        <v>241.255</v>
      </c>
      <c r="M302" s="170">
        <v>219.435</v>
      </c>
      <c r="N302" s="170">
        <v>400.84000000000003</v>
      </c>
      <c r="O302" s="170">
        <v>316.88499999999999</v>
      </c>
      <c r="P302" s="170">
        <v>262.48</v>
      </c>
      <c r="Q302" s="170">
        <v>201.67500000000001</v>
      </c>
      <c r="R302" s="170">
        <v>226.49</v>
      </c>
      <c r="S302" s="169"/>
    </row>
    <row r="303" spans="2:19">
      <c r="B303" s="351" t="s">
        <v>735</v>
      </c>
      <c r="C303" s="354" t="s">
        <v>732</v>
      </c>
      <c r="D303" s="357">
        <v>16</v>
      </c>
      <c r="E303" s="360" t="s">
        <v>731</v>
      </c>
      <c r="F303" s="360"/>
      <c r="G303" s="172" t="s">
        <v>730</v>
      </c>
      <c r="H303" s="171" t="s">
        <v>728</v>
      </c>
      <c r="I303" s="171" t="s">
        <v>728</v>
      </c>
      <c r="J303" s="171" t="s">
        <v>728</v>
      </c>
      <c r="K303" s="171" t="s">
        <v>728</v>
      </c>
      <c r="L303" s="171" t="s">
        <v>728</v>
      </c>
      <c r="M303" s="171" t="s">
        <v>728</v>
      </c>
      <c r="N303" s="171" t="s">
        <v>728</v>
      </c>
      <c r="O303" s="171" t="s">
        <v>728</v>
      </c>
      <c r="P303" s="171" t="s">
        <v>728</v>
      </c>
      <c r="Q303" s="171" t="s">
        <v>728</v>
      </c>
      <c r="R303" s="170">
        <v>0.74853801169590639</v>
      </c>
      <c r="S303" s="169"/>
    </row>
    <row r="304" spans="2:19">
      <c r="B304" s="353"/>
      <c r="C304" s="356"/>
      <c r="D304" s="350"/>
      <c r="E304" s="361"/>
      <c r="F304" s="361"/>
      <c r="G304" s="172" t="s">
        <v>729</v>
      </c>
      <c r="H304" s="170">
        <v>16.925465838509318</v>
      </c>
      <c r="I304" s="170">
        <v>16.987577639751553</v>
      </c>
      <c r="J304" s="170">
        <v>32.080745341614914</v>
      </c>
      <c r="K304" s="170">
        <v>13.63354037267081</v>
      </c>
      <c r="L304" s="170">
        <v>15.186335403726709</v>
      </c>
      <c r="M304" s="170">
        <v>22.63975155279503</v>
      </c>
      <c r="N304" s="170">
        <v>10.590062111801242</v>
      </c>
      <c r="O304" s="170">
        <v>21.956521739130434</v>
      </c>
      <c r="P304" s="170">
        <v>17.546583850931679</v>
      </c>
      <c r="Q304" s="170">
        <v>15.372670807453416</v>
      </c>
      <c r="R304" s="170">
        <v>25.186335403726705</v>
      </c>
      <c r="S304" s="169"/>
    </row>
    <row r="305" spans="2:19">
      <c r="B305" s="351" t="s">
        <v>733</v>
      </c>
      <c r="C305" s="354" t="s">
        <v>732</v>
      </c>
      <c r="D305" s="357">
        <v>16</v>
      </c>
      <c r="E305" s="360" t="s">
        <v>734</v>
      </c>
      <c r="F305" s="360"/>
      <c r="G305" s="172" t="s">
        <v>730</v>
      </c>
      <c r="H305" s="171" t="s">
        <v>728</v>
      </c>
      <c r="I305" s="171" t="s">
        <v>728</v>
      </c>
      <c r="J305" s="171" t="s">
        <v>728</v>
      </c>
      <c r="K305" s="171" t="s">
        <v>728</v>
      </c>
      <c r="L305" s="171" t="s">
        <v>728</v>
      </c>
      <c r="M305" s="171" t="s">
        <v>728</v>
      </c>
      <c r="N305" s="171" t="s">
        <v>728</v>
      </c>
      <c r="O305" s="171" t="s">
        <v>728</v>
      </c>
      <c r="P305" s="170">
        <v>3.3216374269005851</v>
      </c>
      <c r="Q305" s="170">
        <v>4.0818713450292394</v>
      </c>
      <c r="R305" s="171" t="s">
        <v>728</v>
      </c>
      <c r="S305" s="169"/>
    </row>
    <row r="306" spans="2:19">
      <c r="B306" s="353"/>
      <c r="C306" s="356"/>
      <c r="D306" s="350"/>
      <c r="E306" s="361"/>
      <c r="F306" s="361"/>
      <c r="G306" s="172" t="s">
        <v>729</v>
      </c>
      <c r="H306" s="170">
        <v>49.037267080745345</v>
      </c>
      <c r="I306" s="170">
        <v>24.565217391304348</v>
      </c>
      <c r="J306" s="170">
        <v>41.70807453416149</v>
      </c>
      <c r="K306" s="170">
        <v>81.956521739130437</v>
      </c>
      <c r="L306" s="170">
        <v>71.58385093167702</v>
      </c>
      <c r="M306" s="170">
        <v>39.223602484472046</v>
      </c>
      <c r="N306" s="170">
        <v>64.75155279503106</v>
      </c>
      <c r="O306" s="170">
        <v>34.316770186335404</v>
      </c>
      <c r="P306" s="170">
        <v>69.409937888198769</v>
      </c>
      <c r="Q306" s="170">
        <v>111.45962732919256</v>
      </c>
      <c r="R306" s="170">
        <v>68.291925465838517</v>
      </c>
      <c r="S306" s="169"/>
    </row>
    <row r="307" spans="2:19">
      <c r="B307" s="351" t="s">
        <v>733</v>
      </c>
      <c r="C307" s="354" t="s">
        <v>732</v>
      </c>
      <c r="D307" s="357">
        <v>16</v>
      </c>
      <c r="E307" s="360" t="s">
        <v>731</v>
      </c>
      <c r="F307" s="360"/>
      <c r="G307" s="172" t="s">
        <v>730</v>
      </c>
      <c r="H307" s="171" t="s">
        <v>728</v>
      </c>
      <c r="I307" s="171" t="s">
        <v>728</v>
      </c>
      <c r="J307" s="171" t="s">
        <v>728</v>
      </c>
      <c r="K307" s="171" t="s">
        <v>728</v>
      </c>
      <c r="L307" s="171" t="s">
        <v>728</v>
      </c>
      <c r="M307" s="171" t="s">
        <v>728</v>
      </c>
      <c r="N307" s="171" t="s">
        <v>728</v>
      </c>
      <c r="O307" s="171" t="s">
        <v>728</v>
      </c>
      <c r="P307" s="171" t="s">
        <v>728</v>
      </c>
      <c r="Q307" s="171" t="s">
        <v>728</v>
      </c>
      <c r="R307" s="171" t="s">
        <v>728</v>
      </c>
      <c r="S307" s="169"/>
    </row>
    <row r="308" spans="2:19">
      <c r="B308" s="353"/>
      <c r="C308" s="356"/>
      <c r="D308" s="350"/>
      <c r="E308" s="361"/>
      <c r="F308" s="361"/>
      <c r="G308" s="172" t="s">
        <v>729</v>
      </c>
      <c r="H308" s="170">
        <v>4.316770186335404</v>
      </c>
      <c r="I308" s="170">
        <v>4.0683229813664594</v>
      </c>
      <c r="J308" s="170">
        <v>7.7329192546583849</v>
      </c>
      <c r="K308" s="170">
        <v>5.1242236024844727</v>
      </c>
      <c r="L308" s="170">
        <v>5.5590062111801242</v>
      </c>
      <c r="M308" s="170">
        <v>3.0962732919254661</v>
      </c>
      <c r="N308" s="170">
        <v>3.5093167701863357</v>
      </c>
      <c r="O308" s="170">
        <v>7.7329192546583849</v>
      </c>
      <c r="P308" s="171" t="s">
        <v>728</v>
      </c>
      <c r="Q308" s="170">
        <v>4.316770186335404</v>
      </c>
      <c r="R308" s="170">
        <v>4.4409937888198767</v>
      </c>
      <c r="S308" s="169"/>
    </row>
    <row r="311" spans="2:19" ht="24">
      <c r="B311" s="168" t="s">
        <v>727</v>
      </c>
      <c r="C311" s="168"/>
      <c r="D311" s="168"/>
      <c r="E311" s="168"/>
      <c r="F311" s="168"/>
      <c r="G311" s="168"/>
      <c r="H311" s="168"/>
      <c r="I311" s="168"/>
      <c r="J311" s="168"/>
      <c r="K311" s="168"/>
      <c r="L311" s="168"/>
      <c r="M311" s="168"/>
      <c r="N311" s="168"/>
      <c r="O311" s="168"/>
      <c r="P311" s="168"/>
    </row>
    <row r="312" spans="2:19">
      <c r="B312" t="s">
        <v>725</v>
      </c>
    </row>
    <row r="313" spans="2:19">
      <c r="B313" s="167"/>
      <c r="C313" s="346" t="s">
        <v>724</v>
      </c>
      <c r="D313" s="346"/>
      <c r="E313" s="167"/>
      <c r="F313" s="167"/>
      <c r="G313" s="347" t="s">
        <v>723</v>
      </c>
      <c r="H313" s="347"/>
      <c r="I313" s="347"/>
      <c r="J313" s="347"/>
      <c r="K313" s="347"/>
      <c r="L313" s="347"/>
      <c r="M313" s="347"/>
      <c r="N313" s="347"/>
      <c r="O313" s="347"/>
      <c r="P313" s="347"/>
    </row>
    <row r="314" spans="2:19">
      <c r="B314" s="166" t="s">
        <v>722</v>
      </c>
      <c r="C314" s="348" t="s">
        <v>721</v>
      </c>
      <c r="D314" s="348"/>
      <c r="E314" s="166" t="s">
        <v>720</v>
      </c>
      <c r="F314" s="166" t="s">
        <v>719</v>
      </c>
      <c r="G314" s="165">
        <v>1</v>
      </c>
      <c r="H314" s="165">
        <v>2</v>
      </c>
      <c r="I314" s="165">
        <v>3</v>
      </c>
      <c r="J314" s="165">
        <v>4</v>
      </c>
      <c r="K314" s="165">
        <v>5</v>
      </c>
      <c r="L314" s="164">
        <v>6</v>
      </c>
      <c r="M314" s="164">
        <v>7</v>
      </c>
      <c r="N314" s="164">
        <v>8</v>
      </c>
      <c r="O314" s="164">
        <v>9</v>
      </c>
      <c r="P314" s="164">
        <v>10</v>
      </c>
    </row>
    <row r="315" spans="2:19" ht="16">
      <c r="B315" s="351" t="s">
        <v>716</v>
      </c>
      <c r="C315" s="354" t="s">
        <v>718</v>
      </c>
      <c r="D315" s="354"/>
      <c r="E315" s="357">
        <v>1</v>
      </c>
      <c r="F315" s="163" t="s">
        <v>715</v>
      </c>
      <c r="G315" s="160">
        <v>9.4550909999999995</v>
      </c>
      <c r="H315" s="160">
        <v>9.4938299999999991</v>
      </c>
      <c r="I315" s="160">
        <v>9.564648</v>
      </c>
      <c r="J315" s="160">
        <v>9.4841730000000002</v>
      </c>
      <c r="K315" s="160">
        <v>9.1902450000000009</v>
      </c>
      <c r="L315" s="160">
        <v>10.517028</v>
      </c>
      <c r="M315" s="160"/>
    </row>
    <row r="316" spans="2:19" ht="16">
      <c r="B316" s="352"/>
      <c r="C316" s="355"/>
      <c r="D316" s="355"/>
      <c r="E316" s="350"/>
      <c r="F316" s="162" t="s">
        <v>714</v>
      </c>
      <c r="G316" s="160">
        <v>9.5972819999999999</v>
      </c>
      <c r="H316" s="160">
        <v>9.6124890000000001</v>
      </c>
      <c r="I316" s="160">
        <v>9.7495740000000009</v>
      </c>
      <c r="J316" s="160">
        <v>9.6118229999999993</v>
      </c>
      <c r="K316" s="160">
        <v>8.8283850000000008</v>
      </c>
      <c r="L316" s="160">
        <v>9.5717520000000018</v>
      </c>
      <c r="M316" s="160"/>
    </row>
    <row r="317" spans="2:19" ht="16">
      <c r="B317" s="352"/>
      <c r="C317" s="355"/>
      <c r="D317" s="355"/>
      <c r="E317" s="349">
        <v>3</v>
      </c>
      <c r="F317" s="162" t="s">
        <v>715</v>
      </c>
      <c r="G317" s="160">
        <v>8.393597999999999</v>
      </c>
      <c r="H317" s="160">
        <v>7.3120140000000005</v>
      </c>
      <c r="I317" s="160">
        <v>8.2744950000000017</v>
      </c>
      <c r="J317" s="160">
        <v>7.8331590000000011</v>
      </c>
      <c r="K317" s="160">
        <v>8.1844185000000014</v>
      </c>
      <c r="L317" s="160">
        <v>8.0816880000000015</v>
      </c>
      <c r="M317" s="160"/>
    </row>
    <row r="318" spans="2:19" ht="16">
      <c r="B318" s="352"/>
      <c r="C318" s="355"/>
      <c r="D318" s="355"/>
      <c r="E318" s="350"/>
      <c r="F318" s="162" t="s">
        <v>714</v>
      </c>
      <c r="G318" s="160">
        <v>8.5627064999999991</v>
      </c>
      <c r="H318" s="160">
        <v>8.5806885000000008</v>
      </c>
      <c r="I318" s="160">
        <v>8.5628174999999995</v>
      </c>
      <c r="J318" s="160">
        <v>8.1294180000000011</v>
      </c>
      <c r="K318" s="160">
        <v>8.5194165000000002</v>
      </c>
      <c r="L318" s="160">
        <v>8.2855950000000007</v>
      </c>
      <c r="M318" s="160"/>
    </row>
    <row r="319" spans="2:19" ht="16">
      <c r="B319" s="352"/>
      <c r="C319" s="355"/>
      <c r="D319" s="355"/>
      <c r="E319" s="349">
        <v>5</v>
      </c>
      <c r="F319" s="161" t="s">
        <v>715</v>
      </c>
      <c r="G319" s="160">
        <v>10.015363499999999</v>
      </c>
      <c r="H319" s="160">
        <v>8.8182285</v>
      </c>
      <c r="I319" s="160">
        <v>9.1012229999999992</v>
      </c>
      <c r="J319" s="160">
        <v>8.7903120000000001</v>
      </c>
      <c r="K319" s="160">
        <v>9.006040500000001</v>
      </c>
      <c r="L319" s="160">
        <v>8.927619</v>
      </c>
      <c r="M319" s="160"/>
    </row>
    <row r="320" spans="2:19">
      <c r="B320" s="352"/>
      <c r="C320" s="355"/>
      <c r="D320" s="355"/>
      <c r="E320" s="350"/>
      <c r="F320" t="s">
        <v>714</v>
      </c>
      <c r="G320" s="160">
        <v>9.1069950000000013</v>
      </c>
      <c r="H320" s="160">
        <v>9.2565120000000007</v>
      </c>
      <c r="I320" s="160">
        <v>9.2156085000000001</v>
      </c>
      <c r="J320" s="160">
        <v>9.3434805000000001</v>
      </c>
      <c r="K320" s="160">
        <v>9.2356995000000008</v>
      </c>
      <c r="L320" s="160">
        <v>9.200901</v>
      </c>
      <c r="M320" s="160"/>
    </row>
    <row r="321" spans="2:16">
      <c r="B321" s="352"/>
      <c r="C321" s="355"/>
      <c r="D321" s="355"/>
      <c r="E321" s="349">
        <v>7</v>
      </c>
      <c r="F321" t="s">
        <v>715</v>
      </c>
      <c r="G321" s="160">
        <v>8.7808215000000018</v>
      </c>
      <c r="H321" s="160">
        <v>8.9191830000000003</v>
      </c>
      <c r="I321" s="160">
        <v>8.7898680000000002</v>
      </c>
      <c r="J321" s="160">
        <v>8.6976270000000007</v>
      </c>
      <c r="K321" s="160">
        <v>8.832214500000001</v>
      </c>
      <c r="L321" s="160">
        <v>8.9576445000000007</v>
      </c>
      <c r="M321" s="160"/>
    </row>
    <row r="322" spans="2:16">
      <c r="B322" s="352"/>
      <c r="C322" s="355"/>
      <c r="D322" s="355"/>
      <c r="E322" s="350"/>
      <c r="F322" t="s">
        <v>714</v>
      </c>
      <c r="G322" s="160">
        <v>9.1750380000000007</v>
      </c>
      <c r="H322" s="160">
        <v>9.1309155000000004</v>
      </c>
      <c r="I322" s="160">
        <v>9.0593760000000003</v>
      </c>
      <c r="J322" s="160">
        <v>8.8321035000000006</v>
      </c>
      <c r="K322" s="160">
        <v>8.982841500000001</v>
      </c>
      <c r="L322" s="160">
        <v>9.1471215000000008</v>
      </c>
      <c r="M322" s="160"/>
    </row>
    <row r="323" spans="2:16">
      <c r="B323" s="352"/>
      <c r="C323" s="355"/>
      <c r="D323" s="355"/>
      <c r="E323" s="349">
        <v>9</v>
      </c>
      <c r="F323" t="s">
        <v>715</v>
      </c>
      <c r="G323" s="160">
        <v>8.9479875</v>
      </c>
      <c r="H323" s="160">
        <v>8.7812100000000015</v>
      </c>
      <c r="I323" s="160">
        <v>8.7440250000000006</v>
      </c>
      <c r="J323" s="160">
        <v>8.7199380000000009</v>
      </c>
      <c r="K323" s="160">
        <v>8.7370875000000012</v>
      </c>
      <c r="L323" s="160">
        <v>8.7115020000000012</v>
      </c>
      <c r="M323" s="160"/>
    </row>
    <row r="324" spans="2:16">
      <c r="B324" s="352"/>
      <c r="C324" s="355"/>
      <c r="D324" s="355"/>
      <c r="E324" s="350"/>
      <c r="F324" t="s">
        <v>714</v>
      </c>
      <c r="G324" s="160">
        <v>9.279322500000001</v>
      </c>
      <c r="H324" s="160">
        <v>8.9949405000000002</v>
      </c>
      <c r="I324" s="160">
        <v>8.8316595000000007</v>
      </c>
      <c r="J324" s="160">
        <v>8.8619625000000006</v>
      </c>
      <c r="K324" s="160">
        <v>8.8134554999999999</v>
      </c>
      <c r="L324" s="160">
        <v>9.1135439999999992</v>
      </c>
      <c r="M324" s="160"/>
    </row>
    <row r="325" spans="2:16">
      <c r="B325" s="352"/>
      <c r="C325" s="355"/>
      <c r="D325" s="355"/>
      <c r="E325" s="349">
        <v>11</v>
      </c>
      <c r="F325" t="s">
        <v>715</v>
      </c>
      <c r="G325" s="160">
        <v>8.7255435000000006</v>
      </c>
      <c r="H325" s="160">
        <v>8.7060075000000001</v>
      </c>
      <c r="I325" s="160">
        <v>8.4103590000000015</v>
      </c>
      <c r="J325" s="160">
        <v>8.4723524999999995</v>
      </c>
      <c r="K325" s="160">
        <v>8.6733735000000003</v>
      </c>
      <c r="L325" s="160">
        <v>9.0009899999999998</v>
      </c>
      <c r="M325" s="160"/>
    </row>
    <row r="326" spans="2:16">
      <c r="B326" s="352"/>
      <c r="C326" s="355"/>
      <c r="D326" s="355"/>
      <c r="E326" s="350"/>
      <c r="F326" t="s">
        <v>714</v>
      </c>
      <c r="G326" s="160">
        <v>9.1611075000000017</v>
      </c>
      <c r="H326" s="160">
        <v>9.0445020000000014</v>
      </c>
      <c r="I326" s="160">
        <v>8.6378535000000003</v>
      </c>
      <c r="J326" s="160">
        <v>8.5969499999999996</v>
      </c>
      <c r="K326" s="160">
        <v>9.0058185000000002</v>
      </c>
      <c r="L326" s="160">
        <v>8.8581330000000005</v>
      </c>
      <c r="M326" s="160"/>
    </row>
    <row r="327" spans="2:16">
      <c r="B327" s="352"/>
      <c r="C327" s="355"/>
      <c r="D327" s="355"/>
      <c r="E327" s="349">
        <v>13</v>
      </c>
      <c r="F327" t="s">
        <v>715</v>
      </c>
      <c r="G327" s="160"/>
      <c r="H327" s="160"/>
      <c r="I327" s="160">
        <v>9.8442570000000007</v>
      </c>
      <c r="J327" s="160">
        <v>8.6548920000000003</v>
      </c>
      <c r="K327" s="160">
        <v>8.664771</v>
      </c>
      <c r="L327" s="160">
        <v>8.7356999999999996</v>
      </c>
      <c r="M327" s="160"/>
    </row>
    <row r="328" spans="2:16">
      <c r="B328" s="353"/>
      <c r="C328" s="356"/>
      <c r="D328" s="356"/>
      <c r="E328" s="350"/>
      <c r="F328" t="s">
        <v>714</v>
      </c>
      <c r="G328" s="160"/>
      <c r="H328" s="160"/>
      <c r="I328" s="160">
        <v>8.7924210000000009</v>
      </c>
      <c r="J328" s="160">
        <v>8.9808435000000006</v>
      </c>
      <c r="K328" s="160">
        <v>8.7134444999999996</v>
      </c>
      <c r="L328" s="160">
        <v>8.8524165000000004</v>
      </c>
      <c r="M328" s="160"/>
    </row>
    <row r="329" spans="2:16" ht="16">
      <c r="B329" s="351" t="s">
        <v>716</v>
      </c>
      <c r="C329" s="354" t="s">
        <v>226</v>
      </c>
      <c r="D329" s="354"/>
      <c r="E329" s="349">
        <v>1</v>
      </c>
      <c r="F329" s="163" t="s">
        <v>715</v>
      </c>
      <c r="G329" s="160">
        <v>9.8200590000000005</v>
      </c>
      <c r="H329" s="160">
        <v>9.6940185000000003</v>
      </c>
      <c r="I329" s="160">
        <v>10.2297045</v>
      </c>
      <c r="J329" s="160">
        <v>9.6925200000000018</v>
      </c>
      <c r="K329" s="160">
        <v>9.7865369999999992</v>
      </c>
      <c r="L329" s="160">
        <v>9.5326799999999992</v>
      </c>
      <c r="M329" s="160"/>
      <c r="N329" s="160"/>
      <c r="O329" s="160"/>
      <c r="P329" s="160"/>
    </row>
    <row r="330" spans="2:16" ht="16">
      <c r="B330" s="352"/>
      <c r="C330" s="355"/>
      <c r="D330" s="355"/>
      <c r="E330" s="350"/>
      <c r="F330" s="162" t="s">
        <v>714</v>
      </c>
      <c r="G330" s="160">
        <v>9.782985</v>
      </c>
      <c r="H330" s="160">
        <v>9.793197000000001</v>
      </c>
      <c r="I330" s="160">
        <v>9.4569780000000012</v>
      </c>
      <c r="J330" s="160">
        <v>9.7388070000000013</v>
      </c>
      <c r="K330" s="160">
        <v>9.8360985000000003</v>
      </c>
      <c r="L330" s="160">
        <v>9.5462775000000004</v>
      </c>
      <c r="M330" s="160"/>
      <c r="N330" s="160"/>
      <c r="O330" s="160"/>
      <c r="P330" s="160"/>
    </row>
    <row r="331" spans="2:16" ht="16">
      <c r="B331" s="352"/>
      <c r="C331" s="355"/>
      <c r="D331" s="355"/>
      <c r="E331" s="349">
        <v>3</v>
      </c>
      <c r="F331" s="162" t="s">
        <v>715</v>
      </c>
      <c r="G331" s="160">
        <v>8.0396745000000003</v>
      </c>
      <c r="H331" s="160">
        <v>8.1798675000000003</v>
      </c>
      <c r="I331" s="160">
        <v>7.5548820000000001</v>
      </c>
      <c r="J331" s="160">
        <v>8.1940200000000001</v>
      </c>
      <c r="K331" s="160">
        <v>8.0783579999999997</v>
      </c>
      <c r="L331" s="160">
        <v>7.5662595000000001</v>
      </c>
      <c r="M331" s="160"/>
      <c r="N331" s="160"/>
      <c r="O331" s="160"/>
      <c r="P331" s="160"/>
    </row>
    <row r="332" spans="2:16" ht="16">
      <c r="B332" s="352"/>
      <c r="C332" s="355"/>
      <c r="D332" s="355"/>
      <c r="E332" s="350"/>
      <c r="F332" s="162" t="s">
        <v>714</v>
      </c>
      <c r="G332" s="160">
        <v>8.2675020000000004</v>
      </c>
      <c r="H332" s="160">
        <v>8.6542814999999997</v>
      </c>
      <c r="I332" s="160">
        <v>7.8938759999999997</v>
      </c>
      <c r="J332" s="160">
        <v>8.4528165000000008</v>
      </c>
      <c r="K332" s="160">
        <v>8.2788240000000002</v>
      </c>
      <c r="L332" s="160">
        <v>7.7959740000000011</v>
      </c>
      <c r="M332" s="160"/>
      <c r="N332" s="160"/>
      <c r="O332" s="160"/>
      <c r="P332" s="160"/>
    </row>
    <row r="333" spans="2:16" ht="16">
      <c r="B333" s="352"/>
      <c r="C333" s="355"/>
      <c r="D333" s="355"/>
      <c r="E333" s="349">
        <v>5</v>
      </c>
      <c r="F333" s="161" t="s">
        <v>715</v>
      </c>
      <c r="G333" s="160">
        <v>8.6218140000000005</v>
      </c>
      <c r="H333" s="160">
        <v>8.4439920000000015</v>
      </c>
      <c r="I333" s="160">
        <v>9.2445795000000004</v>
      </c>
      <c r="J333" s="160">
        <v>8.6452904999999998</v>
      </c>
      <c r="K333" s="160">
        <v>8.7699435000000001</v>
      </c>
      <c r="L333" s="160">
        <v>8.2768815</v>
      </c>
      <c r="M333" s="160"/>
      <c r="N333" s="160"/>
      <c r="O333" s="160"/>
      <c r="P333" s="160"/>
    </row>
    <row r="334" spans="2:16">
      <c r="B334" s="352"/>
      <c r="C334" s="355"/>
      <c r="D334" s="355"/>
      <c r="E334" s="350"/>
      <c r="F334" t="s">
        <v>714</v>
      </c>
      <c r="G334" s="160">
        <v>8.8447020000000016</v>
      </c>
      <c r="H334" s="160">
        <v>9.0509955000000009</v>
      </c>
      <c r="I334" s="160">
        <v>8.7231015000000003</v>
      </c>
      <c r="J334" s="160">
        <v>8.774439000000001</v>
      </c>
      <c r="K334" s="160">
        <v>9.0635940000000002</v>
      </c>
      <c r="L334" s="160">
        <v>8.8641270000000016</v>
      </c>
      <c r="M334" s="160"/>
      <c r="N334" s="160"/>
      <c r="O334" s="160"/>
      <c r="P334" s="160"/>
    </row>
    <row r="335" spans="2:16">
      <c r="B335" s="352"/>
      <c r="C335" s="355"/>
      <c r="D335" s="355"/>
      <c r="E335" s="349">
        <v>7</v>
      </c>
      <c r="F335" t="s">
        <v>715</v>
      </c>
      <c r="G335" s="160">
        <v>9.1278075000000012</v>
      </c>
      <c r="H335" s="160">
        <v>9.2353110000000012</v>
      </c>
      <c r="I335" s="160">
        <v>8.9625284999999995</v>
      </c>
      <c r="J335" s="160">
        <v>8.9697990000000001</v>
      </c>
      <c r="K335" s="160">
        <v>8.8731179999999998</v>
      </c>
      <c r="L335" s="160">
        <v>8.6615520000000004</v>
      </c>
      <c r="M335" s="160"/>
      <c r="N335" s="160"/>
      <c r="O335" s="160"/>
      <c r="P335" s="160"/>
    </row>
    <row r="336" spans="2:16">
      <c r="B336" s="352"/>
      <c r="C336" s="355"/>
      <c r="D336" s="355"/>
      <c r="E336" s="350"/>
      <c r="F336" t="s">
        <v>714</v>
      </c>
      <c r="G336" s="160">
        <v>9.0961724999999998</v>
      </c>
      <c r="H336" s="160">
        <v>9.2178284999999995</v>
      </c>
      <c r="I336" s="160">
        <v>8.7974715000000003</v>
      </c>
      <c r="J336" s="160">
        <v>9.0417825000000001</v>
      </c>
      <c r="K336" s="160">
        <v>9.1264200000000013</v>
      </c>
      <c r="L336" s="160">
        <v>8.8311045000000004</v>
      </c>
      <c r="M336" s="160"/>
      <c r="N336" s="160"/>
      <c r="O336" s="160"/>
      <c r="P336" s="160"/>
    </row>
    <row r="337" spans="2:16">
      <c r="B337" s="352"/>
      <c r="C337" s="355"/>
      <c r="D337" s="355"/>
      <c r="E337" s="349">
        <v>9</v>
      </c>
      <c r="F337" t="s">
        <v>715</v>
      </c>
      <c r="G337" s="160">
        <v>9.2083935000000015</v>
      </c>
      <c r="H337" s="160">
        <v>9.3020774999999993</v>
      </c>
      <c r="I337" s="160">
        <v>9.1089929999999999</v>
      </c>
      <c r="J337" s="160">
        <v>9.2571780000000015</v>
      </c>
      <c r="K337" s="160">
        <v>9.3198375000000002</v>
      </c>
      <c r="L337" s="160">
        <v>9.224377500000001</v>
      </c>
      <c r="M337" s="160"/>
      <c r="N337" s="160"/>
      <c r="O337" s="160"/>
      <c r="P337" s="160"/>
    </row>
    <row r="338" spans="2:16">
      <c r="B338" s="352"/>
      <c r="C338" s="355"/>
      <c r="D338" s="355"/>
      <c r="E338" s="350"/>
      <c r="F338" t="s">
        <v>714</v>
      </c>
      <c r="G338" s="160">
        <v>9.2298720000000003</v>
      </c>
      <c r="H338" s="160">
        <v>9.3313260000000007</v>
      </c>
      <c r="I338" s="160">
        <v>9.2813759999999998</v>
      </c>
      <c r="J338" s="160">
        <v>9.4462665000000001</v>
      </c>
      <c r="K338" s="160">
        <v>9.5213579999999993</v>
      </c>
      <c r="L338" s="160">
        <v>9.2718854999999998</v>
      </c>
      <c r="M338" s="160"/>
      <c r="N338" s="160"/>
      <c r="O338" s="160"/>
      <c r="P338" s="160"/>
    </row>
    <row r="339" spans="2:16">
      <c r="B339" s="352"/>
      <c r="C339" s="355"/>
      <c r="D339" s="355"/>
      <c r="E339" s="349">
        <v>11</v>
      </c>
      <c r="F339" t="s">
        <v>715</v>
      </c>
      <c r="G339" s="160">
        <v>9.4811759999999996</v>
      </c>
      <c r="H339" s="160">
        <v>9.5039310000000015</v>
      </c>
      <c r="I339" s="160">
        <v>9.3664020000000008</v>
      </c>
      <c r="J339" s="160">
        <v>9.500712</v>
      </c>
      <c r="K339" s="160">
        <v>9.3714525000000002</v>
      </c>
      <c r="L339" s="160">
        <v>9.2000130000000002</v>
      </c>
      <c r="M339" s="160"/>
      <c r="N339" s="160"/>
      <c r="O339" s="160"/>
      <c r="P339" s="160"/>
    </row>
    <row r="340" spans="2:16">
      <c r="B340" s="352"/>
      <c r="C340" s="355"/>
      <c r="D340" s="355"/>
      <c r="E340" s="350"/>
      <c r="F340" t="s">
        <v>714</v>
      </c>
      <c r="G340" s="160">
        <v>9.6146534999999993</v>
      </c>
      <c r="H340" s="160">
        <v>9.4213470000000008</v>
      </c>
      <c r="I340" s="160">
        <v>9.5034314999999996</v>
      </c>
      <c r="J340" s="160">
        <v>9.7709415000000011</v>
      </c>
      <c r="K340" s="160">
        <v>9.3834960000000009</v>
      </c>
      <c r="L340" s="160">
        <v>9.3787784999999992</v>
      </c>
      <c r="M340" s="160"/>
      <c r="N340" s="160"/>
      <c r="O340" s="160"/>
      <c r="P340" s="160"/>
    </row>
    <row r="341" spans="2:16">
      <c r="B341" s="352"/>
      <c r="C341" s="355"/>
      <c r="D341" s="355"/>
      <c r="E341" s="349">
        <v>13</v>
      </c>
      <c r="F341" t="s">
        <v>715</v>
      </c>
      <c r="G341" s="160"/>
      <c r="H341" s="160"/>
      <c r="I341" s="160">
        <v>9.5936190000000003</v>
      </c>
      <c r="J341" s="160">
        <v>9.5094255000000008</v>
      </c>
      <c r="K341" s="160">
        <v>9.4734615000000009</v>
      </c>
      <c r="L341" s="160">
        <v>9.8932634999999998</v>
      </c>
      <c r="M341" s="160"/>
      <c r="N341" s="160"/>
      <c r="O341" s="160"/>
      <c r="P341" s="160"/>
    </row>
    <row r="342" spans="2:16">
      <c r="B342" s="352"/>
      <c r="C342" s="355"/>
      <c r="D342" s="355"/>
      <c r="E342" s="350"/>
      <c r="F342" t="s">
        <v>714</v>
      </c>
      <c r="G342" s="160"/>
      <c r="H342" s="160"/>
      <c r="I342" s="160">
        <v>10.5047625</v>
      </c>
      <c r="J342" s="160">
        <v>9.7154415000000007</v>
      </c>
      <c r="K342" s="160">
        <v>9.5817975000000004</v>
      </c>
      <c r="L342" s="160">
        <v>9.4903335000000002</v>
      </c>
      <c r="M342" s="160"/>
      <c r="N342" s="160"/>
      <c r="O342" s="160"/>
      <c r="P342" s="160"/>
    </row>
    <row r="343" spans="2:16" ht="16">
      <c r="B343" s="351" t="s">
        <v>716</v>
      </c>
      <c r="C343" s="354" t="s">
        <v>717</v>
      </c>
      <c r="D343" s="354"/>
      <c r="E343" s="357">
        <v>1</v>
      </c>
      <c r="F343" s="163" t="s">
        <v>715</v>
      </c>
      <c r="G343" s="160">
        <v>4.5411210000000004</v>
      </c>
      <c r="H343" s="160">
        <v>4.3208970000000004</v>
      </c>
      <c r="I343" s="160">
        <v>4.544562</v>
      </c>
      <c r="J343" s="160">
        <v>4.3823354999999999</v>
      </c>
      <c r="K343" s="160">
        <v>4.4514885000000008</v>
      </c>
      <c r="L343" s="160">
        <v>4.507377</v>
      </c>
      <c r="M343" s="160">
        <v>4.464753</v>
      </c>
      <c r="N343" s="160">
        <v>4.150512</v>
      </c>
      <c r="O343" s="160">
        <v>4.4140815</v>
      </c>
      <c r="P343" s="160">
        <v>3.3530880000000001</v>
      </c>
    </row>
    <row r="344" spans="2:16" ht="16">
      <c r="B344" s="352"/>
      <c r="C344" s="355"/>
      <c r="D344" s="355"/>
      <c r="E344" s="350"/>
      <c r="F344" s="162" t="s">
        <v>714</v>
      </c>
      <c r="G344" s="160">
        <v>4.3973205000000002</v>
      </c>
      <c r="H344" s="160">
        <v>4.4070885000000004</v>
      </c>
      <c r="I344" s="160">
        <v>4.755795</v>
      </c>
      <c r="J344" s="160">
        <v>4.4548740000000002</v>
      </c>
      <c r="K344" s="160">
        <v>4.2827684999999995</v>
      </c>
      <c r="L344" s="160">
        <v>4.5431190000000008</v>
      </c>
      <c r="M344" s="160">
        <v>4.5477255000000003</v>
      </c>
      <c r="N344" s="160">
        <v>4.3328850000000001</v>
      </c>
      <c r="O344" s="160">
        <v>4.5322965000000002</v>
      </c>
      <c r="P344" s="160">
        <v>4.6598355000000007</v>
      </c>
    </row>
    <row r="345" spans="2:16" ht="16">
      <c r="B345" s="352"/>
      <c r="C345" s="355"/>
      <c r="D345" s="355"/>
      <c r="E345" s="349">
        <v>3</v>
      </c>
      <c r="F345" s="162" t="s">
        <v>715</v>
      </c>
      <c r="G345" s="160">
        <v>3.7249935000000001</v>
      </c>
      <c r="H345" s="160">
        <v>3.5055465000000003</v>
      </c>
      <c r="I345" s="160">
        <v>3.6756540000000002</v>
      </c>
      <c r="J345" s="160">
        <v>3.4797390000000004</v>
      </c>
      <c r="K345" s="160">
        <v>3.4388910000000004</v>
      </c>
      <c r="L345" s="160">
        <v>3.6252045000000006</v>
      </c>
      <c r="M345" s="160">
        <v>3.6302550000000005</v>
      </c>
      <c r="N345" s="160">
        <v>3.4811265000000002</v>
      </c>
      <c r="O345" s="160">
        <v>3.6380805000000001</v>
      </c>
      <c r="P345" s="160">
        <v>3.7319865000000001</v>
      </c>
    </row>
    <row r="346" spans="2:16" ht="16">
      <c r="B346" s="352"/>
      <c r="C346" s="355"/>
      <c r="D346" s="355"/>
      <c r="E346" s="350"/>
      <c r="F346" s="162" t="s">
        <v>714</v>
      </c>
      <c r="G346" s="160">
        <v>3.8377140000000001</v>
      </c>
      <c r="H346" s="160">
        <v>3.624927</v>
      </c>
      <c r="I346" s="160">
        <v>3.9766305000000002</v>
      </c>
      <c r="J346" s="160">
        <v>3.5791949999999999</v>
      </c>
      <c r="K346" s="160">
        <v>3.6232620000000004</v>
      </c>
      <c r="L346" s="160">
        <v>3.9502125000000001</v>
      </c>
      <c r="M346" s="160">
        <v>3.8652975000000005</v>
      </c>
      <c r="N346" s="160">
        <v>3.4208535000000002</v>
      </c>
      <c r="O346" s="160">
        <v>3.8677950000000001</v>
      </c>
      <c r="P346" s="160">
        <v>3.9094755000000001</v>
      </c>
    </row>
    <row r="347" spans="2:16" ht="16">
      <c r="B347" s="352"/>
      <c r="C347" s="355"/>
      <c r="D347" s="355"/>
      <c r="E347" s="349">
        <v>5</v>
      </c>
      <c r="F347" s="161" t="s">
        <v>715</v>
      </c>
      <c r="G347" s="160">
        <v>4.4791829999999999</v>
      </c>
      <c r="H347" s="160">
        <v>4.4603130000000002</v>
      </c>
      <c r="I347" s="160">
        <v>4.4889510000000001</v>
      </c>
      <c r="J347" s="160">
        <v>4.4786835000000007</v>
      </c>
      <c r="K347" s="160">
        <v>4.5104850000000001</v>
      </c>
      <c r="L347" s="160">
        <v>4.3434854999999999</v>
      </c>
      <c r="M347" s="160">
        <v>4.3751204999999995</v>
      </c>
      <c r="N347" s="160">
        <v>4.3582485000000002</v>
      </c>
      <c r="O347" s="160">
        <v>4.3460385000000006</v>
      </c>
      <c r="P347" s="160">
        <v>4.436115</v>
      </c>
    </row>
    <row r="348" spans="2:16">
      <c r="B348" s="352"/>
      <c r="C348" s="355"/>
      <c r="D348" s="355"/>
      <c r="E348" s="350"/>
      <c r="F348" t="s">
        <v>714</v>
      </c>
      <c r="G348" s="160">
        <v>4.5331845</v>
      </c>
      <c r="H348" s="160">
        <v>4.4988855000000001</v>
      </c>
      <c r="I348" s="160">
        <v>4.4884515</v>
      </c>
      <c r="J348" s="160">
        <v>4.5646530000000007</v>
      </c>
      <c r="K348" s="160">
        <v>4.5664290000000003</v>
      </c>
      <c r="L348" s="160">
        <v>4.6102739999999995</v>
      </c>
      <c r="M348" s="160">
        <v>4.4579820000000003</v>
      </c>
      <c r="N348" s="160">
        <v>4.6878630000000001</v>
      </c>
      <c r="O348" s="160">
        <v>4.6017824999999997</v>
      </c>
      <c r="P348" s="160">
        <v>4.530132</v>
      </c>
    </row>
    <row r="349" spans="2:16">
      <c r="B349" s="352"/>
      <c r="C349" s="355"/>
      <c r="D349" s="355"/>
      <c r="E349" s="349">
        <v>7</v>
      </c>
      <c r="F349" t="s">
        <v>715</v>
      </c>
      <c r="G349" s="160">
        <v>4.4253480000000005</v>
      </c>
      <c r="H349" s="160">
        <v>4.3859985000000004</v>
      </c>
      <c r="I349" s="160">
        <v>4.3185105000000004</v>
      </c>
      <c r="J349" s="160">
        <v>4.3660740000000002</v>
      </c>
      <c r="K349" s="160">
        <v>4.4689155000000005</v>
      </c>
      <c r="L349" s="160">
        <v>4.3548629999999999</v>
      </c>
      <c r="M349" s="160">
        <v>4.214448</v>
      </c>
      <c r="N349" s="160">
        <v>4.3216739999999998</v>
      </c>
      <c r="O349" s="160">
        <v>4.2298214999999999</v>
      </c>
      <c r="P349" s="160">
        <v>4.5078765000000001</v>
      </c>
    </row>
    <row r="350" spans="2:16">
      <c r="B350" s="352"/>
      <c r="C350" s="355"/>
      <c r="D350" s="355"/>
      <c r="E350" s="350"/>
      <c r="F350" t="s">
        <v>714</v>
      </c>
      <c r="G350" s="160">
        <v>4.5919034999999999</v>
      </c>
      <c r="H350" s="160">
        <v>4.4998290000000001</v>
      </c>
      <c r="I350" s="160">
        <v>4.3700700000000001</v>
      </c>
      <c r="J350" s="160">
        <v>4.4018160000000002</v>
      </c>
      <c r="K350" s="160">
        <v>4.4887290000000002</v>
      </c>
      <c r="L350" s="160">
        <v>4.5277455</v>
      </c>
      <c r="M350" s="160">
        <v>4.2522434999999996</v>
      </c>
      <c r="N350" s="160">
        <v>4.2934800000000006</v>
      </c>
      <c r="O350" s="160">
        <v>4.372179</v>
      </c>
      <c r="P350" s="160">
        <v>4.4666399999999999</v>
      </c>
    </row>
    <row r="351" spans="2:16">
      <c r="B351" s="352"/>
      <c r="C351" s="355"/>
      <c r="D351" s="355"/>
      <c r="E351" s="349">
        <v>9</v>
      </c>
      <c r="F351" t="s">
        <v>715</v>
      </c>
      <c r="G351" s="160">
        <v>4.1893065000000007</v>
      </c>
      <c r="H351" s="160">
        <v>4.1573385000000007</v>
      </c>
      <c r="I351" s="160">
        <v>4.0982864999999995</v>
      </c>
      <c r="J351" s="160">
        <v>4.0853550000000007</v>
      </c>
      <c r="K351" s="160">
        <v>4.3551405000000001</v>
      </c>
      <c r="L351" s="160">
        <v>4.1642204999999999</v>
      </c>
      <c r="M351" s="160">
        <v>4.1536755000000003</v>
      </c>
      <c r="N351" s="160">
        <v>4.2091754999999997</v>
      </c>
      <c r="O351" s="160">
        <v>4.1555070000000001</v>
      </c>
      <c r="P351" s="160">
        <v>4.1880300000000004</v>
      </c>
    </row>
    <row r="352" spans="2:16">
      <c r="B352" s="352"/>
      <c r="C352" s="355"/>
      <c r="D352" s="355"/>
      <c r="E352" s="350"/>
      <c r="F352" t="s">
        <v>714</v>
      </c>
      <c r="G352" s="160">
        <v>4.4062004999999997</v>
      </c>
      <c r="H352" s="160">
        <v>4.184145</v>
      </c>
      <c r="I352" s="160">
        <v>4.2027929999999998</v>
      </c>
      <c r="J352" s="160">
        <v>4.2630660000000002</v>
      </c>
      <c r="K352" s="160">
        <v>4.425681</v>
      </c>
      <c r="L352" s="160">
        <v>4.2903719999999996</v>
      </c>
      <c r="M352" s="160">
        <v>4.2930359999999999</v>
      </c>
      <c r="N352" s="160">
        <v>4.2688934999999999</v>
      </c>
      <c r="O352" s="160">
        <v>4.2387570000000006</v>
      </c>
      <c r="P352" s="160">
        <v>4.3086315000000006</v>
      </c>
    </row>
    <row r="353" spans="2:16">
      <c r="B353" s="352"/>
      <c r="C353" s="355"/>
      <c r="D353" s="355"/>
      <c r="E353" s="349">
        <v>11</v>
      </c>
      <c r="F353" t="s">
        <v>715</v>
      </c>
      <c r="G353" s="160">
        <v>4.1025045000000002</v>
      </c>
      <c r="H353" s="160">
        <v>3.9673065000000003</v>
      </c>
      <c r="I353" s="160">
        <v>3.8759535000000001</v>
      </c>
      <c r="J353" s="160">
        <v>3.9317864999999999</v>
      </c>
      <c r="K353" s="160">
        <v>4.0781400000000003</v>
      </c>
      <c r="L353" s="160">
        <v>3.9228510000000005</v>
      </c>
      <c r="M353" s="160">
        <v>3.8531985</v>
      </c>
      <c r="N353" s="160">
        <v>3.900318</v>
      </c>
      <c r="O353" s="160">
        <v>3.8973765000000005</v>
      </c>
      <c r="P353" s="160">
        <v>3.9786840000000003</v>
      </c>
    </row>
    <row r="354" spans="2:16">
      <c r="B354" s="352"/>
      <c r="C354" s="355"/>
      <c r="D354" s="355"/>
      <c r="E354" s="350"/>
      <c r="F354" t="s">
        <v>714</v>
      </c>
      <c r="G354" s="160">
        <v>4.2055680000000004</v>
      </c>
      <c r="H354" s="160">
        <v>4.1042250000000005</v>
      </c>
      <c r="I354" s="160">
        <v>3.9835125000000002</v>
      </c>
      <c r="J354" s="160">
        <v>4.1029485000000001</v>
      </c>
      <c r="K354" s="160">
        <v>4.3014720000000004</v>
      </c>
      <c r="L354" s="160">
        <v>4.1162685000000003</v>
      </c>
      <c r="M354" s="160">
        <v>3.9562065000000004</v>
      </c>
      <c r="N354" s="160">
        <v>4.1051684999999996</v>
      </c>
      <c r="O354" s="160">
        <v>4.1046135000000001</v>
      </c>
      <c r="P354" s="160">
        <v>4.0754760000000001</v>
      </c>
    </row>
    <row r="355" spans="2:16">
      <c r="B355" s="352"/>
      <c r="C355" s="355"/>
      <c r="D355" s="355"/>
      <c r="E355" s="349">
        <v>13</v>
      </c>
      <c r="F355" t="s">
        <v>715</v>
      </c>
      <c r="G355" s="160">
        <v>4.0218629999999997</v>
      </c>
      <c r="H355" s="160">
        <v>3.9421650000000001</v>
      </c>
      <c r="I355" s="160">
        <v>3.8907720000000001</v>
      </c>
      <c r="J355" s="160">
        <v>4.0129830000000002</v>
      </c>
      <c r="K355" s="160">
        <v>4.0933469999999996</v>
      </c>
      <c r="L355" s="160">
        <v>4.0833570000000003</v>
      </c>
      <c r="M355" s="160">
        <v>3.7182780000000002</v>
      </c>
      <c r="N355" s="160">
        <v>3.8543085000000001</v>
      </c>
      <c r="O355" s="160"/>
      <c r="P355" s="160"/>
    </row>
    <row r="356" spans="2:16">
      <c r="B356" s="353"/>
      <c r="C356" s="356"/>
      <c r="D356" s="356"/>
      <c r="E356" s="350"/>
      <c r="F356" t="s">
        <v>714</v>
      </c>
      <c r="G356" s="160">
        <v>5.3290545000000007</v>
      </c>
      <c r="H356" s="160">
        <v>4.6444620000000008</v>
      </c>
      <c r="I356" s="160">
        <v>4.4726895000000004</v>
      </c>
      <c r="J356" s="160">
        <v>4.0257480000000001</v>
      </c>
      <c r="K356" s="160">
        <v>4.1058899999999996</v>
      </c>
      <c r="L356" s="160">
        <v>4.5062115</v>
      </c>
      <c r="M356" s="160">
        <v>4.8206745</v>
      </c>
      <c r="N356" s="160">
        <v>3.9119730000000001</v>
      </c>
      <c r="O356" s="160"/>
      <c r="P356" s="160"/>
    </row>
    <row r="357" spans="2:16" ht="16">
      <c r="B357" s="351" t="s">
        <v>716</v>
      </c>
      <c r="C357" s="354" t="s">
        <v>203</v>
      </c>
      <c r="D357" s="354"/>
      <c r="E357" s="349">
        <v>1</v>
      </c>
      <c r="F357" s="163" t="s">
        <v>715</v>
      </c>
      <c r="G357" s="160">
        <v>4.5066000000000006</v>
      </c>
      <c r="H357" s="160">
        <v>4.6668285000000003</v>
      </c>
      <c r="I357" s="160">
        <v>4.4197424999999999</v>
      </c>
      <c r="J357" s="160">
        <v>4.8979860000000004</v>
      </c>
      <c r="K357" s="160">
        <v>4.6458495000000006</v>
      </c>
      <c r="L357" s="160">
        <v>4.9181879999999998</v>
      </c>
      <c r="M357" s="160">
        <v>4.5484470000000004</v>
      </c>
      <c r="N357" s="160">
        <v>4.5644309999999999</v>
      </c>
      <c r="O357" s="160">
        <v>4.5105960000000005</v>
      </c>
      <c r="P357" s="160">
        <v>4.6409100000000008</v>
      </c>
    </row>
    <row r="358" spans="2:16" ht="16">
      <c r="B358" s="352"/>
      <c r="C358" s="355"/>
      <c r="D358" s="355"/>
      <c r="E358" s="350"/>
      <c r="F358" s="162" t="s">
        <v>714</v>
      </c>
      <c r="G358" s="160">
        <v>4.5151469999999998</v>
      </c>
      <c r="H358" s="160">
        <v>4.6944675</v>
      </c>
      <c r="I358" s="160">
        <v>4.4403329999999999</v>
      </c>
      <c r="J358" s="160">
        <v>5.6348595000000001</v>
      </c>
      <c r="K358" s="160">
        <v>4.7762190000000002</v>
      </c>
      <c r="L358" s="160"/>
      <c r="M358" s="160">
        <v>4.6454610000000001</v>
      </c>
      <c r="N358" s="160">
        <v>4.6389675000000006</v>
      </c>
      <c r="O358" s="160">
        <v>4.6134374999999999</v>
      </c>
      <c r="P358" s="160">
        <v>4.6546184999999998</v>
      </c>
    </row>
    <row r="359" spans="2:16" ht="16">
      <c r="B359" s="352"/>
      <c r="C359" s="355"/>
      <c r="D359" s="355"/>
      <c r="E359" s="349">
        <v>3</v>
      </c>
      <c r="F359" s="162" t="s">
        <v>715</v>
      </c>
      <c r="G359" s="160">
        <v>3.7106190000000003</v>
      </c>
      <c r="H359" s="160">
        <v>4.0298550000000004</v>
      </c>
      <c r="I359" s="160">
        <v>3.3748440000000004</v>
      </c>
      <c r="J359" s="160">
        <v>4.0651530000000005</v>
      </c>
      <c r="K359" s="160">
        <v>4.0342950000000002</v>
      </c>
      <c r="L359" s="160">
        <v>4.2688379999999997</v>
      </c>
      <c r="M359" s="160">
        <v>3.7953675000000002</v>
      </c>
      <c r="N359" s="160">
        <v>3.6450180000000003</v>
      </c>
      <c r="O359" s="160">
        <v>3.5556074999999998</v>
      </c>
      <c r="P359" s="160">
        <v>3.8018610000000002</v>
      </c>
    </row>
    <row r="360" spans="2:16" ht="16">
      <c r="B360" s="352"/>
      <c r="C360" s="355"/>
      <c r="D360" s="355"/>
      <c r="E360" s="350"/>
      <c r="F360" s="162" t="s">
        <v>714</v>
      </c>
      <c r="G360" s="160">
        <v>3.8877195000000002</v>
      </c>
      <c r="H360" s="160">
        <v>4.2076215000000001</v>
      </c>
      <c r="I360" s="160">
        <v>3.5099309999999999</v>
      </c>
      <c r="J360" s="160">
        <v>4.2062340000000003</v>
      </c>
      <c r="K360" s="160">
        <v>4.281714</v>
      </c>
      <c r="L360" s="160">
        <v>4.6122719999999999</v>
      </c>
      <c r="M360" s="160">
        <v>4.0853550000000007</v>
      </c>
      <c r="N360" s="160">
        <v>3.8247825</v>
      </c>
      <c r="O360" s="160">
        <v>4.0054905000000005</v>
      </c>
      <c r="P360" s="160">
        <v>3.9022605000000001</v>
      </c>
    </row>
    <row r="361" spans="2:16" ht="16">
      <c r="B361" s="352"/>
      <c r="C361" s="355"/>
      <c r="D361" s="355"/>
      <c r="E361" s="349">
        <v>5</v>
      </c>
      <c r="F361" s="161" t="s">
        <v>715</v>
      </c>
      <c r="G361" s="160">
        <v>4.3820024999999996</v>
      </c>
      <c r="H361" s="160">
        <v>4.5412319999999999</v>
      </c>
      <c r="I361" s="160">
        <v>4.3277235000000003</v>
      </c>
      <c r="J361" s="160">
        <v>4.4217405000000003</v>
      </c>
      <c r="K361" s="160">
        <v>4.642131</v>
      </c>
      <c r="L361" s="160">
        <v>4.5418980000000007</v>
      </c>
      <c r="M361" s="160">
        <v>4.4933355000000006</v>
      </c>
      <c r="N361" s="160">
        <v>4.3627440000000002</v>
      </c>
      <c r="O361" s="160">
        <v>4.6150469999999997</v>
      </c>
      <c r="P361" s="160">
        <v>4.4491019999999999</v>
      </c>
    </row>
    <row r="362" spans="2:16">
      <c r="B362" s="352"/>
      <c r="C362" s="355"/>
      <c r="D362" s="355"/>
      <c r="E362" s="350"/>
      <c r="F362" t="s">
        <v>714</v>
      </c>
      <c r="G362" s="160">
        <v>4.6277010000000001</v>
      </c>
      <c r="H362" s="160">
        <v>4.7016270000000002</v>
      </c>
      <c r="I362" s="160">
        <v>4.4477700000000002</v>
      </c>
      <c r="J362" s="160">
        <v>4.5795270000000006</v>
      </c>
      <c r="K362" s="160">
        <v>4.7453609999999999</v>
      </c>
      <c r="L362" s="160">
        <v>4.6702694999999999</v>
      </c>
      <c r="M362" s="160">
        <v>4.6723230000000004</v>
      </c>
      <c r="N362" s="160">
        <v>4.5029925000000004</v>
      </c>
      <c r="O362" s="160">
        <v>4.6754864999999999</v>
      </c>
      <c r="P362" s="160">
        <v>4.5825795000000005</v>
      </c>
    </row>
    <row r="363" spans="2:16">
      <c r="B363" s="352"/>
      <c r="C363" s="355"/>
      <c r="D363" s="355"/>
      <c r="E363" s="349">
        <v>7</v>
      </c>
      <c r="F363" t="s">
        <v>715</v>
      </c>
      <c r="G363" s="160">
        <v>4.5750870000000008</v>
      </c>
      <c r="H363" s="160">
        <v>4.7295435000000001</v>
      </c>
      <c r="I363" s="160">
        <v>4.6084425000000007</v>
      </c>
      <c r="J363" s="160">
        <v>4.4589255000000003</v>
      </c>
      <c r="K363" s="160">
        <v>4.7542965000000006</v>
      </c>
      <c r="L363" s="160">
        <v>4.5949559999999998</v>
      </c>
      <c r="M363" s="160">
        <v>4.6249815000000005</v>
      </c>
      <c r="N363" s="160">
        <v>4.5835785000000007</v>
      </c>
      <c r="O363" s="160">
        <v>4.5690375000000003</v>
      </c>
      <c r="P363" s="160">
        <v>4.6257585000000008</v>
      </c>
    </row>
    <row r="364" spans="2:16">
      <c r="B364" s="352"/>
      <c r="C364" s="355"/>
      <c r="D364" s="355"/>
      <c r="E364" s="350"/>
      <c r="F364" t="s">
        <v>714</v>
      </c>
      <c r="G364" s="160">
        <v>4.6656630000000003</v>
      </c>
      <c r="H364" s="160">
        <v>4.8347715000000004</v>
      </c>
      <c r="I364" s="160">
        <v>4.7242155000000006</v>
      </c>
      <c r="J364" s="160">
        <v>4.5697035000000001</v>
      </c>
      <c r="K364" s="160">
        <v>4.7527980000000003</v>
      </c>
      <c r="L364" s="160">
        <v>4.6526760000000005</v>
      </c>
      <c r="M364" s="160">
        <v>4.6930800000000001</v>
      </c>
      <c r="N364" s="160">
        <v>4.75413</v>
      </c>
      <c r="O364" s="160">
        <v>4.6623885000000005</v>
      </c>
      <c r="P364" s="160">
        <v>4.7116725000000006</v>
      </c>
    </row>
    <row r="365" spans="2:16">
      <c r="B365" s="352"/>
      <c r="C365" s="355"/>
      <c r="D365" s="355"/>
      <c r="E365" s="349">
        <v>9</v>
      </c>
      <c r="F365" t="s">
        <v>715</v>
      </c>
      <c r="G365" s="160">
        <v>4.7483025000000003</v>
      </c>
      <c r="H365" s="160">
        <v>4.9403325000000002</v>
      </c>
      <c r="I365" s="160">
        <v>4.729266</v>
      </c>
      <c r="J365" s="160">
        <v>4.6924695000000005</v>
      </c>
      <c r="K365" s="160">
        <v>5.0466705000000003</v>
      </c>
      <c r="L365" s="160">
        <v>4.7456940000000003</v>
      </c>
      <c r="M365" s="160">
        <v>4.9295655000000007</v>
      </c>
      <c r="N365" s="160">
        <v>4.7818800000000001</v>
      </c>
      <c r="O365" s="160">
        <v>5.0243039999999999</v>
      </c>
      <c r="P365" s="160">
        <v>4.8645750000000003</v>
      </c>
    </row>
    <row r="366" spans="2:16">
      <c r="B366" s="352"/>
      <c r="C366" s="355"/>
      <c r="D366" s="355"/>
      <c r="E366" s="350"/>
      <c r="F366" t="s">
        <v>714</v>
      </c>
      <c r="G366" s="160">
        <v>4.9394445000000005</v>
      </c>
      <c r="H366" s="160">
        <v>5.0980635000000003</v>
      </c>
      <c r="I366" s="160">
        <v>4.9055895000000005</v>
      </c>
      <c r="J366" s="160">
        <v>4.7614559999999999</v>
      </c>
      <c r="K366" s="160">
        <v>4.9104735000000002</v>
      </c>
      <c r="L366" s="160">
        <v>4.8388784999999999</v>
      </c>
      <c r="M366" s="160">
        <v>4.9721894999999998</v>
      </c>
      <c r="N366" s="160">
        <v>4.8469260000000007</v>
      </c>
      <c r="O366" s="160">
        <v>4.8790050000000003</v>
      </c>
      <c r="P366" s="160">
        <v>5.0038245000000003</v>
      </c>
    </row>
    <row r="367" spans="2:16">
      <c r="B367" s="352"/>
      <c r="C367" s="355"/>
      <c r="D367" s="355"/>
      <c r="E367" s="349">
        <v>11</v>
      </c>
      <c r="F367" t="s">
        <v>715</v>
      </c>
      <c r="G367" s="160">
        <v>4.754629500000001</v>
      </c>
      <c r="H367" s="160">
        <v>4.9424415000000002</v>
      </c>
      <c r="I367" s="160">
        <v>4.8442620000000005</v>
      </c>
      <c r="J367" s="160">
        <v>4.7139480000000002</v>
      </c>
      <c r="K367" s="160">
        <v>5.0410095000000004</v>
      </c>
      <c r="L367" s="160">
        <v>4.6658850000000003</v>
      </c>
      <c r="M367" s="160">
        <v>4.8619665000000003</v>
      </c>
      <c r="N367" s="160">
        <v>4.8948780000000003</v>
      </c>
      <c r="O367" s="160">
        <v>5.1515655000000002</v>
      </c>
      <c r="P367" s="160">
        <v>4.8725114999999999</v>
      </c>
    </row>
    <row r="368" spans="2:16">
      <c r="B368" s="352"/>
      <c r="C368" s="355"/>
      <c r="D368" s="355"/>
      <c r="E368" s="350"/>
      <c r="F368" t="s">
        <v>714</v>
      </c>
      <c r="G368" s="160">
        <v>4.9882844999999998</v>
      </c>
      <c r="H368" s="160">
        <v>5.0908484999999999</v>
      </c>
      <c r="I368" s="160">
        <v>5.0934015000000006</v>
      </c>
      <c r="J368" s="160">
        <v>4.8468150000000003</v>
      </c>
      <c r="K368" s="160">
        <v>5.0331285000000001</v>
      </c>
      <c r="L368" s="160">
        <v>4.8716790000000003</v>
      </c>
      <c r="M368" s="160">
        <v>5.0184765000000002</v>
      </c>
      <c r="N368" s="160">
        <v>5.0482245000000008</v>
      </c>
      <c r="O368" s="160">
        <v>5.0724780000000003</v>
      </c>
      <c r="P368" s="160">
        <v>4.9553175000000005</v>
      </c>
    </row>
    <row r="369" spans="2:16">
      <c r="B369" s="352"/>
      <c r="C369" s="355"/>
      <c r="D369" s="355"/>
      <c r="E369" s="349">
        <v>13</v>
      </c>
      <c r="F369" t="s">
        <v>715</v>
      </c>
      <c r="G369" s="160">
        <v>4.7480805000000004</v>
      </c>
      <c r="H369" s="160">
        <v>4.9607010000000002</v>
      </c>
      <c r="I369" s="160">
        <v>4.9257360000000006</v>
      </c>
      <c r="J369" s="160">
        <v>4.7583480000000007</v>
      </c>
      <c r="K369" s="160">
        <v>4.8364364999999996</v>
      </c>
      <c r="L369" s="160">
        <v>4.6881405000000003</v>
      </c>
      <c r="M369" s="160">
        <v>4.9012605000000002</v>
      </c>
      <c r="N369" s="160">
        <v>4.7481914999999999</v>
      </c>
      <c r="O369" s="160"/>
      <c r="P369" s="160"/>
    </row>
    <row r="370" spans="2:16">
      <c r="B370" s="352"/>
      <c r="C370" s="355"/>
      <c r="D370" s="355"/>
      <c r="E370" s="350"/>
      <c r="F370" t="s">
        <v>714</v>
      </c>
      <c r="G370" s="160">
        <v>8.7615630000000007</v>
      </c>
      <c r="H370" s="160">
        <v>5.7360360000000004</v>
      </c>
      <c r="I370" s="160">
        <v>5.4966645000000005</v>
      </c>
      <c r="J370" s="160">
        <v>5.3169000000000004</v>
      </c>
      <c r="K370" s="160">
        <v>5.2027365000000003</v>
      </c>
      <c r="L370" s="160">
        <v>5.0279670000000003</v>
      </c>
      <c r="M370" s="160">
        <v>4.8478140000000005</v>
      </c>
      <c r="N370" s="160">
        <v>5.0475585000000001</v>
      </c>
      <c r="O370" s="160"/>
      <c r="P370" s="160"/>
    </row>
    <row r="373" spans="2:16" ht="24">
      <c r="B373" s="168" t="s">
        <v>726</v>
      </c>
      <c r="C373" s="168"/>
      <c r="D373" s="168"/>
      <c r="E373" s="168"/>
      <c r="F373" s="168"/>
      <c r="G373" s="168"/>
      <c r="H373" s="168"/>
      <c r="I373" s="168"/>
      <c r="J373" s="168"/>
      <c r="K373" s="168"/>
      <c r="L373" s="168"/>
      <c r="M373" s="168"/>
      <c r="N373" s="168"/>
      <c r="O373" s="168"/>
      <c r="P373" s="168"/>
    </row>
    <row r="374" spans="2:16">
      <c r="B374" t="s">
        <v>725</v>
      </c>
    </row>
    <row r="375" spans="2:16">
      <c r="B375" s="167"/>
      <c r="C375" s="346" t="s">
        <v>724</v>
      </c>
      <c r="D375" s="346"/>
      <c r="E375" s="167"/>
      <c r="F375" s="167"/>
      <c r="G375" s="347" t="s">
        <v>723</v>
      </c>
      <c r="H375" s="347"/>
      <c r="I375" s="347"/>
      <c r="J375" s="347"/>
      <c r="K375" s="347"/>
      <c r="L375" s="347"/>
      <c r="M375" s="347"/>
      <c r="N375" s="347"/>
      <c r="O375" s="347"/>
      <c r="P375" s="347"/>
    </row>
    <row r="376" spans="2:16">
      <c r="B376" s="166" t="s">
        <v>722</v>
      </c>
      <c r="C376" s="348" t="s">
        <v>721</v>
      </c>
      <c r="D376" s="348"/>
      <c r="E376" s="166" t="s">
        <v>720</v>
      </c>
      <c r="F376" s="166" t="s">
        <v>719</v>
      </c>
      <c r="G376" s="165">
        <v>1</v>
      </c>
      <c r="H376" s="165">
        <v>2</v>
      </c>
      <c r="I376" s="165">
        <v>3</v>
      </c>
      <c r="J376" s="165">
        <v>4</v>
      </c>
      <c r="K376" s="165">
        <v>5</v>
      </c>
      <c r="L376" s="164">
        <v>6</v>
      </c>
      <c r="M376" s="164">
        <v>7</v>
      </c>
      <c r="N376" s="164">
        <v>8</v>
      </c>
      <c r="O376" s="164">
        <v>9</v>
      </c>
      <c r="P376" s="164">
        <v>10</v>
      </c>
    </row>
    <row r="377" spans="2:16" ht="16">
      <c r="B377" s="351" t="s">
        <v>716</v>
      </c>
      <c r="C377" s="354" t="s">
        <v>718</v>
      </c>
      <c r="D377" s="354"/>
      <c r="E377" s="357">
        <v>1</v>
      </c>
      <c r="F377" s="163" t="s">
        <v>715</v>
      </c>
      <c r="G377" s="160">
        <v>1.488</v>
      </c>
      <c r="H377" s="160">
        <v>1.62</v>
      </c>
      <c r="I377" s="160">
        <v>3.7619999999999996</v>
      </c>
      <c r="J377" s="160">
        <v>2.0099999999999998</v>
      </c>
      <c r="K377" s="160">
        <v>1.9079999999999999</v>
      </c>
      <c r="L377" s="160">
        <v>1.284</v>
      </c>
      <c r="M377" s="160"/>
      <c r="N377" s="160"/>
      <c r="O377" s="160"/>
      <c r="P377" s="160"/>
    </row>
    <row r="378" spans="2:16" ht="16">
      <c r="B378" s="352"/>
      <c r="C378" s="355"/>
      <c r="D378" s="355"/>
      <c r="E378" s="350"/>
      <c r="F378" s="162" t="s">
        <v>714</v>
      </c>
      <c r="G378" s="160">
        <v>1.512</v>
      </c>
      <c r="H378" s="160">
        <v>1.5960000000000001</v>
      </c>
      <c r="I378" s="160">
        <v>2.0219999999999998</v>
      </c>
      <c r="J378" s="160">
        <v>1.8959999999999999</v>
      </c>
      <c r="K378" s="160">
        <v>1.8119999999999998</v>
      </c>
      <c r="L378" s="160">
        <v>1.1579999999999999</v>
      </c>
      <c r="M378" s="160"/>
      <c r="N378" s="160"/>
      <c r="O378" s="160"/>
      <c r="P378" s="160"/>
    </row>
    <row r="379" spans="2:16" ht="16">
      <c r="B379" s="352"/>
      <c r="C379" s="355"/>
      <c r="D379" s="355"/>
      <c r="E379" s="349">
        <v>3</v>
      </c>
      <c r="F379" s="162" t="s">
        <v>715</v>
      </c>
      <c r="G379" s="160">
        <v>1.3094999999999999</v>
      </c>
      <c r="H379" s="160">
        <v>1.62</v>
      </c>
      <c r="I379" s="160">
        <v>2.0493000000000001</v>
      </c>
      <c r="J379" s="160">
        <v>2.0871000000000004</v>
      </c>
      <c r="K379" s="160">
        <v>1.9224000000000001</v>
      </c>
      <c r="L379" s="160">
        <v>1.4742000000000002</v>
      </c>
      <c r="M379" s="160"/>
      <c r="N379" s="160"/>
      <c r="O379" s="160"/>
      <c r="P379" s="160"/>
    </row>
    <row r="380" spans="2:16" ht="16">
      <c r="B380" s="352"/>
      <c r="C380" s="355"/>
      <c r="D380" s="355"/>
      <c r="E380" s="350"/>
      <c r="F380" s="162" t="s">
        <v>714</v>
      </c>
      <c r="G380" s="160">
        <v>1.3365000000000002</v>
      </c>
      <c r="H380" s="160">
        <v>1.3716000000000002</v>
      </c>
      <c r="I380" s="160">
        <v>2.0007000000000001</v>
      </c>
      <c r="J380" s="160">
        <v>2.0601000000000003</v>
      </c>
      <c r="K380" s="160">
        <v>1.6605000000000003</v>
      </c>
      <c r="L380" s="160">
        <v>1.2744</v>
      </c>
      <c r="M380" s="160"/>
      <c r="N380" s="160"/>
      <c r="O380" s="160"/>
      <c r="P380" s="160"/>
    </row>
    <row r="381" spans="2:16" ht="16">
      <c r="B381" s="352"/>
      <c r="C381" s="355"/>
      <c r="D381" s="355"/>
      <c r="E381" s="349">
        <v>5</v>
      </c>
      <c r="F381" s="161" t="s">
        <v>715</v>
      </c>
      <c r="G381" s="160">
        <v>0.40200000000000002</v>
      </c>
      <c r="H381" s="160">
        <v>1.6889999999999998</v>
      </c>
      <c r="I381" s="160">
        <v>2.4510000000000001</v>
      </c>
      <c r="J381" s="160">
        <v>2.5169999999999999</v>
      </c>
      <c r="K381" s="160">
        <v>2.097</v>
      </c>
      <c r="L381" s="160">
        <v>1.788</v>
      </c>
      <c r="M381" s="160"/>
      <c r="N381" s="160"/>
      <c r="O381" s="160"/>
      <c r="P381" s="160"/>
    </row>
    <row r="382" spans="2:16">
      <c r="B382" s="352"/>
      <c r="C382" s="355"/>
      <c r="D382" s="355"/>
      <c r="E382" s="350"/>
      <c r="F382" t="s">
        <v>714</v>
      </c>
      <c r="G382" s="160">
        <v>1.4970000000000001</v>
      </c>
      <c r="H382" s="160">
        <v>8.2409999999999997</v>
      </c>
      <c r="I382" s="160">
        <v>2.0819999999999999</v>
      </c>
      <c r="J382" s="160">
        <v>1.8599999999999999</v>
      </c>
      <c r="K382" s="160">
        <v>1.9409999999999998</v>
      </c>
      <c r="L382" s="160">
        <v>1.476</v>
      </c>
      <c r="M382" s="160"/>
      <c r="N382" s="160"/>
      <c r="O382" s="160"/>
      <c r="P382" s="160"/>
    </row>
    <row r="383" spans="2:16">
      <c r="B383" s="352"/>
      <c r="C383" s="355"/>
      <c r="D383" s="355"/>
      <c r="E383" s="349">
        <v>7</v>
      </c>
      <c r="F383" t="s">
        <v>715</v>
      </c>
      <c r="G383" s="160">
        <v>3.03</v>
      </c>
      <c r="H383" s="160">
        <v>2.1419999999999999</v>
      </c>
      <c r="I383" s="160">
        <v>2.9460000000000002</v>
      </c>
      <c r="J383" s="160">
        <v>2.94</v>
      </c>
      <c r="K383" s="160">
        <v>2.3159999999999998</v>
      </c>
      <c r="L383" s="160">
        <v>1.9919999999999998</v>
      </c>
      <c r="M383" s="160"/>
      <c r="N383" s="160"/>
      <c r="O383" s="160"/>
      <c r="P383" s="160"/>
    </row>
    <row r="384" spans="2:16">
      <c r="B384" s="352"/>
      <c r="C384" s="355"/>
      <c r="D384" s="355"/>
      <c r="E384" s="350"/>
      <c r="F384" t="s">
        <v>714</v>
      </c>
      <c r="G384" s="160">
        <v>1.4549999999999998</v>
      </c>
      <c r="H384" s="160">
        <v>1.9679999999999997</v>
      </c>
      <c r="I384" s="160">
        <v>2.6670000000000003</v>
      </c>
      <c r="J384" s="160">
        <v>2.718</v>
      </c>
      <c r="K384" s="160">
        <v>2.298</v>
      </c>
      <c r="L384" s="160">
        <v>1.8929999999999998</v>
      </c>
      <c r="M384" s="160"/>
      <c r="N384" s="160"/>
      <c r="O384" s="160"/>
      <c r="P384" s="160"/>
    </row>
    <row r="385" spans="2:16">
      <c r="B385" s="352"/>
      <c r="C385" s="355"/>
      <c r="D385" s="355"/>
      <c r="E385" s="349">
        <v>9</v>
      </c>
      <c r="F385" t="s">
        <v>715</v>
      </c>
      <c r="G385" s="160">
        <v>2.5799999999999996</v>
      </c>
      <c r="H385" s="160">
        <v>2.7450000000000001</v>
      </c>
      <c r="I385" s="160">
        <v>3.7709999999999999</v>
      </c>
      <c r="J385" s="160">
        <v>3.7559999999999998</v>
      </c>
      <c r="K385" s="160">
        <v>2.8140000000000001</v>
      </c>
      <c r="L385" s="160">
        <v>2.9489999999999998</v>
      </c>
      <c r="M385" s="160"/>
      <c r="N385" s="160"/>
      <c r="O385" s="160"/>
      <c r="P385" s="160"/>
    </row>
    <row r="386" spans="2:16">
      <c r="B386" s="352"/>
      <c r="C386" s="355"/>
      <c r="D386" s="355"/>
      <c r="E386" s="350"/>
      <c r="F386" t="s">
        <v>714</v>
      </c>
      <c r="G386" s="160">
        <v>2.3609999999999998</v>
      </c>
      <c r="H386" s="160">
        <v>2.2709999999999999</v>
      </c>
      <c r="I386" s="160">
        <v>3.3450000000000002</v>
      </c>
      <c r="J386" s="160">
        <v>3.1019999999999999</v>
      </c>
      <c r="K386" s="160">
        <v>2.952</v>
      </c>
      <c r="L386" s="160">
        <v>2.2080000000000002</v>
      </c>
      <c r="M386" s="160"/>
      <c r="N386" s="160"/>
      <c r="O386" s="160"/>
      <c r="P386" s="160"/>
    </row>
    <row r="387" spans="2:16">
      <c r="B387" s="352"/>
      <c r="C387" s="355"/>
      <c r="D387" s="355"/>
      <c r="E387" s="349">
        <v>11</v>
      </c>
      <c r="F387" t="s">
        <v>715</v>
      </c>
      <c r="G387" s="160">
        <v>2.8650000000000002</v>
      </c>
      <c r="H387" s="160">
        <v>3.1920000000000002</v>
      </c>
      <c r="I387" s="160">
        <v>4.923</v>
      </c>
      <c r="J387" s="160">
        <v>4.5449999999999999</v>
      </c>
      <c r="K387" s="160">
        <v>3.5549999999999997</v>
      </c>
      <c r="L387" s="160">
        <v>3.3839999999999999</v>
      </c>
      <c r="M387" s="160"/>
      <c r="N387" s="160"/>
      <c r="O387" s="160"/>
      <c r="P387" s="160"/>
    </row>
    <row r="388" spans="2:16">
      <c r="B388" s="352"/>
      <c r="C388" s="355"/>
      <c r="D388" s="355"/>
      <c r="E388" s="350"/>
      <c r="F388" t="s">
        <v>714</v>
      </c>
      <c r="G388" s="160">
        <v>2.8589999999999995</v>
      </c>
      <c r="H388" s="160">
        <v>2.7869999999999995</v>
      </c>
      <c r="I388" s="160">
        <v>4.3380000000000001</v>
      </c>
      <c r="J388" s="160">
        <v>3.9299999999999997</v>
      </c>
      <c r="K388" s="160">
        <v>3.0660000000000003</v>
      </c>
      <c r="L388" s="160">
        <v>2.8349999999999995</v>
      </c>
      <c r="M388" s="160"/>
      <c r="N388" s="160"/>
      <c r="O388" s="160"/>
      <c r="P388" s="160"/>
    </row>
    <row r="389" spans="2:16">
      <c r="B389" s="352"/>
      <c r="C389" s="355"/>
      <c r="D389" s="355"/>
      <c r="E389" s="349">
        <v>13</v>
      </c>
      <c r="F389" t="s">
        <v>715</v>
      </c>
      <c r="G389" s="160">
        <v>7.9469999999999992</v>
      </c>
      <c r="H389" s="160">
        <v>3.7709999999999999</v>
      </c>
      <c r="I389" s="160">
        <v>4.173</v>
      </c>
      <c r="J389" s="160">
        <v>4.2869999999999999</v>
      </c>
      <c r="K389" s="160">
        <v>3.996</v>
      </c>
      <c r="L389" s="160">
        <v>3.4859999999999998</v>
      </c>
      <c r="M389" s="160"/>
      <c r="N389" s="160"/>
      <c r="O389" s="160"/>
      <c r="P389" s="160"/>
    </row>
    <row r="390" spans="2:16">
      <c r="B390" s="353"/>
      <c r="C390" s="356"/>
      <c r="D390" s="356"/>
      <c r="E390" s="350"/>
      <c r="F390" t="s">
        <v>714</v>
      </c>
      <c r="G390" s="160">
        <v>7.0049999999999999</v>
      </c>
      <c r="H390" s="160">
        <v>3.2490000000000001</v>
      </c>
      <c r="I390" s="160">
        <v>3.774</v>
      </c>
      <c r="J390" s="160">
        <v>3.3359999999999999</v>
      </c>
      <c r="K390" s="160">
        <v>3.129</v>
      </c>
      <c r="L390" s="160">
        <v>2.7809999999999997</v>
      </c>
      <c r="M390" s="160"/>
      <c r="N390" s="160"/>
      <c r="O390" s="160"/>
      <c r="P390" s="160"/>
    </row>
    <row r="391" spans="2:16" ht="16">
      <c r="B391" s="351" t="s">
        <v>716</v>
      </c>
      <c r="C391" s="354" t="s">
        <v>226</v>
      </c>
      <c r="D391" s="354"/>
      <c r="E391" s="349">
        <v>1</v>
      </c>
      <c r="F391" s="163" t="s">
        <v>715</v>
      </c>
      <c r="G391" s="160">
        <v>2.2559999999999998</v>
      </c>
      <c r="H391" s="160">
        <v>2.2320000000000002</v>
      </c>
      <c r="I391" s="160">
        <v>1.944</v>
      </c>
      <c r="J391" s="160">
        <v>2.5920000000000001</v>
      </c>
      <c r="K391" s="160">
        <v>2.6339999999999999</v>
      </c>
      <c r="L391" s="160">
        <v>1.9799999999999998</v>
      </c>
      <c r="M391" s="160"/>
      <c r="N391" s="160"/>
      <c r="O391" s="160"/>
      <c r="P391" s="160"/>
    </row>
    <row r="392" spans="2:16" ht="16">
      <c r="B392" s="352"/>
      <c r="C392" s="355"/>
      <c r="D392" s="355"/>
      <c r="E392" s="350"/>
      <c r="F392" s="162" t="s">
        <v>714</v>
      </c>
      <c r="G392" s="160">
        <v>2.13</v>
      </c>
      <c r="H392" s="160">
        <v>2.25</v>
      </c>
      <c r="I392" s="160">
        <v>2.0640000000000001</v>
      </c>
      <c r="J392" s="160">
        <v>2.6039999999999996</v>
      </c>
      <c r="K392" s="160">
        <v>2.5259999999999998</v>
      </c>
      <c r="L392" s="160">
        <v>2.1240000000000001</v>
      </c>
      <c r="M392" s="160"/>
      <c r="N392" s="160"/>
      <c r="O392" s="160"/>
      <c r="P392" s="160"/>
    </row>
    <row r="393" spans="2:16" ht="16">
      <c r="B393" s="352"/>
      <c r="C393" s="355"/>
      <c r="D393" s="355"/>
      <c r="E393" s="349">
        <v>3</v>
      </c>
      <c r="F393" s="162" t="s">
        <v>715</v>
      </c>
      <c r="G393" s="160">
        <v>3.9312000000000005</v>
      </c>
      <c r="H393" s="160">
        <v>3.9636</v>
      </c>
      <c r="I393" s="160">
        <v>3.1941000000000002</v>
      </c>
      <c r="J393" s="160">
        <v>4.9194000000000004</v>
      </c>
      <c r="K393" s="160">
        <v>6.6609000000000007</v>
      </c>
      <c r="L393" s="160">
        <v>3.9177000000000004</v>
      </c>
      <c r="M393" s="160"/>
      <c r="N393" s="160"/>
      <c r="O393" s="160"/>
      <c r="P393" s="160"/>
    </row>
    <row r="394" spans="2:16" ht="16">
      <c r="B394" s="352"/>
      <c r="C394" s="355"/>
      <c r="D394" s="355"/>
      <c r="E394" s="350"/>
      <c r="F394" s="162" t="s">
        <v>714</v>
      </c>
      <c r="G394" s="160">
        <v>3.5207999999999999</v>
      </c>
      <c r="H394" s="160">
        <v>3.3696000000000002</v>
      </c>
      <c r="I394" s="160">
        <v>2.7918000000000003</v>
      </c>
      <c r="J394" s="160">
        <v>4.5846</v>
      </c>
      <c r="K394" s="160">
        <v>6.4368000000000007</v>
      </c>
      <c r="L394" s="160">
        <v>3.4452000000000003</v>
      </c>
      <c r="M394" s="160"/>
      <c r="N394" s="160"/>
      <c r="O394" s="160"/>
      <c r="P394" s="160"/>
    </row>
    <row r="395" spans="2:16" ht="16">
      <c r="B395" s="352"/>
      <c r="C395" s="355"/>
      <c r="D395" s="355"/>
      <c r="E395" s="349">
        <v>5</v>
      </c>
      <c r="F395" s="161" t="s">
        <v>715</v>
      </c>
      <c r="G395" s="160">
        <v>4.3079999999999998</v>
      </c>
      <c r="H395" s="160">
        <v>4.5569999999999995</v>
      </c>
      <c r="I395" s="160">
        <v>2.9910000000000001</v>
      </c>
      <c r="J395" s="160">
        <v>5.4809999999999999</v>
      </c>
      <c r="K395" s="160">
        <v>7.6709999999999994</v>
      </c>
      <c r="L395" s="160">
        <v>4.2210000000000001</v>
      </c>
      <c r="M395" s="160"/>
      <c r="N395" s="160"/>
      <c r="O395" s="160"/>
      <c r="P395" s="160"/>
    </row>
    <row r="396" spans="2:16">
      <c r="B396" s="352"/>
      <c r="C396" s="355"/>
      <c r="D396" s="355"/>
      <c r="E396" s="350"/>
      <c r="F396" t="s">
        <v>714</v>
      </c>
      <c r="G396" s="160">
        <v>4.1520000000000001</v>
      </c>
      <c r="H396" s="160">
        <v>1.1459999999999999</v>
      </c>
      <c r="I396" s="160">
        <v>2.919</v>
      </c>
      <c r="J396" s="160">
        <v>5.2860000000000005</v>
      </c>
      <c r="K396" s="160">
        <v>6.6929999999999996</v>
      </c>
      <c r="L396" s="160">
        <v>4.0650000000000004</v>
      </c>
      <c r="M396" s="160"/>
      <c r="N396" s="160"/>
      <c r="O396" s="160"/>
      <c r="P396" s="160"/>
    </row>
    <row r="397" spans="2:16">
      <c r="B397" s="352"/>
      <c r="C397" s="355"/>
      <c r="D397" s="355"/>
      <c r="E397" s="349">
        <v>7</v>
      </c>
      <c r="F397" t="s">
        <v>715</v>
      </c>
      <c r="G397" s="160">
        <v>4.1789999999999994</v>
      </c>
      <c r="H397" s="160">
        <v>4.173</v>
      </c>
      <c r="I397" s="160">
        <v>3.1890000000000001</v>
      </c>
      <c r="J397" s="160">
        <v>5.3699999999999992</v>
      </c>
      <c r="K397" s="160">
        <v>8.3369999999999997</v>
      </c>
      <c r="L397" s="160">
        <v>4.1819999999999995</v>
      </c>
      <c r="M397" s="160"/>
      <c r="N397" s="160"/>
      <c r="O397" s="160"/>
      <c r="P397" s="160"/>
    </row>
    <row r="398" spans="2:16">
      <c r="B398" s="352"/>
      <c r="C398" s="355"/>
      <c r="D398" s="355"/>
      <c r="E398" s="350"/>
      <c r="F398" t="s">
        <v>714</v>
      </c>
      <c r="G398" s="160">
        <v>3.327</v>
      </c>
      <c r="H398" s="160">
        <v>3.2010000000000001</v>
      </c>
      <c r="I398" s="160">
        <v>2.6430000000000002</v>
      </c>
      <c r="J398" s="160">
        <v>4.26</v>
      </c>
      <c r="K398" s="160">
        <v>6.33</v>
      </c>
      <c r="L398" s="160">
        <v>3.1829999999999998</v>
      </c>
      <c r="M398" s="160"/>
      <c r="N398" s="160"/>
      <c r="O398" s="160"/>
      <c r="P398" s="160"/>
    </row>
    <row r="399" spans="2:16">
      <c r="B399" s="352"/>
      <c r="C399" s="355"/>
      <c r="D399" s="355"/>
      <c r="E399" s="349">
        <v>9</v>
      </c>
      <c r="F399" t="s">
        <v>715</v>
      </c>
      <c r="G399" s="160"/>
      <c r="H399" s="160">
        <v>4.6230000000000002</v>
      </c>
      <c r="I399" s="160">
        <v>3.4109999999999996</v>
      </c>
      <c r="J399" s="160">
        <v>6.2760000000000007</v>
      </c>
      <c r="K399" s="160">
        <v>7.0979999999999999</v>
      </c>
      <c r="L399" s="160">
        <v>4.9530000000000003</v>
      </c>
      <c r="M399" s="160"/>
      <c r="N399" s="160"/>
      <c r="O399" s="160"/>
      <c r="P399" s="160"/>
    </row>
    <row r="400" spans="2:16">
      <c r="B400" s="352"/>
      <c r="C400" s="355"/>
      <c r="D400" s="355"/>
      <c r="E400" s="350"/>
      <c r="F400" t="s">
        <v>714</v>
      </c>
      <c r="G400" s="160">
        <v>3.2519999999999998</v>
      </c>
      <c r="H400" s="160">
        <v>5.4269999999999996</v>
      </c>
      <c r="I400" s="160">
        <v>4.1099999999999994</v>
      </c>
      <c r="J400" s="160">
        <v>4.3049999999999997</v>
      </c>
      <c r="K400" s="160">
        <v>5.9669999999999996</v>
      </c>
      <c r="L400" s="160">
        <v>4.4669999999999996</v>
      </c>
      <c r="M400" s="160"/>
      <c r="N400" s="160"/>
      <c r="O400" s="160"/>
      <c r="P400" s="160"/>
    </row>
    <row r="401" spans="2:16">
      <c r="B401" s="352"/>
      <c r="C401" s="355"/>
      <c r="D401" s="355"/>
      <c r="E401" s="349">
        <v>11</v>
      </c>
      <c r="F401" t="s">
        <v>715</v>
      </c>
      <c r="G401" s="160">
        <v>6.45</v>
      </c>
      <c r="H401" s="160">
        <v>6.327</v>
      </c>
      <c r="I401" s="160">
        <v>4.806</v>
      </c>
      <c r="J401" s="160">
        <v>8.2650000000000006</v>
      </c>
      <c r="K401" s="160">
        <v>8.7959999999999994</v>
      </c>
      <c r="L401" s="160">
        <v>6.3809999999999993</v>
      </c>
      <c r="M401" s="160"/>
      <c r="N401" s="160"/>
      <c r="O401" s="160"/>
      <c r="P401" s="160"/>
    </row>
    <row r="402" spans="2:16">
      <c r="B402" s="352"/>
      <c r="C402" s="355"/>
      <c r="D402" s="355"/>
      <c r="E402" s="350"/>
      <c r="F402" t="s">
        <v>714</v>
      </c>
      <c r="G402" s="160">
        <v>6.306</v>
      </c>
      <c r="H402" s="160">
        <v>6.27</v>
      </c>
      <c r="I402" s="160">
        <v>4.7969999999999997</v>
      </c>
      <c r="J402" s="160">
        <v>7.4039999999999999</v>
      </c>
      <c r="K402" s="160">
        <v>8.2170000000000005</v>
      </c>
      <c r="L402" s="160">
        <v>5.7869999999999999</v>
      </c>
      <c r="M402" s="160"/>
      <c r="N402" s="160"/>
      <c r="O402" s="160"/>
      <c r="P402" s="160"/>
    </row>
    <row r="403" spans="2:16">
      <c r="B403" s="352"/>
      <c r="C403" s="355"/>
      <c r="D403" s="355"/>
      <c r="E403" s="349">
        <v>13</v>
      </c>
      <c r="F403" t="s">
        <v>715</v>
      </c>
      <c r="G403" s="160">
        <v>7.2629999999999999</v>
      </c>
      <c r="H403" s="160">
        <v>7.0110000000000001</v>
      </c>
      <c r="I403" s="160">
        <v>5.4089999999999998</v>
      </c>
      <c r="J403" s="160">
        <v>8.6010000000000009</v>
      </c>
      <c r="K403" s="160">
        <v>9.0630000000000006</v>
      </c>
      <c r="L403" s="160">
        <v>3.3539999999999996</v>
      </c>
      <c r="M403" s="160"/>
      <c r="N403" s="160"/>
      <c r="O403" s="160"/>
      <c r="P403" s="160"/>
    </row>
    <row r="404" spans="2:16">
      <c r="B404" s="352"/>
      <c r="C404" s="355"/>
      <c r="D404" s="355"/>
      <c r="E404" s="350"/>
      <c r="F404" t="s">
        <v>714</v>
      </c>
      <c r="G404" s="160">
        <v>2.8679999999999999</v>
      </c>
      <c r="H404" s="160">
        <v>7.1789999999999994</v>
      </c>
      <c r="I404" s="160">
        <v>6.5670000000000002</v>
      </c>
      <c r="J404" s="160">
        <v>4.29</v>
      </c>
      <c r="K404" s="160">
        <v>7.7939999999999996</v>
      </c>
      <c r="L404" s="160">
        <v>8.4870000000000001</v>
      </c>
      <c r="M404" s="160"/>
      <c r="N404" s="160"/>
      <c r="O404" s="160"/>
      <c r="P404" s="160"/>
    </row>
    <row r="405" spans="2:16" ht="16">
      <c r="B405" s="351" t="s">
        <v>716</v>
      </c>
      <c r="C405" s="354" t="s">
        <v>717</v>
      </c>
      <c r="D405" s="354"/>
      <c r="E405" s="357">
        <v>1</v>
      </c>
      <c r="F405" s="163" t="s">
        <v>715</v>
      </c>
      <c r="G405" s="160">
        <v>1.77</v>
      </c>
      <c r="H405" s="160">
        <v>1.764</v>
      </c>
      <c r="I405" s="160">
        <v>1.6739999999999999</v>
      </c>
      <c r="J405" s="160">
        <v>1.782</v>
      </c>
      <c r="K405" s="160">
        <v>0.91799999999999993</v>
      </c>
      <c r="L405" s="160">
        <v>1.6139999999999999</v>
      </c>
      <c r="M405" s="160">
        <v>1.05</v>
      </c>
      <c r="N405" s="160">
        <v>2.13</v>
      </c>
      <c r="O405" s="160">
        <v>1.3559999999999999</v>
      </c>
      <c r="P405" s="160">
        <v>1.1339999999999999</v>
      </c>
    </row>
    <row r="406" spans="2:16" ht="16">
      <c r="B406" s="352"/>
      <c r="C406" s="355"/>
      <c r="D406" s="355"/>
      <c r="E406" s="350"/>
      <c r="F406" s="162" t="s">
        <v>714</v>
      </c>
      <c r="G406" s="160"/>
      <c r="H406" s="160">
        <v>1.548</v>
      </c>
      <c r="I406" s="160">
        <v>1.6559999999999999</v>
      </c>
      <c r="J406" s="160">
        <v>1.6440000000000001</v>
      </c>
      <c r="K406" s="160">
        <v>1.9079999999999999</v>
      </c>
      <c r="L406" s="160">
        <v>1.548</v>
      </c>
      <c r="M406" s="160">
        <v>1.3619999999999999</v>
      </c>
      <c r="N406" s="160">
        <v>2.0099999999999998</v>
      </c>
      <c r="O406" s="160">
        <v>1.458</v>
      </c>
      <c r="P406" s="160">
        <v>1.1339999999999999</v>
      </c>
    </row>
    <row r="407" spans="2:16" ht="16">
      <c r="B407" s="352"/>
      <c r="C407" s="355"/>
      <c r="D407" s="355"/>
      <c r="E407" s="349">
        <v>3</v>
      </c>
      <c r="F407" s="162" t="s">
        <v>715</v>
      </c>
      <c r="G407" s="160">
        <v>1.4337</v>
      </c>
      <c r="H407" s="160">
        <v>1.5363000000000002</v>
      </c>
      <c r="I407" s="160">
        <v>1.5066000000000002</v>
      </c>
      <c r="J407" s="160">
        <v>1.8954</v>
      </c>
      <c r="K407" s="160">
        <v>1.5201</v>
      </c>
      <c r="L407" s="160">
        <v>1.5849000000000002</v>
      </c>
      <c r="M407" s="160">
        <v>1.4715000000000003</v>
      </c>
      <c r="N407" s="160">
        <v>1.8494999999999999</v>
      </c>
      <c r="O407" s="160">
        <v>1.4715000000000003</v>
      </c>
      <c r="P407" s="160">
        <v>1.1853</v>
      </c>
    </row>
    <row r="408" spans="2:16" ht="16">
      <c r="B408" s="352"/>
      <c r="C408" s="355"/>
      <c r="D408" s="355"/>
      <c r="E408" s="350"/>
      <c r="F408" s="162" t="s">
        <v>714</v>
      </c>
      <c r="G408" s="160">
        <v>1.5282000000000002</v>
      </c>
      <c r="H408" s="160">
        <v>1.3877999999999999</v>
      </c>
      <c r="I408" s="160">
        <v>1.5417000000000001</v>
      </c>
      <c r="J408" s="160">
        <v>1.6092000000000002</v>
      </c>
      <c r="K408" s="160">
        <v>1.5390000000000001</v>
      </c>
      <c r="L408" s="160">
        <v>1.3608</v>
      </c>
      <c r="M408" s="160">
        <v>1.4391</v>
      </c>
      <c r="N408" s="160">
        <v>1.6821000000000002</v>
      </c>
      <c r="O408" s="160">
        <v>1.3419000000000001</v>
      </c>
      <c r="P408" s="160">
        <v>1.2069000000000001</v>
      </c>
    </row>
    <row r="409" spans="2:16" ht="16">
      <c r="B409" s="352"/>
      <c r="C409" s="355"/>
      <c r="D409" s="355"/>
      <c r="E409" s="349">
        <v>5</v>
      </c>
      <c r="F409" s="161" t="s">
        <v>715</v>
      </c>
      <c r="G409" s="160">
        <v>1.5419999999999998</v>
      </c>
      <c r="H409" s="160">
        <v>1.4490000000000001</v>
      </c>
      <c r="I409" s="160">
        <v>1.722</v>
      </c>
      <c r="J409" s="160">
        <v>1.7489999999999999</v>
      </c>
      <c r="K409" s="160">
        <v>1.6139999999999999</v>
      </c>
      <c r="L409" s="160">
        <v>1.5299999999999998</v>
      </c>
      <c r="M409" s="160">
        <v>1.6259999999999999</v>
      </c>
      <c r="N409" s="160">
        <v>1.7789999999999999</v>
      </c>
      <c r="O409" s="160">
        <v>1.482</v>
      </c>
      <c r="P409" s="160">
        <v>1.5509999999999999</v>
      </c>
    </row>
    <row r="410" spans="2:16">
      <c r="B410" s="352"/>
      <c r="C410" s="355"/>
      <c r="D410" s="355"/>
      <c r="E410" s="350"/>
      <c r="F410" t="s">
        <v>714</v>
      </c>
      <c r="G410" s="160">
        <v>1.5570000000000002</v>
      </c>
      <c r="H410" s="160">
        <v>1.44</v>
      </c>
      <c r="I410" s="160">
        <v>1.7009999999999998</v>
      </c>
      <c r="J410" s="160">
        <v>1.671</v>
      </c>
      <c r="K410" s="160">
        <v>1.248</v>
      </c>
      <c r="L410" s="160">
        <v>1.5450000000000002</v>
      </c>
      <c r="M410" s="160">
        <v>1.5539999999999998</v>
      </c>
      <c r="N410" s="160">
        <v>1.671</v>
      </c>
      <c r="O410" s="160">
        <v>1.365</v>
      </c>
      <c r="P410" s="160">
        <v>1.5</v>
      </c>
    </row>
    <row r="411" spans="2:16">
      <c r="B411" s="352"/>
      <c r="C411" s="355"/>
      <c r="D411" s="355"/>
      <c r="E411" s="349">
        <v>7</v>
      </c>
      <c r="F411" t="s">
        <v>715</v>
      </c>
      <c r="G411" s="160">
        <v>1.6830000000000001</v>
      </c>
      <c r="H411" s="160">
        <v>1.635</v>
      </c>
      <c r="I411" s="160">
        <v>2.04</v>
      </c>
      <c r="J411" s="160">
        <v>1.8299999999999998</v>
      </c>
      <c r="K411" s="160">
        <v>1.548</v>
      </c>
      <c r="L411" s="160">
        <v>1.5690000000000002</v>
      </c>
      <c r="M411" s="160">
        <v>1.8719999999999999</v>
      </c>
      <c r="N411" s="160">
        <v>1.8659999999999999</v>
      </c>
      <c r="O411" s="160">
        <v>2.0190000000000001</v>
      </c>
      <c r="P411" s="160">
        <v>1.7909999999999999</v>
      </c>
    </row>
    <row r="412" spans="2:16">
      <c r="B412" s="352"/>
      <c r="C412" s="355"/>
      <c r="D412" s="355"/>
      <c r="E412" s="350"/>
      <c r="F412" t="s">
        <v>714</v>
      </c>
      <c r="G412" s="160">
        <v>1.329</v>
      </c>
      <c r="H412" s="160">
        <v>1.1910000000000001</v>
      </c>
      <c r="I412" s="160">
        <v>1.5</v>
      </c>
      <c r="J412" s="160">
        <v>1.5779999999999998</v>
      </c>
      <c r="K412" s="160">
        <v>1.1759999999999999</v>
      </c>
      <c r="L412" s="160">
        <v>1.611</v>
      </c>
      <c r="M412" s="160">
        <v>1.4490000000000001</v>
      </c>
      <c r="N412" s="160">
        <v>1.4159999999999999</v>
      </c>
      <c r="O412" s="160">
        <v>1.419</v>
      </c>
      <c r="P412" s="160">
        <v>1.41</v>
      </c>
    </row>
    <row r="413" spans="2:16">
      <c r="B413" s="352"/>
      <c r="C413" s="355"/>
      <c r="D413" s="355"/>
      <c r="E413" s="349">
        <v>9</v>
      </c>
      <c r="F413" t="s">
        <v>715</v>
      </c>
      <c r="G413" s="160">
        <v>2.0459999999999998</v>
      </c>
      <c r="H413" s="160">
        <v>2.0249999999999999</v>
      </c>
      <c r="I413" s="160">
        <v>2.3849999999999998</v>
      </c>
      <c r="J413" s="160">
        <v>2.31</v>
      </c>
      <c r="K413" s="160">
        <v>1.6289999999999998</v>
      </c>
      <c r="L413" s="160">
        <v>2.2320000000000002</v>
      </c>
      <c r="M413" s="160">
        <v>2.0939999999999999</v>
      </c>
      <c r="N413" s="160">
        <v>2.1</v>
      </c>
      <c r="O413" s="160">
        <v>2.2200000000000002</v>
      </c>
      <c r="P413" s="160">
        <v>2.04</v>
      </c>
    </row>
    <row r="414" spans="2:16">
      <c r="B414" s="352"/>
      <c r="C414" s="355"/>
      <c r="D414" s="355"/>
      <c r="E414" s="350"/>
      <c r="F414" t="s">
        <v>714</v>
      </c>
      <c r="G414" s="160">
        <v>1.752</v>
      </c>
      <c r="H414" s="160">
        <v>1.923</v>
      </c>
      <c r="I414" s="160">
        <v>2.133</v>
      </c>
      <c r="J414" s="160">
        <v>2.0369999999999999</v>
      </c>
      <c r="K414" s="160">
        <v>1.6169999999999998</v>
      </c>
      <c r="L414" s="160">
        <v>1.8419999999999999</v>
      </c>
      <c r="M414" s="160">
        <v>2.0339999999999998</v>
      </c>
      <c r="N414" s="160">
        <v>2.0640000000000001</v>
      </c>
      <c r="O414" s="160">
        <v>1.9950000000000001</v>
      </c>
      <c r="P414" s="160">
        <v>1.9590000000000001</v>
      </c>
    </row>
    <row r="415" spans="2:16">
      <c r="B415" s="352"/>
      <c r="C415" s="355"/>
      <c r="D415" s="355"/>
      <c r="E415" s="349">
        <v>11</v>
      </c>
      <c r="F415" t="s">
        <v>715</v>
      </c>
      <c r="G415" s="160">
        <v>2.5289999999999999</v>
      </c>
      <c r="H415" s="160">
        <v>2.4209999999999998</v>
      </c>
      <c r="I415" s="160">
        <v>2.952</v>
      </c>
      <c r="J415" s="160">
        <v>3.1229999999999998</v>
      </c>
      <c r="K415" s="160">
        <v>2.2709999999999999</v>
      </c>
      <c r="L415" s="160">
        <v>2.472</v>
      </c>
      <c r="M415" s="160">
        <v>2.8349999999999995</v>
      </c>
      <c r="N415" s="160">
        <v>2.5109999999999997</v>
      </c>
      <c r="O415" s="160">
        <v>2.7869999999999995</v>
      </c>
      <c r="P415" s="160">
        <v>2.6609999999999996</v>
      </c>
    </row>
    <row r="416" spans="2:16">
      <c r="B416" s="352"/>
      <c r="C416" s="355"/>
      <c r="D416" s="355"/>
      <c r="E416" s="350"/>
      <c r="F416" t="s">
        <v>714</v>
      </c>
      <c r="G416" s="160">
        <v>3.0509999999999997</v>
      </c>
      <c r="H416" s="160">
        <v>2.2080000000000002</v>
      </c>
      <c r="I416" s="160">
        <v>2.7509999999999999</v>
      </c>
      <c r="J416" s="160">
        <v>2.5979999999999999</v>
      </c>
      <c r="K416" s="160">
        <v>2.0129999999999999</v>
      </c>
      <c r="L416" s="160">
        <v>2.4180000000000001</v>
      </c>
      <c r="M416" s="160">
        <v>2.4449999999999998</v>
      </c>
      <c r="N416" s="160">
        <v>2.4119999999999995</v>
      </c>
      <c r="O416" s="160">
        <v>2.577</v>
      </c>
      <c r="P416" s="160">
        <v>2.4779999999999998</v>
      </c>
    </row>
    <row r="417" spans="2:16">
      <c r="B417" s="352"/>
      <c r="C417" s="355"/>
      <c r="D417" s="355"/>
      <c r="E417" s="349">
        <v>13</v>
      </c>
      <c r="F417" t="s">
        <v>715</v>
      </c>
      <c r="G417" s="160">
        <v>2.0429999999999997</v>
      </c>
      <c r="H417" s="160">
        <v>2.1869999999999998</v>
      </c>
      <c r="I417" s="160">
        <v>2.802</v>
      </c>
      <c r="J417" s="160">
        <v>2.8439999999999999</v>
      </c>
      <c r="K417" s="160">
        <v>2.0070000000000001</v>
      </c>
      <c r="L417" s="160">
        <v>2.2320000000000002</v>
      </c>
      <c r="M417" s="160">
        <v>2.6039999999999996</v>
      </c>
      <c r="N417" s="160">
        <v>2.319</v>
      </c>
      <c r="O417" s="160">
        <v>3.1079999999999997</v>
      </c>
      <c r="P417" s="160">
        <v>2.7269999999999999</v>
      </c>
    </row>
    <row r="418" spans="2:16">
      <c r="B418" s="353"/>
      <c r="C418" s="356"/>
      <c r="D418" s="356"/>
      <c r="E418" s="350"/>
      <c r="F418" t="s">
        <v>714</v>
      </c>
      <c r="G418" s="160">
        <v>3.8279999999999998</v>
      </c>
      <c r="H418" s="160">
        <v>2.016</v>
      </c>
      <c r="I418" s="160">
        <v>2.0070000000000001</v>
      </c>
      <c r="J418" s="160">
        <v>2.7509999999999999</v>
      </c>
      <c r="K418" s="160">
        <v>2.4900000000000002</v>
      </c>
      <c r="L418" s="160">
        <v>1.8539999999999999</v>
      </c>
      <c r="M418" s="160">
        <v>2.109</v>
      </c>
      <c r="N418" s="160">
        <v>2.3820000000000001</v>
      </c>
      <c r="O418" s="160">
        <v>2.3639999999999999</v>
      </c>
      <c r="P418" s="160">
        <v>2.6579999999999999</v>
      </c>
    </row>
    <row r="419" spans="2:16" ht="16">
      <c r="B419" s="351" t="s">
        <v>716</v>
      </c>
      <c r="C419" s="354" t="s">
        <v>203</v>
      </c>
      <c r="D419" s="354"/>
      <c r="E419" s="349">
        <v>1</v>
      </c>
      <c r="F419" s="163" t="s">
        <v>715</v>
      </c>
      <c r="G419" s="160">
        <v>2.8140000000000001</v>
      </c>
      <c r="H419" s="160">
        <v>2.016</v>
      </c>
      <c r="I419" s="160">
        <v>1.698</v>
      </c>
      <c r="J419" s="160">
        <v>1.9139999999999999</v>
      </c>
      <c r="K419" s="160">
        <v>3.0839999999999996</v>
      </c>
      <c r="L419" s="160">
        <v>2.79</v>
      </c>
      <c r="M419" s="160">
        <v>2.34</v>
      </c>
      <c r="N419" s="160">
        <v>1.8299999999999998</v>
      </c>
      <c r="O419" s="160">
        <v>1.944</v>
      </c>
      <c r="P419" s="160">
        <v>2.4599999999999995</v>
      </c>
    </row>
    <row r="420" spans="2:16" ht="16">
      <c r="B420" s="352"/>
      <c r="C420" s="355"/>
      <c r="D420" s="355"/>
      <c r="E420" s="350"/>
      <c r="F420" s="162" t="s">
        <v>714</v>
      </c>
      <c r="G420" s="160">
        <v>2.9039999999999999</v>
      </c>
      <c r="H420" s="160">
        <v>1.9259999999999999</v>
      </c>
      <c r="I420" s="160">
        <v>2.0459999999999998</v>
      </c>
      <c r="J420" s="160">
        <v>2.6160000000000001</v>
      </c>
      <c r="K420" s="160">
        <v>2.88</v>
      </c>
      <c r="L420" s="160">
        <v>0</v>
      </c>
      <c r="M420" s="160">
        <v>2.0760000000000001</v>
      </c>
      <c r="N420" s="160">
        <v>1.8719999999999999</v>
      </c>
      <c r="O420" s="160">
        <v>2.016</v>
      </c>
      <c r="P420" s="160">
        <v>1.9079999999999999</v>
      </c>
    </row>
    <row r="421" spans="2:16" ht="16">
      <c r="B421" s="352"/>
      <c r="C421" s="355"/>
      <c r="D421" s="355"/>
      <c r="E421" s="349">
        <v>3</v>
      </c>
      <c r="F421" s="162" t="s">
        <v>715</v>
      </c>
      <c r="G421" s="160">
        <v>3.9879000000000002</v>
      </c>
      <c r="H421" s="160">
        <v>2.7432000000000003</v>
      </c>
      <c r="I421" s="160">
        <v>2.3409</v>
      </c>
      <c r="J421" s="160">
        <v>3.1212000000000004</v>
      </c>
      <c r="K421" s="160">
        <v>4.1202000000000005</v>
      </c>
      <c r="L421" s="160">
        <v>4.4657999999999998</v>
      </c>
      <c r="M421" s="160">
        <v>3.3453000000000004</v>
      </c>
      <c r="N421" s="160">
        <v>3.2048999999999999</v>
      </c>
      <c r="O421" s="160">
        <v>2.5380000000000003</v>
      </c>
      <c r="P421" s="160">
        <v>3.5369999999999999</v>
      </c>
    </row>
    <row r="422" spans="2:16" ht="16">
      <c r="B422" s="352"/>
      <c r="C422" s="355"/>
      <c r="D422" s="355"/>
      <c r="E422" s="350"/>
      <c r="F422" s="162" t="s">
        <v>714</v>
      </c>
      <c r="G422" s="160">
        <v>3.6504000000000003</v>
      </c>
      <c r="H422" s="160">
        <v>2.8214999999999999</v>
      </c>
      <c r="I422" s="160">
        <v>2.4165000000000001</v>
      </c>
      <c r="J422" s="160">
        <v>3.0024000000000002</v>
      </c>
      <c r="K422" s="160">
        <v>4.0796999999999999</v>
      </c>
      <c r="L422" s="160">
        <v>4.0203000000000007</v>
      </c>
      <c r="M422" s="160">
        <v>2.8944000000000005</v>
      </c>
      <c r="N422" s="160">
        <v>3.2021999999999999</v>
      </c>
      <c r="O422" s="160">
        <v>2.1869999999999998</v>
      </c>
      <c r="P422" s="160">
        <v>3.2589000000000001</v>
      </c>
    </row>
    <row r="423" spans="2:16" ht="16">
      <c r="B423" s="352"/>
      <c r="C423" s="355"/>
      <c r="D423" s="355"/>
      <c r="E423" s="349">
        <v>5</v>
      </c>
      <c r="F423" s="161" t="s">
        <v>715</v>
      </c>
      <c r="G423" s="160">
        <v>3.8819999999999997</v>
      </c>
      <c r="H423" s="160">
        <v>2.8109999999999995</v>
      </c>
      <c r="I423" s="160">
        <v>2.4</v>
      </c>
      <c r="J423" s="160">
        <v>3.0509999999999997</v>
      </c>
      <c r="K423" s="160">
        <v>4.08</v>
      </c>
      <c r="L423" s="160"/>
      <c r="M423" s="160">
        <v>6.5699999999999994</v>
      </c>
      <c r="N423" s="160">
        <v>2.9159999999999999</v>
      </c>
      <c r="O423" s="160">
        <v>3.1559999999999997</v>
      </c>
      <c r="P423" s="160">
        <v>3.0420000000000003</v>
      </c>
    </row>
    <row r="424" spans="2:16">
      <c r="B424" s="352"/>
      <c r="C424" s="355"/>
      <c r="D424" s="355"/>
      <c r="E424" s="350"/>
      <c r="F424" t="s">
        <v>714</v>
      </c>
      <c r="G424" s="160">
        <v>3.0329999999999999</v>
      </c>
      <c r="H424" s="160">
        <v>2.7269999999999999</v>
      </c>
      <c r="I424" s="160">
        <v>2.2919999999999998</v>
      </c>
      <c r="J424" s="160">
        <v>2.9819999999999998</v>
      </c>
      <c r="K424" s="160">
        <v>3.9299999999999997</v>
      </c>
      <c r="L424" s="160">
        <v>4.3410000000000002</v>
      </c>
      <c r="M424" s="160">
        <v>2.8049999999999997</v>
      </c>
      <c r="N424" s="160">
        <v>3.0449999999999999</v>
      </c>
      <c r="O424" s="160">
        <v>2.7630000000000003</v>
      </c>
      <c r="P424" s="160">
        <v>3.198</v>
      </c>
    </row>
    <row r="425" spans="2:16">
      <c r="B425" s="352"/>
      <c r="C425" s="355"/>
      <c r="D425" s="355"/>
      <c r="E425" s="349">
        <v>7</v>
      </c>
      <c r="F425" t="s">
        <v>715</v>
      </c>
      <c r="G425" s="160">
        <v>3.9390000000000001</v>
      </c>
      <c r="H425" s="160">
        <v>2.6670000000000003</v>
      </c>
      <c r="I425" s="160">
        <v>2.1059999999999999</v>
      </c>
      <c r="J425" s="160">
        <v>3.0359999999999996</v>
      </c>
      <c r="K425" s="160">
        <v>3.99</v>
      </c>
      <c r="L425" s="160">
        <v>5.0940000000000003</v>
      </c>
      <c r="M425" s="160">
        <v>2.2679999999999998</v>
      </c>
      <c r="N425" s="160">
        <v>2.82</v>
      </c>
      <c r="O425" s="160">
        <v>3.1799999999999997</v>
      </c>
      <c r="P425" s="160">
        <v>3.0029999999999997</v>
      </c>
    </row>
    <row r="426" spans="2:16">
      <c r="B426" s="352"/>
      <c r="C426" s="355"/>
      <c r="D426" s="355"/>
      <c r="E426" s="350"/>
      <c r="F426" t="s">
        <v>714</v>
      </c>
      <c r="G426" s="160">
        <v>3.1229999999999998</v>
      </c>
      <c r="H426" s="160">
        <v>2.4119999999999995</v>
      </c>
      <c r="I426" s="160">
        <v>1.95</v>
      </c>
      <c r="J426" s="160">
        <v>2.6970000000000001</v>
      </c>
      <c r="K426" s="160">
        <v>3.69</v>
      </c>
      <c r="L426" s="160">
        <v>4.3229999999999995</v>
      </c>
      <c r="M426" s="160">
        <v>2.097</v>
      </c>
      <c r="N426" s="160">
        <v>2.1120000000000001</v>
      </c>
      <c r="O426" s="160">
        <v>2.4779999999999998</v>
      </c>
      <c r="P426" s="160">
        <v>2.3969999999999998</v>
      </c>
    </row>
    <row r="427" spans="2:16">
      <c r="B427" s="352"/>
      <c r="C427" s="355"/>
      <c r="D427" s="355"/>
      <c r="E427" s="349">
        <v>9</v>
      </c>
      <c r="F427" t="s">
        <v>715</v>
      </c>
      <c r="G427" s="160">
        <v>4.0829999999999993</v>
      </c>
      <c r="H427" s="160">
        <v>3.117</v>
      </c>
      <c r="I427" s="160">
        <v>2.4630000000000001</v>
      </c>
      <c r="J427" s="160">
        <v>3.8489999999999998</v>
      </c>
      <c r="K427" s="160">
        <v>4.6319999999999997</v>
      </c>
      <c r="L427" s="160">
        <v>6.1379999999999999</v>
      </c>
      <c r="M427" s="160">
        <v>2.5109999999999997</v>
      </c>
      <c r="N427" s="160">
        <v>3.78</v>
      </c>
      <c r="O427" s="160">
        <v>3.8489999999999998</v>
      </c>
      <c r="P427" s="160">
        <v>3.7319999999999998</v>
      </c>
    </row>
    <row r="428" spans="2:16">
      <c r="B428" s="352"/>
      <c r="C428" s="355"/>
      <c r="D428" s="355"/>
      <c r="E428" s="350"/>
      <c r="F428" t="s">
        <v>714</v>
      </c>
      <c r="G428" s="160">
        <v>3.399</v>
      </c>
      <c r="H428" s="160">
        <v>2.5829999999999997</v>
      </c>
      <c r="I428" s="160">
        <v>2.3580000000000001</v>
      </c>
      <c r="J428" s="160">
        <v>3.3420000000000001</v>
      </c>
      <c r="K428" s="160">
        <v>3.7650000000000001</v>
      </c>
      <c r="L428" s="160">
        <v>5.4300000000000006</v>
      </c>
      <c r="M428" s="160">
        <v>2.847</v>
      </c>
      <c r="N428" s="160">
        <v>3.0029999999999997</v>
      </c>
      <c r="O428" s="160">
        <v>3.1949999999999998</v>
      </c>
      <c r="P428" s="160">
        <v>3.1019999999999999</v>
      </c>
    </row>
    <row r="429" spans="2:16">
      <c r="B429" s="352"/>
      <c r="C429" s="355"/>
      <c r="D429" s="355"/>
      <c r="E429" s="349">
        <v>11</v>
      </c>
      <c r="F429" t="s">
        <v>715</v>
      </c>
      <c r="G429" s="160">
        <v>6.4050000000000002</v>
      </c>
      <c r="H429" s="160">
        <v>3.9209999999999998</v>
      </c>
      <c r="I429" s="160">
        <v>3.9</v>
      </c>
      <c r="J429" s="160">
        <v>5.3429999999999991</v>
      </c>
      <c r="K429" s="160">
        <v>6.4469999999999992</v>
      </c>
      <c r="L429" s="160">
        <v>7.1610000000000005</v>
      </c>
      <c r="M429" s="160">
        <v>4.0709999999999997</v>
      </c>
      <c r="N429" s="160">
        <v>4.3380000000000001</v>
      </c>
      <c r="O429" s="160">
        <v>4.2210000000000001</v>
      </c>
      <c r="P429" s="160">
        <v>5.0940000000000003</v>
      </c>
    </row>
    <row r="430" spans="2:16">
      <c r="B430" s="352"/>
      <c r="C430" s="355"/>
      <c r="D430" s="355"/>
      <c r="E430" s="350"/>
      <c r="F430" t="s">
        <v>714</v>
      </c>
      <c r="G430" s="160">
        <v>3.7229999999999999</v>
      </c>
      <c r="H430" s="160">
        <v>3.5549999999999997</v>
      </c>
      <c r="I430" s="160">
        <v>3.1739999999999999</v>
      </c>
      <c r="J430" s="160">
        <v>5.2739999999999991</v>
      </c>
      <c r="K430" s="160">
        <v>4.6710000000000003</v>
      </c>
      <c r="L430" s="160">
        <v>6.3869999999999996</v>
      </c>
      <c r="M430" s="160">
        <v>3.7289999999999996</v>
      </c>
      <c r="N430" s="160">
        <v>3.3539999999999996</v>
      </c>
      <c r="O430" s="160">
        <v>4.6349999999999998</v>
      </c>
      <c r="P430" s="160"/>
    </row>
    <row r="431" spans="2:16">
      <c r="B431" s="352"/>
      <c r="C431" s="355"/>
      <c r="D431" s="355"/>
      <c r="E431" s="349">
        <v>13</v>
      </c>
      <c r="F431" t="s">
        <v>715</v>
      </c>
      <c r="G431" s="160">
        <v>5.7480000000000002</v>
      </c>
      <c r="H431" s="160">
        <v>3.3029999999999999</v>
      </c>
      <c r="I431" s="160">
        <v>3.6989999999999998</v>
      </c>
      <c r="J431" s="160">
        <v>5.97</v>
      </c>
      <c r="K431" s="160">
        <v>5.4510000000000005</v>
      </c>
      <c r="L431" s="160">
        <v>6.726</v>
      </c>
      <c r="M431" s="160">
        <v>3.7170000000000001</v>
      </c>
      <c r="N431" s="160">
        <v>4.1609999999999996</v>
      </c>
      <c r="O431" s="160">
        <v>4.3559999999999999</v>
      </c>
      <c r="P431" s="160">
        <v>4.8389999999999995</v>
      </c>
    </row>
    <row r="432" spans="2:16">
      <c r="B432" s="352"/>
      <c r="C432" s="355"/>
      <c r="D432" s="355"/>
      <c r="E432" s="350"/>
      <c r="F432" t="s">
        <v>714</v>
      </c>
      <c r="G432" s="160">
        <v>3.0960000000000001</v>
      </c>
      <c r="H432" s="160">
        <v>3.6479999999999997</v>
      </c>
      <c r="I432" s="160">
        <v>2.9309999999999996</v>
      </c>
      <c r="J432" s="160">
        <v>3.4049999999999998</v>
      </c>
      <c r="K432" s="160">
        <v>6.0750000000000002</v>
      </c>
      <c r="L432" s="160">
        <v>4.6079999999999997</v>
      </c>
      <c r="M432" s="160">
        <v>6.819</v>
      </c>
      <c r="N432" s="160">
        <v>3.4769999999999999</v>
      </c>
      <c r="O432" s="160">
        <v>3.867</v>
      </c>
      <c r="P432" s="160">
        <v>3.9660000000000002</v>
      </c>
    </row>
  </sheetData>
  <mergeCells count="280">
    <mergeCell ref="AQ52:AR56"/>
    <mergeCell ref="AI52:AI56"/>
    <mergeCell ref="AJ52:AJ56"/>
    <mergeCell ref="AV52:AV56"/>
    <mergeCell ref="AI29:AI33"/>
    <mergeCell ref="AJ29:AJ33"/>
    <mergeCell ref="AO29:AP33"/>
    <mergeCell ref="AQ29:AR33"/>
    <mergeCell ref="AV29:AV33"/>
    <mergeCell ref="AU14:AU15"/>
    <mergeCell ref="AU37:AU38"/>
    <mergeCell ref="AI20:AI24"/>
    <mergeCell ref="AJ20:AJ24"/>
    <mergeCell ref="AN37:AN38"/>
    <mergeCell ref="AV39:AV42"/>
    <mergeCell ref="AI48:AI51"/>
    <mergeCell ref="AJ48:AJ51"/>
    <mergeCell ref="AO48:AP51"/>
    <mergeCell ref="AQ48:AR51"/>
    <mergeCell ref="AV48:AV51"/>
    <mergeCell ref="AF105:AF109"/>
    <mergeCell ref="AF95:AF99"/>
    <mergeCell ref="AJ37:AJ38"/>
    <mergeCell ref="AK37:AK38"/>
    <mergeCell ref="AL37:AL38"/>
    <mergeCell ref="AM37:AM38"/>
    <mergeCell ref="AT14:AT15"/>
    <mergeCell ref="AJ14:AJ15"/>
    <mergeCell ref="AK14:AK15"/>
    <mergeCell ref="AL14:AL15"/>
    <mergeCell ref="AM14:AM15"/>
    <mergeCell ref="AN14:AN15"/>
    <mergeCell ref="AS14:AS15"/>
    <mergeCell ref="AS37:AS38"/>
    <mergeCell ref="AT37:AT38"/>
    <mergeCell ref="AI39:AI42"/>
    <mergeCell ref="AJ39:AJ42"/>
    <mergeCell ref="AO39:AP42"/>
    <mergeCell ref="AQ39:AR42"/>
    <mergeCell ref="AO52:AP56"/>
    <mergeCell ref="AO43:AP47"/>
    <mergeCell ref="AQ43:AR47"/>
    <mergeCell ref="AI43:AI47"/>
    <mergeCell ref="AJ43:AJ47"/>
    <mergeCell ref="X64:Y67"/>
    <mergeCell ref="Z64:AA67"/>
    <mergeCell ref="Z37:AA41"/>
    <mergeCell ref="D47:E51"/>
    <mergeCell ref="X47:Y51"/>
    <mergeCell ref="AQ16:AR19"/>
    <mergeCell ref="AO20:AP24"/>
    <mergeCell ref="AQ20:AR24"/>
    <mergeCell ref="AU34:AW34"/>
    <mergeCell ref="AW53:AW56"/>
    <mergeCell ref="AW40:AW42"/>
    <mergeCell ref="AW25:AW33"/>
    <mergeCell ref="AV43:AV47"/>
    <mergeCell ref="AV16:AV19"/>
    <mergeCell ref="AV20:AV24"/>
    <mergeCell ref="AI25:AI28"/>
    <mergeCell ref="AJ25:AJ28"/>
    <mergeCell ref="AO25:AP28"/>
    <mergeCell ref="AQ25:AR28"/>
    <mergeCell ref="AV25:AV28"/>
    <mergeCell ref="AI16:AI19"/>
    <mergeCell ref="AJ16:AJ19"/>
    <mergeCell ref="AO16:AP19"/>
    <mergeCell ref="AW48:AW51"/>
    <mergeCell ref="AF20:AF23"/>
    <mergeCell ref="Z20:AA23"/>
    <mergeCell ref="X37:Y41"/>
    <mergeCell ref="AC62:AC63"/>
    <mergeCell ref="AF68:AF71"/>
    <mergeCell ref="AF86:AF89"/>
    <mergeCell ref="AF52:AF56"/>
    <mergeCell ref="B16:B28"/>
    <mergeCell ref="D16:E19"/>
    <mergeCell ref="X16:Y19"/>
    <mergeCell ref="Z16:AA19"/>
    <mergeCell ref="D20:E23"/>
    <mergeCell ref="X20:Y23"/>
    <mergeCell ref="D68:E71"/>
    <mergeCell ref="X68:Y71"/>
    <mergeCell ref="Z68:AA71"/>
    <mergeCell ref="D52:E56"/>
    <mergeCell ref="X52:Y56"/>
    <mergeCell ref="W62:W63"/>
    <mergeCell ref="Z52:AA56"/>
    <mergeCell ref="V62:V63"/>
    <mergeCell ref="B29:B56"/>
    <mergeCell ref="AB62:AB63"/>
    <mergeCell ref="D64:E67"/>
    <mergeCell ref="G62:P62"/>
    <mergeCell ref="S62:S63"/>
    <mergeCell ref="T62:T63"/>
    <mergeCell ref="U62:U63"/>
    <mergeCell ref="D24:E28"/>
    <mergeCell ref="X24:Y28"/>
    <mergeCell ref="Z24:AA28"/>
    <mergeCell ref="AF33:AF36"/>
    <mergeCell ref="AF42:AF46"/>
    <mergeCell ref="AB14:AB15"/>
    <mergeCell ref="AC14:AC15"/>
    <mergeCell ref="AD14:AD15"/>
    <mergeCell ref="D42:E46"/>
    <mergeCell ref="X42:Y46"/>
    <mergeCell ref="Z42:AA46"/>
    <mergeCell ref="G14:P14"/>
    <mergeCell ref="S14:S15"/>
    <mergeCell ref="T14:T15"/>
    <mergeCell ref="U14:U15"/>
    <mergeCell ref="V14:V15"/>
    <mergeCell ref="W14:W15"/>
    <mergeCell ref="Z47:AA51"/>
    <mergeCell ref="D29:E32"/>
    <mergeCell ref="X29:Y32"/>
    <mergeCell ref="Z29:AA32"/>
    <mergeCell ref="D33:E36"/>
    <mergeCell ref="X33:Y36"/>
    <mergeCell ref="Z33:AA36"/>
    <mergeCell ref="D37:E41"/>
    <mergeCell ref="D86:E89"/>
    <mergeCell ref="X86:Y89"/>
    <mergeCell ref="Z86:AA89"/>
    <mergeCell ref="D72:E76"/>
    <mergeCell ref="X72:Y76"/>
    <mergeCell ref="Z72:AA76"/>
    <mergeCell ref="D77:E81"/>
    <mergeCell ref="X77:Y81"/>
    <mergeCell ref="Z77:AA81"/>
    <mergeCell ref="D82:E85"/>
    <mergeCell ref="X82:Y85"/>
    <mergeCell ref="Z82:AA85"/>
    <mergeCell ref="Z100:AA104"/>
    <mergeCell ref="D105:E109"/>
    <mergeCell ref="X105:Y109"/>
    <mergeCell ref="Z105:AA109"/>
    <mergeCell ref="D90:E94"/>
    <mergeCell ref="X90:Y94"/>
    <mergeCell ref="Z90:AA94"/>
    <mergeCell ref="D95:E99"/>
    <mergeCell ref="X95:Y99"/>
    <mergeCell ref="Z95:AA99"/>
    <mergeCell ref="B283:B284"/>
    <mergeCell ref="C283:C284"/>
    <mergeCell ref="D283:D284"/>
    <mergeCell ref="E283:F283"/>
    <mergeCell ref="G283:G284"/>
    <mergeCell ref="H283:S283"/>
    <mergeCell ref="E284:F284"/>
    <mergeCell ref="D100:E104"/>
    <mergeCell ref="X100:Y104"/>
    <mergeCell ref="B289:B290"/>
    <mergeCell ref="C289:C290"/>
    <mergeCell ref="D289:D290"/>
    <mergeCell ref="E289:F290"/>
    <mergeCell ref="B291:B292"/>
    <mergeCell ref="C291:C292"/>
    <mergeCell ref="D291:D292"/>
    <mergeCell ref="E291:F292"/>
    <mergeCell ref="B285:B286"/>
    <mergeCell ref="C285:C286"/>
    <mergeCell ref="D285:D286"/>
    <mergeCell ref="E285:F286"/>
    <mergeCell ref="B287:B288"/>
    <mergeCell ref="C287:C288"/>
    <mergeCell ref="D287:D288"/>
    <mergeCell ref="E287:F288"/>
    <mergeCell ref="B297:B298"/>
    <mergeCell ref="C297:C298"/>
    <mergeCell ref="D297:D298"/>
    <mergeCell ref="E297:F298"/>
    <mergeCell ref="B299:B300"/>
    <mergeCell ref="C299:C300"/>
    <mergeCell ref="D299:D300"/>
    <mergeCell ref="E299:F300"/>
    <mergeCell ref="B293:B294"/>
    <mergeCell ref="C293:C294"/>
    <mergeCell ref="D293:D294"/>
    <mergeCell ref="E293:F294"/>
    <mergeCell ref="B295:B296"/>
    <mergeCell ref="C295:C296"/>
    <mergeCell ref="D295:D296"/>
    <mergeCell ref="E295:F296"/>
    <mergeCell ref="B305:B306"/>
    <mergeCell ref="C305:C306"/>
    <mergeCell ref="D305:D306"/>
    <mergeCell ref="E305:F306"/>
    <mergeCell ref="B307:B308"/>
    <mergeCell ref="C307:C308"/>
    <mergeCell ref="D307:D308"/>
    <mergeCell ref="E307:F308"/>
    <mergeCell ref="B301:B302"/>
    <mergeCell ref="C301:C302"/>
    <mergeCell ref="D301:D302"/>
    <mergeCell ref="E301:F302"/>
    <mergeCell ref="B303:B304"/>
    <mergeCell ref="C303:C304"/>
    <mergeCell ref="D303:D304"/>
    <mergeCell ref="E303:F304"/>
    <mergeCell ref="C313:D313"/>
    <mergeCell ref="G313:P313"/>
    <mergeCell ref="C314:D314"/>
    <mergeCell ref="B315:B328"/>
    <mergeCell ref="C315:D328"/>
    <mergeCell ref="E315:E316"/>
    <mergeCell ref="E317:E318"/>
    <mergeCell ref="E319:E320"/>
    <mergeCell ref="E321:E322"/>
    <mergeCell ref="E323:E324"/>
    <mergeCell ref="E325:E326"/>
    <mergeCell ref="E327:E328"/>
    <mergeCell ref="B329:B342"/>
    <mergeCell ref="C329:D342"/>
    <mergeCell ref="E329:E330"/>
    <mergeCell ref="E331:E332"/>
    <mergeCell ref="E333:E334"/>
    <mergeCell ref="E335:E336"/>
    <mergeCell ref="E337:E338"/>
    <mergeCell ref="E339:E340"/>
    <mergeCell ref="E341:E342"/>
    <mergeCell ref="B343:B356"/>
    <mergeCell ref="C343:D356"/>
    <mergeCell ref="E343:E344"/>
    <mergeCell ref="E345:E346"/>
    <mergeCell ref="E347:E348"/>
    <mergeCell ref="E349:E350"/>
    <mergeCell ref="E351:E352"/>
    <mergeCell ref="E353:E354"/>
    <mergeCell ref="E355:E356"/>
    <mergeCell ref="B357:B370"/>
    <mergeCell ref="C357:D370"/>
    <mergeCell ref="E357:E358"/>
    <mergeCell ref="E359:E360"/>
    <mergeCell ref="E361:E362"/>
    <mergeCell ref="E363:E364"/>
    <mergeCell ref="E365:E366"/>
    <mergeCell ref="E367:E368"/>
    <mergeCell ref="E369:E370"/>
    <mergeCell ref="AE14:AE15"/>
    <mergeCell ref="AF14:AF15"/>
    <mergeCell ref="B419:B432"/>
    <mergeCell ref="C419:D432"/>
    <mergeCell ref="E419:E420"/>
    <mergeCell ref="E421:E422"/>
    <mergeCell ref="E423:E424"/>
    <mergeCell ref="E425:E426"/>
    <mergeCell ref="E427:E428"/>
    <mergeCell ref="B377:B390"/>
    <mergeCell ref="C377:D390"/>
    <mergeCell ref="E377:E378"/>
    <mergeCell ref="E379:E380"/>
    <mergeCell ref="E381:E382"/>
    <mergeCell ref="E383:E384"/>
    <mergeCell ref="E385:E386"/>
    <mergeCell ref="E417:E418"/>
    <mergeCell ref="E387:E388"/>
    <mergeCell ref="E389:E390"/>
    <mergeCell ref="C391:D404"/>
    <mergeCell ref="E391:E392"/>
    <mergeCell ref="E393:E394"/>
    <mergeCell ref="E395:E396"/>
    <mergeCell ref="E397:E398"/>
    <mergeCell ref="C375:D375"/>
    <mergeCell ref="G375:P375"/>
    <mergeCell ref="C376:D376"/>
    <mergeCell ref="E413:E414"/>
    <mergeCell ref="E415:E416"/>
    <mergeCell ref="E429:E430"/>
    <mergeCell ref="E431:E432"/>
    <mergeCell ref="E403:E404"/>
    <mergeCell ref="B405:B418"/>
    <mergeCell ref="C405:D418"/>
    <mergeCell ref="E405:E406"/>
    <mergeCell ref="E407:E408"/>
    <mergeCell ref="E409:E410"/>
    <mergeCell ref="E411:E412"/>
    <mergeCell ref="B391:B404"/>
    <mergeCell ref="E399:E400"/>
    <mergeCell ref="E401:E402"/>
  </mergeCells>
  <pageMargins left="0.7" right="0.7" top="0.78740157499999996" bottom="0.78740157499999996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Glucose</vt:lpstr>
      <vt:lpstr>Insulin_Plate 1</vt:lpstr>
      <vt:lpstr>Insulin_Plate 2</vt:lpstr>
      <vt:lpstr>Plate 1</vt:lpstr>
      <vt:lpstr>Plate 2</vt:lpstr>
      <vt:lpstr>Plate 3</vt:lpstr>
      <vt:lpstr>Summary_doseA_B</vt:lpstr>
      <vt:lpstr>Corrected data manuscript</vt:lpstr>
      <vt:lpstr>Exp 3.2 modelling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2021-12-10T15:08:14Z</dcterms:created>
  <dcterms:modified xsi:type="dcterms:W3CDTF">2022-01-23T14:22:56Z</dcterms:modified>
</cp:coreProperties>
</file>