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activeTab="1"/>
  </bookViews>
  <sheets>
    <sheet name="Sheet1" sheetId="1" r:id="rId1"/>
    <sheet name="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8" l="1"/>
  <c r="R18" i="8"/>
  <c r="R19" i="8"/>
  <c r="R20" i="8"/>
  <c r="R21" i="8"/>
  <c r="R22" i="8"/>
  <c r="R23" i="8"/>
  <c r="R16" i="8"/>
  <c r="J17" i="8"/>
  <c r="J18" i="8"/>
  <c r="J19" i="8"/>
  <c r="J20" i="8"/>
  <c r="J21" i="8"/>
  <c r="J22" i="8"/>
  <c r="J23" i="8"/>
  <c r="J16" i="8"/>
  <c r="Q17" i="8"/>
  <c r="Q18" i="8"/>
  <c r="Q19" i="8"/>
  <c r="Q20" i="8"/>
  <c r="Q21" i="8"/>
  <c r="Q22" i="8"/>
  <c r="Q23" i="8"/>
  <c r="Q16" i="8"/>
  <c r="D17" i="8"/>
  <c r="D18" i="8"/>
  <c r="D19" i="8"/>
  <c r="D20" i="8"/>
  <c r="D21" i="8"/>
  <c r="D22" i="8"/>
  <c r="D23" i="8"/>
  <c r="D16" i="8"/>
  <c r="W88" i="2"/>
  <c r="W89" i="2"/>
  <c r="W90" i="2"/>
  <c r="W91" i="2"/>
  <c r="W92" i="2"/>
  <c r="W93" i="2"/>
  <c r="W94" i="2"/>
  <c r="W87" i="2"/>
  <c r="AB88" i="2"/>
  <c r="AB89" i="2"/>
  <c r="AB90" i="2"/>
  <c r="AB91" i="2"/>
  <c r="AB92" i="2"/>
  <c r="AB93" i="2"/>
  <c r="AB94" i="2"/>
  <c r="AB87" i="2"/>
  <c r="AA88" i="2"/>
  <c r="AA89" i="2"/>
  <c r="AA90" i="2"/>
  <c r="AA91" i="2"/>
  <c r="AA92" i="2"/>
  <c r="AA93" i="2"/>
  <c r="AA94" i="2"/>
  <c r="AA87" i="2"/>
  <c r="Z88" i="2"/>
  <c r="Z89" i="2"/>
  <c r="Z90" i="2"/>
  <c r="Z91" i="2"/>
  <c r="Z92" i="2"/>
  <c r="Z93" i="2"/>
  <c r="Z94" i="2"/>
  <c r="Z87" i="2"/>
  <c r="Y88" i="2"/>
  <c r="Y89" i="2"/>
  <c r="Y90" i="2"/>
  <c r="Y91" i="2"/>
  <c r="Y92" i="2"/>
  <c r="Y93" i="2"/>
  <c r="Y94" i="2"/>
  <c r="Y87" i="2"/>
  <c r="U88" i="2"/>
  <c r="U89" i="2"/>
  <c r="U90" i="2"/>
  <c r="U91" i="2"/>
  <c r="U92" i="2"/>
  <c r="U93" i="2"/>
  <c r="U94" i="2"/>
  <c r="U87" i="2"/>
  <c r="T88" i="2"/>
  <c r="T89" i="2"/>
  <c r="T90" i="2"/>
  <c r="T91" i="2"/>
  <c r="T92" i="2"/>
  <c r="T93" i="2"/>
  <c r="T94" i="2"/>
  <c r="T87" i="2"/>
  <c r="R87" i="2"/>
  <c r="S88" i="2"/>
  <c r="S89" i="2"/>
  <c r="S90" i="2"/>
  <c r="S91" i="2"/>
  <c r="S92" i="2"/>
  <c r="S93" i="2"/>
  <c r="S94" i="2"/>
  <c r="S87" i="2"/>
  <c r="R88" i="2"/>
  <c r="R89" i="2"/>
  <c r="R90" i="2"/>
  <c r="R91" i="2"/>
  <c r="R92" i="2"/>
  <c r="R93" i="2"/>
  <c r="R94" i="2"/>
  <c r="L75" i="2"/>
  <c r="J75" i="2"/>
  <c r="M75" i="2"/>
  <c r="L88" i="2"/>
  <c r="J88" i="2"/>
  <c r="M88" i="2"/>
  <c r="L76" i="2"/>
  <c r="J76" i="2"/>
  <c r="M76" i="2"/>
  <c r="L89" i="2"/>
  <c r="J89" i="2"/>
  <c r="M89" i="2"/>
  <c r="L77" i="2"/>
  <c r="J77" i="2"/>
  <c r="M77" i="2"/>
  <c r="L90" i="2"/>
  <c r="J90" i="2"/>
  <c r="M90" i="2"/>
  <c r="L78" i="2"/>
  <c r="J78" i="2"/>
  <c r="M78" i="2"/>
  <c r="L91" i="2"/>
  <c r="J91" i="2"/>
  <c r="M91" i="2"/>
  <c r="L79" i="2"/>
  <c r="J79" i="2"/>
  <c r="M79" i="2"/>
  <c r="L92" i="2"/>
  <c r="J92" i="2"/>
  <c r="M92" i="2"/>
  <c r="L80" i="2"/>
  <c r="J80" i="2"/>
  <c r="M80" i="2"/>
  <c r="L93" i="2"/>
  <c r="J93" i="2"/>
  <c r="M93" i="2"/>
  <c r="L81" i="2"/>
  <c r="J81" i="2"/>
  <c r="M81" i="2"/>
  <c r="L94" i="2"/>
  <c r="J94" i="2"/>
  <c r="M94" i="2"/>
  <c r="L74" i="2"/>
  <c r="J74" i="2"/>
  <c r="M74" i="2"/>
  <c r="L87" i="2"/>
  <c r="J87" i="2"/>
  <c r="M87" i="2"/>
  <c r="I87" i="2"/>
  <c r="K87" i="2"/>
  <c r="I74" i="2"/>
  <c r="K74" i="2"/>
  <c r="I88" i="2"/>
  <c r="K88" i="2"/>
  <c r="I75" i="2"/>
  <c r="K75" i="2"/>
  <c r="I89" i="2"/>
  <c r="K89" i="2"/>
  <c r="I76" i="2"/>
  <c r="K76" i="2"/>
  <c r="I90" i="2"/>
  <c r="K90" i="2"/>
  <c r="I77" i="2"/>
  <c r="K77" i="2"/>
  <c r="I91" i="2"/>
  <c r="K91" i="2"/>
  <c r="I78" i="2"/>
  <c r="K78" i="2"/>
  <c r="I92" i="2"/>
  <c r="K92" i="2"/>
  <c r="I79" i="2"/>
  <c r="K79" i="2"/>
  <c r="I93" i="2"/>
  <c r="K93" i="2"/>
  <c r="I80" i="2"/>
  <c r="K80" i="2"/>
  <c r="I94" i="2"/>
  <c r="K94" i="2"/>
  <c r="I81" i="2"/>
  <c r="K81" i="2"/>
  <c r="X88" i="2"/>
  <c r="X89" i="2"/>
  <c r="X90" i="2"/>
  <c r="X91" i="2"/>
  <c r="X92" i="2"/>
  <c r="X93" i="2"/>
  <c r="X94" i="2"/>
  <c r="X87" i="2"/>
  <c r="Q88" i="2"/>
  <c r="Q89" i="2"/>
  <c r="Q90" i="2"/>
  <c r="Q91" i="2"/>
  <c r="Q92" i="2"/>
  <c r="Q93" i="2"/>
  <c r="Q94" i="2"/>
  <c r="Q87" i="2"/>
  <c r="B17" i="1"/>
  <c r="D26" i="6"/>
  <c r="H26" i="6"/>
  <c r="C26" i="6"/>
  <c r="G26" i="6"/>
  <c r="D25" i="6"/>
  <c r="H25" i="6"/>
  <c r="C25" i="6"/>
  <c r="G25" i="6"/>
  <c r="D24" i="6"/>
  <c r="H24" i="6"/>
  <c r="C24" i="6"/>
  <c r="G24" i="6"/>
  <c r="D14" i="6"/>
  <c r="H14" i="6"/>
  <c r="C14" i="6"/>
  <c r="G14" i="6"/>
  <c r="D13" i="6"/>
  <c r="H13" i="6"/>
  <c r="C13" i="6"/>
  <c r="G13" i="6"/>
  <c r="D12" i="6"/>
  <c r="H12" i="6"/>
  <c r="C12" i="6"/>
  <c r="G12" i="6"/>
  <c r="H73" i="1"/>
  <c r="H74" i="1"/>
  <c r="H72" i="1"/>
  <c r="G73" i="1"/>
  <c r="G74" i="1"/>
  <c r="G72" i="1"/>
  <c r="H62" i="1"/>
  <c r="H61" i="1"/>
  <c r="H60" i="1"/>
  <c r="G61" i="1"/>
  <c r="G62" i="1"/>
  <c r="G60" i="1"/>
  <c r="D74" i="1"/>
  <c r="D73" i="1"/>
  <c r="D72" i="1"/>
  <c r="C74" i="1"/>
  <c r="C73" i="1"/>
  <c r="C72" i="1"/>
  <c r="D62" i="1"/>
  <c r="D61" i="1"/>
  <c r="D60" i="1"/>
  <c r="C62" i="1"/>
  <c r="C61" i="1"/>
  <c r="C60" i="1"/>
  <c r="B52" i="1"/>
  <c r="F5" i="3"/>
  <c r="G5" i="3"/>
  <c r="H5" i="3"/>
  <c r="I5" i="3"/>
  <c r="J5" i="3"/>
  <c r="K5" i="3"/>
  <c r="L5" i="3"/>
  <c r="M5" i="3"/>
  <c r="N5" i="3"/>
  <c r="O5" i="3"/>
  <c r="F6" i="3"/>
  <c r="G6" i="3"/>
  <c r="H6" i="3"/>
  <c r="I6" i="3"/>
  <c r="J6" i="3"/>
  <c r="K6" i="3"/>
  <c r="L6" i="3"/>
  <c r="M6" i="3"/>
  <c r="N6" i="3"/>
  <c r="O6" i="3"/>
  <c r="F7" i="3"/>
  <c r="G7" i="3"/>
  <c r="H7" i="3"/>
  <c r="I7" i="3"/>
  <c r="J7" i="3"/>
  <c r="K7" i="3"/>
  <c r="L7" i="3"/>
  <c r="M7" i="3"/>
  <c r="N7" i="3"/>
  <c r="O7" i="3"/>
  <c r="F8" i="3"/>
  <c r="G8" i="3"/>
  <c r="H8" i="3"/>
  <c r="I8" i="3"/>
  <c r="J8" i="3"/>
  <c r="K8" i="3"/>
  <c r="L8" i="3"/>
  <c r="M8" i="3"/>
  <c r="N8" i="3"/>
  <c r="O8" i="3"/>
  <c r="F9" i="3"/>
  <c r="G9" i="3"/>
  <c r="H9" i="3"/>
  <c r="I9" i="3"/>
  <c r="J9" i="3"/>
  <c r="K9" i="3"/>
  <c r="L9" i="3"/>
  <c r="M9" i="3"/>
  <c r="N9" i="3"/>
  <c r="O9" i="3"/>
  <c r="F10" i="3"/>
  <c r="G10" i="3"/>
  <c r="H10" i="3"/>
  <c r="I10" i="3"/>
  <c r="J10" i="3"/>
  <c r="K10" i="3"/>
  <c r="L10" i="3"/>
  <c r="M10" i="3"/>
  <c r="N10" i="3"/>
  <c r="O10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L4" i="3"/>
  <c r="J4" i="3"/>
  <c r="I4" i="3"/>
  <c r="H4" i="3"/>
  <c r="G4" i="3"/>
  <c r="F4" i="3"/>
  <c r="O4" i="3"/>
  <c r="N4" i="3"/>
  <c r="M4" i="3"/>
  <c r="K4" i="3"/>
  <c r="I32" i="4"/>
  <c r="I33" i="4"/>
  <c r="I34" i="4"/>
  <c r="I35" i="4"/>
  <c r="I31" i="4"/>
  <c r="H32" i="4"/>
  <c r="H33" i="4"/>
  <c r="H34" i="4"/>
  <c r="H35" i="4"/>
  <c r="H31" i="4"/>
  <c r="F31" i="4"/>
  <c r="C32" i="4"/>
  <c r="J17" i="4"/>
  <c r="J18" i="4"/>
  <c r="J19" i="4"/>
  <c r="J20" i="4"/>
  <c r="J21" i="4"/>
  <c r="J22" i="4"/>
  <c r="J23" i="4"/>
  <c r="J24" i="4"/>
  <c r="J25" i="4"/>
  <c r="H16" i="4"/>
  <c r="N16" i="4"/>
  <c r="Q16" i="4"/>
  <c r="K16" i="4"/>
  <c r="I16" i="4"/>
  <c r="P16" i="4"/>
  <c r="L16" i="4"/>
  <c r="O16" i="4"/>
  <c r="M16" i="4"/>
  <c r="J16" i="4"/>
  <c r="H3" i="4"/>
  <c r="N3" i="4"/>
  <c r="Q3" i="4"/>
  <c r="K3" i="4"/>
  <c r="I3" i="4"/>
  <c r="P3" i="4"/>
  <c r="L3" i="4"/>
  <c r="O3" i="4"/>
  <c r="M3" i="4"/>
  <c r="J3" i="4"/>
  <c r="H5" i="4"/>
  <c r="I5" i="4"/>
  <c r="J5" i="4"/>
  <c r="K5" i="4"/>
  <c r="L5" i="4"/>
  <c r="M5" i="4"/>
  <c r="N5" i="4"/>
  <c r="O5" i="4"/>
  <c r="P5" i="4"/>
  <c r="Q5" i="4"/>
  <c r="H6" i="4"/>
  <c r="I6" i="4"/>
  <c r="J6" i="4"/>
  <c r="K6" i="4"/>
  <c r="L6" i="4"/>
  <c r="M6" i="4"/>
  <c r="N6" i="4"/>
  <c r="O6" i="4"/>
  <c r="P6" i="4"/>
  <c r="Q6" i="4"/>
  <c r="H7" i="4"/>
  <c r="I7" i="4"/>
  <c r="J7" i="4"/>
  <c r="K7" i="4"/>
  <c r="L7" i="4"/>
  <c r="M7" i="4"/>
  <c r="N7" i="4"/>
  <c r="O7" i="4"/>
  <c r="P7" i="4"/>
  <c r="Q7" i="4"/>
  <c r="H8" i="4"/>
  <c r="I8" i="4"/>
  <c r="J8" i="4"/>
  <c r="K8" i="4"/>
  <c r="L8" i="4"/>
  <c r="M8" i="4"/>
  <c r="N8" i="4"/>
  <c r="O8" i="4"/>
  <c r="P8" i="4"/>
  <c r="Q8" i="4"/>
  <c r="H9" i="4"/>
  <c r="I9" i="4"/>
  <c r="J9" i="4"/>
  <c r="K9" i="4"/>
  <c r="L9" i="4"/>
  <c r="M9" i="4"/>
  <c r="N9" i="4"/>
  <c r="O9" i="4"/>
  <c r="P9" i="4"/>
  <c r="Q9" i="4"/>
  <c r="H10" i="4"/>
  <c r="I10" i="4"/>
  <c r="J10" i="4"/>
  <c r="K10" i="4"/>
  <c r="L10" i="4"/>
  <c r="M10" i="4"/>
  <c r="N10" i="4"/>
  <c r="O10" i="4"/>
  <c r="P10" i="4"/>
  <c r="Q10" i="4"/>
  <c r="H11" i="4"/>
  <c r="I11" i="4"/>
  <c r="J11" i="4"/>
  <c r="K11" i="4"/>
  <c r="L11" i="4"/>
  <c r="M11" i="4"/>
  <c r="N11" i="4"/>
  <c r="O11" i="4"/>
  <c r="P11" i="4"/>
  <c r="Q11" i="4"/>
  <c r="H12" i="4"/>
  <c r="I12" i="4"/>
  <c r="J12" i="4"/>
  <c r="K12" i="4"/>
  <c r="L12" i="4"/>
  <c r="M12" i="4"/>
  <c r="N12" i="4"/>
  <c r="O12" i="4"/>
  <c r="P12" i="4"/>
  <c r="Q12" i="4"/>
  <c r="H4" i="4"/>
  <c r="N4" i="4"/>
  <c r="Q4" i="4"/>
  <c r="K4" i="4"/>
  <c r="I4" i="4"/>
  <c r="P4" i="4"/>
  <c r="L4" i="4"/>
  <c r="O4" i="4"/>
  <c r="M4" i="4"/>
  <c r="J4" i="4"/>
  <c r="L18" i="4"/>
  <c r="K18" i="4"/>
  <c r="M18" i="4"/>
  <c r="N18" i="4"/>
  <c r="O18" i="4"/>
  <c r="I18" i="4"/>
  <c r="P18" i="4"/>
  <c r="H18" i="4"/>
  <c r="Q18" i="4"/>
  <c r="L19" i="4"/>
  <c r="K19" i="4"/>
  <c r="M19" i="4"/>
  <c r="N19" i="4"/>
  <c r="O19" i="4"/>
  <c r="I19" i="4"/>
  <c r="P19" i="4"/>
  <c r="H19" i="4"/>
  <c r="Q19" i="4"/>
  <c r="L20" i="4"/>
  <c r="K20" i="4"/>
  <c r="M20" i="4"/>
  <c r="N20" i="4"/>
  <c r="O20" i="4"/>
  <c r="I20" i="4"/>
  <c r="P20" i="4"/>
  <c r="H20" i="4"/>
  <c r="Q20" i="4"/>
  <c r="L21" i="4"/>
  <c r="K21" i="4"/>
  <c r="M21" i="4"/>
  <c r="N21" i="4"/>
  <c r="O21" i="4"/>
  <c r="I21" i="4"/>
  <c r="P21" i="4"/>
  <c r="H21" i="4"/>
  <c r="Q21" i="4"/>
  <c r="L22" i="4"/>
  <c r="K22" i="4"/>
  <c r="M22" i="4"/>
  <c r="N22" i="4"/>
  <c r="O22" i="4"/>
  <c r="I22" i="4"/>
  <c r="P22" i="4"/>
  <c r="H22" i="4"/>
  <c r="Q22" i="4"/>
  <c r="L23" i="4"/>
  <c r="K23" i="4"/>
  <c r="M23" i="4"/>
  <c r="N23" i="4"/>
  <c r="O23" i="4"/>
  <c r="I23" i="4"/>
  <c r="P23" i="4"/>
  <c r="H23" i="4"/>
  <c r="Q23" i="4"/>
  <c r="L24" i="4"/>
  <c r="K24" i="4"/>
  <c r="M24" i="4"/>
  <c r="N24" i="4"/>
  <c r="O24" i="4"/>
  <c r="I24" i="4"/>
  <c r="P24" i="4"/>
  <c r="H24" i="4"/>
  <c r="Q24" i="4"/>
  <c r="L25" i="4"/>
  <c r="K25" i="4"/>
  <c r="M25" i="4"/>
  <c r="N25" i="4"/>
  <c r="O25" i="4"/>
  <c r="I25" i="4"/>
  <c r="P25" i="4"/>
  <c r="H25" i="4"/>
  <c r="Q25" i="4"/>
  <c r="N17" i="4"/>
  <c r="L17" i="4"/>
  <c r="K17" i="4"/>
  <c r="I17" i="4"/>
  <c r="H17" i="4"/>
  <c r="Q17" i="4"/>
  <c r="P17" i="4"/>
  <c r="O17" i="4"/>
  <c r="M17" i="4"/>
  <c r="G12" i="5"/>
  <c r="G4" i="5"/>
  <c r="G5" i="5"/>
  <c r="G6" i="5"/>
  <c r="G7" i="5"/>
  <c r="G8" i="5"/>
  <c r="G9" i="5"/>
  <c r="G10" i="5"/>
  <c r="G11" i="5"/>
  <c r="G3" i="5"/>
  <c r="B13" i="5"/>
  <c r="B3" i="5"/>
  <c r="B4" i="5"/>
  <c r="B5" i="5"/>
  <c r="B6" i="5"/>
  <c r="B7" i="5"/>
  <c r="B8" i="5"/>
  <c r="B9" i="5"/>
  <c r="B10" i="5"/>
  <c r="B11" i="5"/>
  <c r="B17" i="5"/>
  <c r="B18" i="5"/>
  <c r="B19" i="5"/>
  <c r="B20" i="5"/>
  <c r="B21" i="5"/>
  <c r="B22" i="5"/>
  <c r="B23" i="5"/>
  <c r="B24" i="5"/>
  <c r="B25" i="5"/>
  <c r="P130" i="2"/>
  <c r="N130" i="2"/>
  <c r="Q130" i="2"/>
  <c r="M130" i="2"/>
  <c r="K130" i="2"/>
  <c r="R130" i="2"/>
  <c r="J130" i="2"/>
  <c r="S130" i="2"/>
  <c r="O130" i="2"/>
  <c r="L130" i="2"/>
  <c r="P129" i="2"/>
  <c r="N129" i="2"/>
  <c r="M129" i="2"/>
  <c r="L129" i="2"/>
  <c r="K129" i="2"/>
  <c r="J129" i="2"/>
  <c r="S129" i="2"/>
  <c r="R129" i="2"/>
  <c r="Q129" i="2"/>
  <c r="O129" i="2"/>
  <c r="L116" i="2"/>
  <c r="L117" i="2"/>
  <c r="L118" i="2"/>
  <c r="L119" i="2"/>
  <c r="L120" i="2"/>
  <c r="L121" i="2"/>
  <c r="L122" i="2"/>
  <c r="J116" i="2"/>
  <c r="J117" i="2"/>
  <c r="J118" i="2"/>
  <c r="J119" i="2"/>
  <c r="J120" i="2"/>
  <c r="J121" i="2"/>
  <c r="J122" i="2"/>
  <c r="I116" i="2"/>
  <c r="I117" i="2"/>
  <c r="I118" i="2"/>
  <c r="I119" i="2"/>
  <c r="I120" i="2"/>
  <c r="I121" i="2"/>
  <c r="I122" i="2"/>
  <c r="H116" i="2"/>
  <c r="H117" i="2"/>
  <c r="H118" i="2"/>
  <c r="H119" i="2"/>
  <c r="H120" i="2"/>
  <c r="H121" i="2"/>
  <c r="H122" i="2"/>
  <c r="G116" i="2"/>
  <c r="G117" i="2"/>
  <c r="G118" i="2"/>
  <c r="G119" i="2"/>
  <c r="G120" i="2"/>
  <c r="G121" i="2"/>
  <c r="G122" i="2"/>
  <c r="F116" i="2"/>
  <c r="F117" i="2"/>
  <c r="F118" i="2"/>
  <c r="F119" i="2"/>
  <c r="F120" i="2"/>
  <c r="F121" i="2"/>
  <c r="F122" i="2"/>
  <c r="L115" i="2"/>
  <c r="J115" i="2"/>
  <c r="I115" i="2"/>
  <c r="H115" i="2"/>
  <c r="G115" i="2"/>
  <c r="F115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I102" i="2"/>
  <c r="I103" i="2"/>
  <c r="I104" i="2"/>
  <c r="I105" i="2"/>
  <c r="I106" i="2"/>
  <c r="I107" i="2"/>
  <c r="I108" i="2"/>
  <c r="H102" i="2"/>
  <c r="H103" i="2"/>
  <c r="H104" i="2"/>
  <c r="H105" i="2"/>
  <c r="H106" i="2"/>
  <c r="H107" i="2"/>
  <c r="H108" i="2"/>
  <c r="G102" i="2"/>
  <c r="G103" i="2"/>
  <c r="G104" i="2"/>
  <c r="G105" i="2"/>
  <c r="G106" i="2"/>
  <c r="G107" i="2"/>
  <c r="G108" i="2"/>
  <c r="F102" i="2"/>
  <c r="F103" i="2"/>
  <c r="F104" i="2"/>
  <c r="F105" i="2"/>
  <c r="F106" i="2"/>
  <c r="F107" i="2"/>
  <c r="F108" i="2"/>
  <c r="I101" i="2"/>
  <c r="G101" i="2"/>
  <c r="N101" i="2"/>
  <c r="L101" i="2"/>
  <c r="J101" i="2"/>
  <c r="H101" i="2"/>
  <c r="F101" i="2"/>
  <c r="O122" i="2"/>
  <c r="N122" i="2"/>
  <c r="M122" i="2"/>
  <c r="K122" i="2"/>
  <c r="O121" i="2"/>
  <c r="N121" i="2"/>
  <c r="M121" i="2"/>
  <c r="K121" i="2"/>
  <c r="O120" i="2"/>
  <c r="N120" i="2"/>
  <c r="M120" i="2"/>
  <c r="K120" i="2"/>
  <c r="O119" i="2"/>
  <c r="N119" i="2"/>
  <c r="M119" i="2"/>
  <c r="K119" i="2"/>
  <c r="O118" i="2"/>
  <c r="N118" i="2"/>
  <c r="M118" i="2"/>
  <c r="K118" i="2"/>
  <c r="O117" i="2"/>
  <c r="N117" i="2"/>
  <c r="M117" i="2"/>
  <c r="K117" i="2"/>
  <c r="O116" i="2"/>
  <c r="N116" i="2"/>
  <c r="M116" i="2"/>
  <c r="K116" i="2"/>
  <c r="O115" i="2"/>
  <c r="N115" i="2"/>
  <c r="M115" i="2"/>
  <c r="K115" i="2"/>
  <c r="K101" i="2"/>
  <c r="M101" i="2"/>
  <c r="O101" i="2"/>
  <c r="K102" i="2"/>
  <c r="M102" i="2"/>
  <c r="N102" i="2"/>
  <c r="O102" i="2"/>
  <c r="K103" i="2"/>
  <c r="M103" i="2"/>
  <c r="N103" i="2"/>
  <c r="O103" i="2"/>
  <c r="K104" i="2"/>
  <c r="M104" i="2"/>
  <c r="N104" i="2"/>
  <c r="O104" i="2"/>
  <c r="K105" i="2"/>
  <c r="M105" i="2"/>
  <c r="N105" i="2"/>
  <c r="O105" i="2"/>
  <c r="K106" i="2"/>
  <c r="M106" i="2"/>
  <c r="N106" i="2"/>
  <c r="O106" i="2"/>
  <c r="K107" i="2"/>
  <c r="M107" i="2"/>
  <c r="N107" i="2"/>
  <c r="O107" i="2"/>
  <c r="K108" i="2"/>
  <c r="M108" i="2"/>
  <c r="N108" i="2"/>
  <c r="O108" i="2"/>
  <c r="F94" i="2"/>
  <c r="O94" i="2"/>
  <c r="G94" i="2"/>
  <c r="N94" i="2"/>
  <c r="H94" i="2"/>
  <c r="F93" i="2"/>
  <c r="O93" i="2"/>
  <c r="G93" i="2"/>
  <c r="N93" i="2"/>
  <c r="H93" i="2"/>
  <c r="F92" i="2"/>
  <c r="O92" i="2"/>
  <c r="G92" i="2"/>
  <c r="N92" i="2"/>
  <c r="H92" i="2"/>
  <c r="F91" i="2"/>
  <c r="O91" i="2"/>
  <c r="G91" i="2"/>
  <c r="N91" i="2"/>
  <c r="H91" i="2"/>
  <c r="F90" i="2"/>
  <c r="O90" i="2"/>
  <c r="G90" i="2"/>
  <c r="N90" i="2"/>
  <c r="H90" i="2"/>
  <c r="F89" i="2"/>
  <c r="O89" i="2"/>
  <c r="G89" i="2"/>
  <c r="N89" i="2"/>
  <c r="H89" i="2"/>
  <c r="F88" i="2"/>
  <c r="O88" i="2"/>
  <c r="G88" i="2"/>
  <c r="N88" i="2"/>
  <c r="H88" i="2"/>
  <c r="F87" i="2"/>
  <c r="O87" i="2"/>
  <c r="G87" i="2"/>
  <c r="N87" i="2"/>
  <c r="H87" i="2"/>
  <c r="F75" i="2"/>
  <c r="O75" i="2"/>
  <c r="F76" i="2"/>
  <c r="O76" i="2"/>
  <c r="F77" i="2"/>
  <c r="O77" i="2"/>
  <c r="F78" i="2"/>
  <c r="O78" i="2"/>
  <c r="F79" i="2"/>
  <c r="O79" i="2"/>
  <c r="F80" i="2"/>
  <c r="O80" i="2"/>
  <c r="F81" i="2"/>
  <c r="O81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F74" i="2"/>
  <c r="O74" i="2"/>
  <c r="G74" i="2"/>
  <c r="N74" i="2"/>
  <c r="H75" i="2"/>
  <c r="H76" i="2"/>
  <c r="H77" i="2"/>
  <c r="H78" i="2"/>
  <c r="H79" i="2"/>
  <c r="H80" i="2"/>
  <c r="H81" i="2"/>
  <c r="H74" i="2"/>
  <c r="L19" i="2"/>
  <c r="Q53" i="2"/>
  <c r="O53" i="2"/>
  <c r="J53" i="2"/>
  <c r="L53" i="2"/>
  <c r="Q52" i="2"/>
  <c r="O52" i="2"/>
  <c r="J52" i="2"/>
  <c r="L52" i="2"/>
  <c r="Q51" i="2"/>
  <c r="O51" i="2"/>
  <c r="K51" i="2"/>
  <c r="J51" i="2"/>
  <c r="B35" i="2"/>
  <c r="C35" i="2"/>
  <c r="D35" i="2"/>
  <c r="E35" i="2"/>
  <c r="F35" i="2"/>
  <c r="G35" i="2"/>
  <c r="H35" i="2"/>
  <c r="I35" i="2"/>
  <c r="K6" i="1"/>
  <c r="C41" i="1"/>
  <c r="D41" i="1"/>
  <c r="E41" i="1"/>
  <c r="F41" i="1"/>
  <c r="G41" i="1"/>
  <c r="H41" i="1"/>
  <c r="I41" i="1"/>
  <c r="J41" i="1"/>
  <c r="J40" i="1"/>
  <c r="D40" i="1"/>
  <c r="E40" i="1"/>
  <c r="F40" i="1"/>
  <c r="G40" i="1"/>
  <c r="H40" i="1"/>
  <c r="I40" i="1"/>
  <c r="C40" i="1"/>
  <c r="I53" i="1"/>
  <c r="J39" i="1"/>
  <c r="I39" i="1"/>
  <c r="H39" i="1"/>
  <c r="G39" i="1"/>
  <c r="F39" i="1"/>
  <c r="E39" i="1"/>
  <c r="D39" i="1"/>
  <c r="C39" i="1"/>
  <c r="N9" i="1"/>
  <c r="O9" i="1"/>
  <c r="P9" i="1"/>
  <c r="Q9" i="1"/>
  <c r="R9" i="1"/>
  <c r="S9" i="1"/>
  <c r="T9" i="1"/>
  <c r="M9" i="1"/>
  <c r="T8" i="1"/>
  <c r="T7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B53" i="1"/>
  <c r="I52" i="1"/>
  <c r="G52" i="1"/>
  <c r="C52" i="1"/>
  <c r="D52" i="1"/>
  <c r="E52" i="1"/>
  <c r="F52" i="1"/>
  <c r="H5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2" i="1"/>
  <c r="D12" i="1"/>
  <c r="E12" i="1"/>
  <c r="F12" i="1"/>
  <c r="G12" i="1"/>
  <c r="H12" i="1"/>
  <c r="I12" i="1"/>
  <c r="B12" i="1"/>
  <c r="C18" i="1"/>
  <c r="D18" i="1"/>
  <c r="E18" i="1"/>
  <c r="F18" i="1"/>
  <c r="G18" i="1"/>
  <c r="H18" i="1"/>
  <c r="I18" i="1"/>
  <c r="B18" i="1"/>
  <c r="T51" i="1"/>
  <c r="T52" i="1"/>
  <c r="T53" i="1"/>
  <c r="E47" i="1"/>
  <c r="E48" i="1"/>
  <c r="E46" i="1"/>
  <c r="H48" i="1"/>
  <c r="H47" i="1"/>
  <c r="H46" i="1"/>
  <c r="D47" i="1"/>
  <c r="D48" i="1"/>
  <c r="D46" i="1"/>
  <c r="F47" i="1"/>
  <c r="F48" i="1"/>
  <c r="F46" i="1"/>
  <c r="C47" i="1"/>
  <c r="C48" i="1"/>
  <c r="C49" i="1"/>
  <c r="C50" i="1"/>
  <c r="C46" i="1"/>
  <c r="H36" i="1"/>
  <c r="H37" i="1"/>
  <c r="H35" i="1"/>
  <c r="H29" i="1"/>
  <c r="H30" i="1"/>
  <c r="H28" i="1"/>
  <c r="G36" i="1"/>
  <c r="G37" i="1"/>
  <c r="G35" i="1"/>
  <c r="G28" i="1"/>
  <c r="I28" i="1"/>
  <c r="J28" i="1"/>
  <c r="K28" i="1"/>
  <c r="G29" i="1"/>
  <c r="I29" i="1"/>
  <c r="J29" i="1"/>
  <c r="K29" i="1"/>
  <c r="G30" i="1"/>
  <c r="I30" i="1"/>
  <c r="J30" i="1"/>
  <c r="K30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<sst xmlns="http://schemas.openxmlformats.org/spreadsheetml/2006/main" count="379" uniqueCount="115">
  <si>
    <t>pov ray</t>
  </si>
  <si>
    <t>montage</t>
  </si>
  <si>
    <t>supernovae</t>
  </si>
  <si>
    <t>total size(byte)</t>
  </si>
  <si>
    <t>read size(byte)</t>
  </si>
  <si>
    <t>write size(byte)</t>
  </si>
  <si>
    <t>povray</t>
  </si>
  <si>
    <t>data locality</t>
  </si>
  <si>
    <t>data WAN</t>
  </si>
  <si>
    <t>data LAN</t>
  </si>
  <si>
    <t>burstbuffer evaluate</t>
  </si>
  <si>
    <t>one file</t>
  </si>
  <si>
    <t>one client</t>
  </si>
  <si>
    <t>s3 write(same file)</t>
  </si>
  <si>
    <t>s3 read(same file)</t>
  </si>
  <si>
    <t>burst buffer write</t>
  </si>
  <si>
    <t>burst buffer read</t>
  </si>
  <si>
    <t>s3 write</t>
  </si>
  <si>
    <t>s3 read</t>
  </si>
  <si>
    <t>multiple client</t>
  </si>
  <si>
    <t>burst buffer write same file</t>
  </si>
  <si>
    <t>burst buffer read different file</t>
  </si>
  <si>
    <t>burst buffer write different file</t>
  </si>
  <si>
    <t>burst buffer read same file</t>
  </si>
  <si>
    <t>Interconnection throughput</t>
  </si>
  <si>
    <t>1GB</t>
  </si>
  <si>
    <t>S3</t>
  </si>
  <si>
    <t>s3 read(different file)</t>
  </si>
  <si>
    <t>s3 write(different file)</t>
  </si>
  <si>
    <t>500M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</si>
  <si>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</si>
  <si>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</si>
  <si>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</si>
  <si>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</si>
  <si>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</si>
  <si>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</si>
  <si>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</si>
  <si>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</si>
  <si>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</si>
  <si>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</si>
  <si>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</si>
  <si>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tot</t>
  </si>
  <si>
    <t>burst buffer wirte different size</t>
  </si>
  <si>
    <t>throughput</t>
  </si>
  <si>
    <t>time usec</t>
  </si>
  <si>
    <t>1M</t>
  </si>
  <si>
    <t>10M</t>
  </si>
  <si>
    <t>100M</t>
  </si>
  <si>
    <t>1K</t>
  </si>
  <si>
    <t>10K</t>
  </si>
  <si>
    <t>100K</t>
  </si>
  <si>
    <t>1G</t>
  </si>
  <si>
    <t>10G</t>
  </si>
  <si>
    <t>200M</t>
  </si>
  <si>
    <t>300M</t>
  </si>
  <si>
    <t>400M</t>
  </si>
  <si>
    <t>600M</t>
  </si>
  <si>
    <t>700M</t>
  </si>
  <si>
    <t>800M</t>
  </si>
  <si>
    <t>900M</t>
  </si>
  <si>
    <t>MAX</t>
  </si>
  <si>
    <t>MIN</t>
  </si>
  <si>
    <t>AVERAGE</t>
  </si>
  <si>
    <t>Q1</t>
  </si>
  <si>
    <t>MEDIAN</t>
  </si>
  <si>
    <t>MEDIAN-Q1</t>
  </si>
  <si>
    <t>Q3</t>
  </si>
  <si>
    <t>Q1-MIN</t>
  </si>
  <si>
    <t>MAX-Q3</t>
  </si>
  <si>
    <t>max</t>
  </si>
  <si>
    <t>min</t>
  </si>
  <si>
    <t>mean</t>
  </si>
  <si>
    <t>median</t>
  </si>
  <si>
    <t>2Q-box</t>
  </si>
  <si>
    <t>Q3-MEDIAN</t>
  </si>
  <si>
    <t>3Q-box</t>
  </si>
  <si>
    <t>burst buffer read different file(buffered)</t>
  </si>
  <si>
    <t>burst buffer read different file(unbuffered)</t>
  </si>
  <si>
    <t>burst buffer read same file(unbuffered)</t>
  </si>
  <si>
    <r>
      <t>s</t>
    </r>
    <r>
      <rPr>
        <sz val="10"/>
        <rFont val="ＭＳ Ｐゴシック"/>
        <charset val="128"/>
      </rPr>
      <t>３</t>
    </r>
  </si>
  <si>
    <t>write throughput(MB/s)</t>
  </si>
  <si>
    <t>read throughput(MB/s)</t>
  </si>
  <si>
    <t>poission</t>
  </si>
  <si>
    <t>s3</t>
  </si>
  <si>
    <t>8nodes</t>
  </si>
  <si>
    <t>burst  buffers</t>
  </si>
  <si>
    <t>Montage</t>
  </si>
  <si>
    <t>POV-Ray</t>
  </si>
  <si>
    <t>Supernovae</t>
  </si>
  <si>
    <t>1 nodes</t>
  </si>
  <si>
    <t>cost</t>
  </si>
  <si>
    <t>data WAN(MB)</t>
  </si>
  <si>
    <t>data LAN(MB)</t>
  </si>
  <si>
    <t>8 nodes BB read/write</t>
  </si>
  <si>
    <t>8 node S3 read</t>
  </si>
  <si>
    <t>8 node s3 write</t>
  </si>
  <si>
    <t>1 nodes BB read/write</t>
  </si>
  <si>
    <t>1 nodes S3 read</t>
  </si>
  <si>
    <t>MB/s</t>
  </si>
  <si>
    <t>1 node s3 write</t>
  </si>
  <si>
    <t>write size</t>
  </si>
  <si>
    <t>read size</t>
  </si>
  <si>
    <t>MB</t>
  </si>
  <si>
    <t>8 nodes BB S3 read</t>
  </si>
  <si>
    <t>1 nodes BB s3 read</t>
  </si>
  <si>
    <r>
      <t>Q</t>
    </r>
    <r>
      <rPr>
        <sz val="10"/>
        <rFont val="ＭＳ Ｐゴシック"/>
        <charset val="128"/>
      </rPr>
      <t>１</t>
    </r>
  </si>
  <si>
    <t>low</t>
  </si>
  <si>
    <t>high</t>
  </si>
  <si>
    <t>Q１</t>
  </si>
  <si>
    <t>Q１mean</t>
  </si>
  <si>
    <t>S3 write</t>
  </si>
  <si>
    <t>S3 read</t>
  </si>
  <si>
    <t>Burst Buffers</t>
  </si>
  <si>
    <t>Q1-min</t>
  </si>
  <si>
    <t>Max-3Q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</si>
</sst>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宋体"/>
      <charset val="134"/>
    </font>
    <font>
      <sz val="10"/>
      <name val="ＭＳ Ｐゴシック"/>
      <charset val="128"/>
    </font>
    <font>
      <sz val="14"/>
      <color rgb="FF000099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9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/>
    <xf numFmtId="0" fontId="0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0" xfId="0" applyNumberFormat="1" applyFont="1"/>
    <xf numFmtId="0" fontId="6" fillId="0" borderId="0" xfId="0" applyFont="1"/>
  </cellXfs>
  <cellStyles count="4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7025654051"/>
          <c:y val="0.0454739444698126"/>
          <c:w val="0.867836056783225"/>
          <c:h val="0.7892002361091"/>
        </c:manualLayout>
      </c:layout>
      <c:barChart>
        <c:barDir val="col"/>
        <c:grouping val="clustered"/>
        <c:varyColors val="0"/>
        <c:ser>
          <c:idx val="0"/>
          <c:order val="0"/>
          <c:tx>
            <c:v>access to buffered file with I/O node</c:v>
          </c:tx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135.0</c:v>
                </c:pt>
                <c:pt idx="1">
                  <c:v>126.5625</c:v>
                </c:pt>
                <c:pt idx="2">
                  <c:v>118.828125</c:v>
                </c:pt>
                <c:pt idx="3">
                  <c:v>111.73095703125</c:v>
                </c:pt>
                <c:pt idx="4">
                  <c:v>105.211669921875</c:v>
                </c:pt>
                <c:pt idx="5">
                  <c:v>99.21684265136718</c:v>
                </c:pt>
                <c:pt idx="6">
                  <c:v>93.69834627423968</c:v>
                </c:pt>
                <c:pt idx="7">
                  <c:v>88.61279636621475</c:v>
                </c:pt>
              </c:numCache>
            </c:numRef>
          </c:val>
        </c:ser>
        <c:ser>
          <c:idx val="1"/>
          <c:order val="1"/>
          <c:tx>
            <c:v>read from unbuffered file  with I/O node</c:v>
          </c:tx>
          <c:invertIfNegative val="0"/>
          <c:val>
            <c:numRef>
              <c:f>Sheet1!$B$12:$I$12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2"/>
          <c:order val="2"/>
          <c:tx>
            <c:v>read without I/O node</c:v>
          </c:tx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12.99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3"/>
          <c:order val="3"/>
          <c:tx>
            <c:v>write without I/O node</c:v>
          </c:tx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12.99</c:v>
                </c:pt>
                <c:pt idx="1">
                  <c:v>12.99</c:v>
                </c:pt>
                <c:pt idx="2">
                  <c:v>12.99</c:v>
                </c:pt>
                <c:pt idx="3">
                  <c:v>12.99</c:v>
                </c:pt>
                <c:pt idx="4">
                  <c:v>12.99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486360"/>
        <c:axId val="2099593304"/>
      </c:barChart>
      <c:catAx>
        <c:axId val="209948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593304"/>
        <c:crosses val="autoZero"/>
        <c:auto val="1"/>
        <c:lblAlgn val="ctr"/>
        <c:lblOffset val="100"/>
        <c:noMultiLvlLbl val="0"/>
      </c:catAx>
      <c:valAx>
        <c:axId val="209959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86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455900398814"/>
          <c:y val="0.0373228346456693"/>
          <c:w val="0.539839707536558"/>
          <c:h val="0.2440231355519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'2'!$A$20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'2'!$A$21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4504"/>
        <c:axId val="-2121665640"/>
      </c:lineChart>
      <c:catAx>
        <c:axId val="-212201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665640"/>
        <c:crosses val="autoZero"/>
        <c:auto val="1"/>
        <c:lblAlgn val="ctr"/>
        <c:lblOffset val="100"/>
        <c:noMultiLvlLbl val="0"/>
      </c:catAx>
      <c:valAx>
        <c:axId val="-212166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14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07523766887"/>
          <c:y val="0.034805890227577"/>
          <c:w val="0.855948305374872"/>
          <c:h val="0.808978275305948"/>
        </c:manualLayout>
      </c:layout>
      <c:lineChart>
        <c:grouping val="standard"/>
        <c:varyColors val="0"/>
        <c:ser>
          <c:idx val="0"/>
          <c:order val="0"/>
          <c:tx>
            <c:strRef>
              <c:f>'2'!$A$27</c:f>
              <c:strCache>
                <c:ptCount val="1"/>
                <c:pt idx="0">
                  <c:v>s3 write(different file)</c:v>
                </c:pt>
              </c:strCache>
            </c:strRef>
          </c:tx>
          <c:marker>
            <c:symbol val="none"/>
          </c:marker>
          <c:cat>
            <c:numRef>
              <c:f>'2'!$B$26:$I$26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'2'!$B$27:$I$27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'2'!$A$28</c:f>
              <c:strCache>
                <c:ptCount val="1"/>
                <c:pt idx="0">
                  <c:v>s3 read(different file)</c:v>
                </c:pt>
              </c:strCache>
            </c:strRef>
          </c:tx>
          <c:marker>
            <c:symbol val="none"/>
          </c:marker>
          <c:cat>
            <c:numRef>
              <c:f>'2'!$B$26:$I$26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'2'!$B$28:$I$28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'2'!$A$35</c:f>
              <c:strCache>
                <c:ptCount val="1"/>
                <c:pt idx="0">
                  <c:v>Interconnection throughput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'2'!$B$26:$I$26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89144"/>
        <c:axId val="2099846280"/>
      </c:lineChart>
      <c:catAx>
        <c:axId val="-212198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846280"/>
        <c:crosses val="autoZero"/>
        <c:auto val="1"/>
        <c:lblAlgn val="ctr"/>
        <c:lblOffset val="100"/>
        <c:noMultiLvlLbl val="0"/>
      </c:catAx>
      <c:valAx>
        <c:axId val="209984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989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75300871672"/>
          <c:y val="0.127289630964804"/>
          <c:w val="0.485106523055855"/>
          <c:h val="0.322499446605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 write (different file)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695376290598"/>
          <c:y val="0.108333333333333"/>
          <c:w val="0.834273807068415"/>
          <c:h val="0.7122078325735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</c:errBars>
          <c:val>
            <c:numRef>
              <c:f>'2'!$I$74:$I$81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'2'!$K$74:$K$81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'2'!$M$74:$M$81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189624"/>
        <c:axId val="2110078216"/>
      </c:barChart>
      <c:catAx>
        <c:axId val="211218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078216"/>
        <c:crosses val="autoZero"/>
        <c:auto val="1"/>
        <c:lblAlgn val="ctr"/>
        <c:lblOffset val="100"/>
        <c:noMultiLvlLbl val="0"/>
      </c:catAx>
      <c:valAx>
        <c:axId val="2110078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0.00770416024653313"/>
              <c:y val="0.233088651747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21896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</a:t>
            </a:r>
            <a:r>
              <a:rPr lang="en-US" altLang="ja-JP" baseline="0"/>
              <a:t> read (different file)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</c:errBars>
          <c:val>
            <c:numRef>
              <c:f>'2'!$I$87:$I$94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'2'!$K$87:$K$94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'2'!$O$87:$O$94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</c:errBars>
          <c:val>
            <c:numRef>
              <c:f>'2'!$M$87:$M$94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241512"/>
        <c:axId val="2099522248"/>
      </c:barChart>
      <c:catAx>
        <c:axId val="210524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522248"/>
        <c:crosses val="autoZero"/>
        <c:auto val="1"/>
        <c:lblAlgn val="ctr"/>
        <c:lblOffset val="100"/>
        <c:noMultiLvlLbl val="0"/>
      </c:catAx>
      <c:valAx>
        <c:axId val="209952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241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 write (same file)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</c:errBars>
          <c:val>
            <c:numRef>
              <c:f>'2'!$I$101:$I$108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'2'!$K$101:$K$108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'2'!$M$101:$M$108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521224"/>
        <c:axId val="2110269352"/>
      </c:barChart>
      <c:catAx>
        <c:axId val="210452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269352"/>
        <c:crosses val="autoZero"/>
        <c:auto val="1"/>
        <c:lblAlgn val="ctr"/>
        <c:lblOffset val="100"/>
        <c:noMultiLvlLbl val="0"/>
      </c:catAx>
      <c:valAx>
        <c:axId val="2110269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521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S3 read (same file)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</c:errBars>
          <c:val>
            <c:numRef>
              <c:f>'2'!$I$115:$I$122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'2'!$K$115:$K$122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'2'!$M$115:$M$122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696072"/>
        <c:axId val="2110218040"/>
      </c:barChart>
      <c:catAx>
        <c:axId val="-213869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218040"/>
        <c:crosses val="autoZero"/>
        <c:auto val="1"/>
        <c:lblAlgn val="ctr"/>
        <c:lblOffset val="100"/>
        <c:noMultiLvlLbl val="0"/>
      </c:catAx>
      <c:valAx>
        <c:axId val="211021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696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1221930592"/>
          <c:y val="0.0529594288002135"/>
          <c:w val="0.826380990570623"/>
          <c:h val="0.797435180415532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'2'!$B$35:$I$35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19976"/>
        <c:axId val="2100144568"/>
      </c:scatterChart>
      <c:valAx>
        <c:axId val="-2117519976"/>
        <c:scaling>
          <c:orientation val="minMax"/>
          <c:max val="8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144568"/>
        <c:crosses val="autoZero"/>
        <c:crossBetween val="midCat"/>
        <c:majorUnit val="1.0"/>
      </c:valAx>
      <c:valAx>
        <c:axId val="210014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>
            <c:manualLayout>
              <c:xMode val="edge"/>
              <c:yMode val="edge"/>
              <c:x val="0.0"/>
              <c:y val="0.219926820588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7519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'2'!$R$129:$R$130</c:f>
                <c:numCache>
                  <c:formatCode>General</c:formatCode>
                  <c:ptCount val="2"/>
                  <c:pt idx="0">
                    <c:v>3.164579250000002</c:v>
                  </c:pt>
                  <c:pt idx="1">
                    <c:v>23.99902875</c:v>
                  </c:pt>
                </c:numCache>
              </c:numRef>
            </c:minus>
          </c:errBars>
          <c:cat>
            <c:strRef>
              <c:f>'2'!$A$129:$A$136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'2'!$M$129:$M$136</c:f>
              <c:numCache>
                <c:formatCode>General</c:formatCode>
                <c:ptCount val="8"/>
                <c:pt idx="0">
                  <c:v>40.98620325</c:v>
                </c:pt>
                <c:pt idx="1">
                  <c:v>38.34512875</c:v>
                </c:pt>
                <c:pt idx="2">
                  <c:v>131.19823749</c:v>
                </c:pt>
                <c:pt idx="3">
                  <c:v>131.19823749</c:v>
                </c:pt>
                <c:pt idx="4">
                  <c:v>67.30670000000001</c:v>
                </c:pt>
                <c:pt idx="5">
                  <c:v>51.27</c:v>
                </c:pt>
                <c:pt idx="6">
                  <c:v>131.19823749</c:v>
                </c:pt>
                <c:pt idx="7">
                  <c:v>131.19823749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'2'!$A$129:$A$136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'2'!$O$129:$O$130</c:f>
              <c:numCache>
                <c:formatCode>General</c:formatCode>
                <c:ptCount val="2"/>
                <c:pt idx="0">
                  <c:v>27.52396374999999</c:v>
                </c:pt>
                <c:pt idx="1">
                  <c:v>3.39447225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'2'!$S$129:$S$130</c:f>
                <c:numCache>
                  <c:formatCode>General</c:formatCode>
                  <c:ptCount val="2"/>
                  <c:pt idx="0">
                    <c:v>24.18774499999999</c:v>
                  </c:pt>
                  <c:pt idx="1">
                    <c:v>22.29782725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'2'!$A$129:$A$136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'2'!$Q$129:$Q$130</c:f>
              <c:numCache>
                <c:formatCode>General</c:formatCode>
                <c:ptCount val="2"/>
                <c:pt idx="0">
                  <c:v>26.58744000000002</c:v>
                </c:pt>
                <c:pt idx="1">
                  <c:v>22.52794575000001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264040"/>
        <c:axId val="2100269320"/>
      </c:barChart>
      <c:catAx>
        <c:axId val="209926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69320"/>
        <c:crosses val="autoZero"/>
        <c:auto val="1"/>
        <c:lblAlgn val="ctr"/>
        <c:lblOffset val="100"/>
        <c:noMultiLvlLbl val="0"/>
      </c:catAx>
      <c:valAx>
        <c:axId val="210026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99264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'2'!$A$6:$A$9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'2'!$B$6:$B$9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408280"/>
        <c:axId val="2112411288"/>
      </c:barChart>
      <c:catAx>
        <c:axId val="211240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11288"/>
        <c:crosses val="autoZero"/>
        <c:auto val="1"/>
        <c:lblAlgn val="ctr"/>
        <c:lblOffset val="100"/>
        <c:noMultiLvlLbl val="0"/>
      </c:catAx>
      <c:valAx>
        <c:axId val="2112411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08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23251248719"/>
          <c:y val="0.0421276595744681"/>
          <c:w val="0.875812594062861"/>
          <c:h val="0.8097376444965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Sheet3!$A$7:$A$21</c:f>
              <c:strCache>
                <c:ptCount val="1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100M</c:v>
                </c:pt>
                <c:pt idx="6">
                  <c:v>200M</c:v>
                </c:pt>
                <c:pt idx="7">
                  <c:v>300M</c:v>
                </c:pt>
                <c:pt idx="8">
                  <c:v>400M</c:v>
                </c:pt>
                <c:pt idx="9">
                  <c:v>500M</c:v>
                </c:pt>
                <c:pt idx="10">
                  <c:v>600M</c:v>
                </c:pt>
                <c:pt idx="11">
                  <c:v>700M</c:v>
                </c:pt>
                <c:pt idx="12">
                  <c:v>800M</c:v>
                </c:pt>
                <c:pt idx="13">
                  <c:v>900M</c:v>
                </c:pt>
                <c:pt idx="14">
                  <c:v>1G</c:v>
                </c:pt>
              </c:strCache>
            </c:strRef>
          </c:cat>
          <c:val>
            <c:numRef>
              <c:f>Sheet3!$B$7:$B$21</c:f>
              <c:numCache>
                <c:formatCode>General</c:formatCode>
                <c:ptCount val="15"/>
                <c:pt idx="0">
                  <c:v>0.041862</c:v>
                </c:pt>
                <c:pt idx="1">
                  <c:v>0.423406</c:v>
                </c:pt>
                <c:pt idx="2">
                  <c:v>7.888302</c:v>
                </c:pt>
                <c:pt idx="3">
                  <c:v>57.703405</c:v>
                </c:pt>
                <c:pt idx="4">
                  <c:v>249.07841</c:v>
                </c:pt>
                <c:pt idx="5">
                  <c:v>634.316524</c:v>
                </c:pt>
                <c:pt idx="6">
                  <c:v>280.132447</c:v>
                </c:pt>
                <c:pt idx="7">
                  <c:v>196.183062</c:v>
                </c:pt>
                <c:pt idx="8">
                  <c:v>171.268215</c:v>
                </c:pt>
                <c:pt idx="9">
                  <c:v>159.685228</c:v>
                </c:pt>
                <c:pt idx="10">
                  <c:v>151.735474</c:v>
                </c:pt>
                <c:pt idx="11">
                  <c:v>147.044552</c:v>
                </c:pt>
                <c:pt idx="12">
                  <c:v>143.663867</c:v>
                </c:pt>
                <c:pt idx="13">
                  <c:v>141.173968</c:v>
                </c:pt>
                <c:pt idx="14">
                  <c:v>139.183804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11000"/>
        <c:axId val="-2138897384"/>
      </c:barChart>
      <c:catAx>
        <c:axId val="210011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897384"/>
        <c:crosses val="autoZero"/>
        <c:auto val="1"/>
        <c:lblAlgn val="ctr"/>
        <c:lblOffset val="100"/>
        <c:noMultiLvlLbl val="0"/>
      </c:catAx>
      <c:valAx>
        <c:axId val="-213889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11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78508892682"/>
          <c:y val="0.0421895861148198"/>
          <c:w val="0.809788557898794"/>
          <c:h val="0.8199644670584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Sheet1!$B$52:$I$52</c:f>
              <c:numCache>
                <c:formatCode>General</c:formatCode>
                <c:ptCount val="8"/>
                <c:pt idx="0">
                  <c:v>117.1313641004589</c:v>
                </c:pt>
                <c:pt idx="1">
                  <c:v>85.17960677862233</c:v>
                </c:pt>
                <c:pt idx="2">
                  <c:v>137.1753667015181</c:v>
                </c:pt>
                <c:pt idx="3">
                  <c:v>124.6950577237625</c:v>
                </c:pt>
                <c:pt idx="4">
                  <c:v>125.9970581283951</c:v>
                </c:pt>
                <c:pt idx="5">
                  <c:v>145.4405550519406</c:v>
                </c:pt>
                <c:pt idx="6">
                  <c:v>157.2091272210226</c:v>
                </c:pt>
                <c:pt idx="7">
                  <c:v>159.9271879894092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Sheet1!$C$39:$J$39</c:f>
              <c:numCache>
                <c:formatCode>General</c:formatCode>
                <c:ptCount val="8"/>
                <c:pt idx="0">
                  <c:v>38.26573135406788</c:v>
                </c:pt>
                <c:pt idx="1">
                  <c:v>29.94980499036417</c:v>
                </c:pt>
                <c:pt idx="2">
                  <c:v>27.90321214512639</c:v>
                </c:pt>
                <c:pt idx="3">
                  <c:v>27.45540106524126</c:v>
                </c:pt>
                <c:pt idx="4">
                  <c:v>27.6718174166482</c:v>
                </c:pt>
                <c:pt idx="5">
                  <c:v>28.24045987615953</c:v>
                </c:pt>
                <c:pt idx="6">
                  <c:v>29.02710943180304</c:v>
                </c:pt>
                <c:pt idx="7">
                  <c:v>29.96414407877015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79960"/>
        <c:axId val="2099920408"/>
      </c:barChart>
      <c:catAx>
        <c:axId val="209937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920408"/>
        <c:crosses val="autoZero"/>
        <c:auto val="1"/>
        <c:lblAlgn val="ctr"/>
        <c:lblOffset val="100"/>
        <c:noMultiLvlLbl val="0"/>
      </c:catAx>
      <c:valAx>
        <c:axId val="2099920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379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305021749904"/>
          <c:y val="0.0698720603849752"/>
          <c:w val="0.269471394746985"/>
          <c:h val="0.1588536946900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C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317617180444"/>
          <c:y val="0.032258064516129"/>
          <c:w val="0.874306799706717"/>
          <c:h val="0.84074449828386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Sheet3!$N$4:$N$12</c:f>
                <c:numCache>
                  <c:formatCode>General</c:formatCode>
                  <c:ptCount val="9"/>
                  <c:pt idx="0">
                    <c:v>1.05E-5</c:v>
                  </c:pt>
                  <c:pt idx="1">
                    <c:v>1.05E-5</c:v>
                  </c:pt>
                  <c:pt idx="2">
                    <c:v>8.09999999999995E-5</c:v>
                  </c:pt>
                  <c:pt idx="3">
                    <c:v>6.00000000000045E-5</c:v>
                  </c:pt>
                  <c:pt idx="4">
                    <c:v>0.00491474999999997</c:v>
                  </c:pt>
                  <c:pt idx="5">
                    <c:v>0.00465749999999998</c:v>
                  </c:pt>
                  <c:pt idx="6">
                    <c:v>1.061805750000005</c:v>
                  </c:pt>
                  <c:pt idx="7">
                    <c:v>23.10696299999998</c:v>
                  </c:pt>
                  <c:pt idx="8">
                    <c:v>43.81893374999998</c:v>
                  </c:pt>
                </c:numCache>
              </c:numRef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Sheet3!$I$4:$I$12</c:f>
              <c:numCache>
                <c:formatCode>General</c:formatCode>
                <c:ptCount val="9"/>
                <c:pt idx="0">
                  <c:v>3.75E-5</c:v>
                </c:pt>
                <c:pt idx="1">
                  <c:v>0.0004175</c:v>
                </c:pt>
                <c:pt idx="2">
                  <c:v>0.004154</c:v>
                </c:pt>
                <c:pt idx="3">
                  <c:v>0.04087</c:v>
                </c:pt>
                <c:pt idx="4">
                  <c:v>0.40289275</c:v>
                </c:pt>
                <c:pt idx="5">
                  <c:v>3.9918985</c:v>
                </c:pt>
                <c:pt idx="6">
                  <c:v>36.30161275</c:v>
                </c:pt>
                <c:pt idx="7">
                  <c:v>241.376089</c:v>
                </c:pt>
                <c:pt idx="8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Sheet3!$K$4:$K$12</c:f>
              <c:numCache>
                <c:formatCode>General</c:formatCode>
                <c:ptCount val="9"/>
                <c:pt idx="0">
                  <c:v>3.5E-6</c:v>
                </c:pt>
                <c:pt idx="1">
                  <c:v>0.00017</c:v>
                </c:pt>
                <c:pt idx="2">
                  <c:v>0.001536</c:v>
                </c:pt>
                <c:pt idx="3">
                  <c:v>0.000505999999999999</c:v>
                </c:pt>
                <c:pt idx="4">
                  <c:v>0.01107575</c:v>
                </c:pt>
                <c:pt idx="5">
                  <c:v>0.287657</c:v>
                </c:pt>
                <c:pt idx="6">
                  <c:v>10.11920524999999</c:v>
                </c:pt>
                <c:pt idx="7">
                  <c:v>38.3847725</c:v>
                </c:pt>
                <c:pt idx="8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Sheet3!$O$4:$O$12</c:f>
                <c:numCache>
                  <c:formatCode>General</c:formatCode>
                  <c:ptCount val="9"/>
                  <c:pt idx="0">
                    <c:v>2.625E-5</c:v>
                  </c:pt>
                  <c:pt idx="1">
                    <c:v>2.1E-6</c:v>
                  </c:pt>
                  <c:pt idx="2">
                    <c:v>0.0004695</c:v>
                  </c:pt>
                  <c:pt idx="3">
                    <c:v>0.026802</c:v>
                  </c:pt>
                  <c:pt idx="4">
                    <c:v>0.26061375</c:v>
                  </c:pt>
                  <c:pt idx="5">
                    <c:v>2.4919815</c:v>
                  </c:pt>
                  <c:pt idx="6">
                    <c:v>1.137987750000001</c:v>
                  </c:pt>
                  <c:pt idx="7">
                    <c:v>11.44331925</c:v>
                  </c:pt>
                  <c:pt idx="8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Sheet3!$M$4:$M$12</c:f>
              <c:numCache>
                <c:formatCode>General</c:formatCode>
                <c:ptCount val="9"/>
                <c:pt idx="0">
                  <c:v>8.75E-6</c:v>
                </c:pt>
                <c:pt idx="1">
                  <c:v>0.0001672</c:v>
                </c:pt>
                <c:pt idx="2">
                  <c:v>0.0016655</c:v>
                </c:pt>
                <c:pt idx="3">
                  <c:v>0.00941999999999999</c:v>
                </c:pt>
                <c:pt idx="4">
                  <c:v>0.09630875</c:v>
                </c:pt>
                <c:pt idx="5">
                  <c:v>1.116765</c:v>
                </c:pt>
                <c:pt idx="6">
                  <c:v>10.14459925</c:v>
                </c:pt>
                <c:pt idx="7">
                  <c:v>34.49689125000003</c:v>
                </c:pt>
                <c:pt idx="8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384936"/>
        <c:axId val="2100012600"/>
      </c:barChart>
      <c:catAx>
        <c:axId val="211238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012600"/>
        <c:crosses val="autoZero"/>
        <c:auto val="1"/>
        <c:lblAlgn val="ctr"/>
        <c:lblOffset val="100"/>
        <c:noMultiLvlLbl val="0"/>
      </c:catAx>
      <c:valAx>
        <c:axId val="210001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84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973360806535"/>
          <c:y val="0.345845137844122"/>
          <c:w val="0.10866449892144"/>
          <c:h val="0.1906753482737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B(write)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74928133983"/>
          <c:y val="0.0263157894736842"/>
          <c:w val="0.856268507426232"/>
          <c:h val="0.827058242213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Sheet4!$P$3:$P$12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0.0002675</c:v>
                  </c:pt>
                  <c:pt idx="3">
                    <c:v>0.00213475</c:v>
                  </c:pt>
                  <c:pt idx="4">
                    <c:v>0.06564275</c:v>
                  </c:pt>
                  <c:pt idx="5">
                    <c:v>0.0139462499999999</c:v>
                  </c:pt>
                  <c:pt idx="6">
                    <c:v>0.0467792500000002</c:v>
                  </c:pt>
                  <c:pt idx="7">
                    <c:v>1.242100499999999</c:v>
                  </c:pt>
                  <c:pt idx="8">
                    <c:v>35.7007335</c:v>
                  </c:pt>
                  <c:pt idx="9">
                    <c:v>6.503548249999994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0.0012735</c:v>
                </c:pt>
                <c:pt idx="3">
                  <c:v>0.01630775</c:v>
                </c:pt>
                <c:pt idx="4">
                  <c:v>0.18355175</c:v>
                </c:pt>
                <c:pt idx="5">
                  <c:v>0.65758725</c:v>
                </c:pt>
                <c:pt idx="6">
                  <c:v>4.51311825</c:v>
                </c:pt>
                <c:pt idx="7">
                  <c:v>17.4466665</c:v>
                </c:pt>
                <c:pt idx="8">
                  <c:v>58.4936895</c:v>
                </c:pt>
                <c:pt idx="9">
                  <c:v>61.33322325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Sheet4!$M$3:$M$12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0.0002225</c:v>
                </c:pt>
                <c:pt idx="3">
                  <c:v>0.00184375</c:v>
                </c:pt>
                <c:pt idx="4">
                  <c:v>0.04009125</c:v>
                </c:pt>
                <c:pt idx="5">
                  <c:v>0.27400025</c:v>
                </c:pt>
                <c:pt idx="6">
                  <c:v>1.101593250000001</c:v>
                </c:pt>
                <c:pt idx="7">
                  <c:v>2.763863000000001</c:v>
                </c:pt>
                <c:pt idx="8">
                  <c:v>5.083717499999992</c:v>
                </c:pt>
                <c:pt idx="9">
                  <c:v>2.604048250000005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Sheet4!$Q$3:$Q$12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0.00165675</c:v>
                  </c:pt>
                  <c:pt idx="3">
                    <c:v>0.00846375</c:v>
                  </c:pt>
                  <c:pt idx="4">
                    <c:v>0.080996</c:v>
                  </c:pt>
                  <c:pt idx="5">
                    <c:v>0.275955</c:v>
                  </c:pt>
                  <c:pt idx="6">
                    <c:v>4.82944175</c:v>
                  </c:pt>
                  <c:pt idx="7">
                    <c:v>1.590383750000001</c:v>
                  </c:pt>
                  <c:pt idx="8">
                    <c:v>4.842517999999998</c:v>
                  </c:pt>
                  <c:pt idx="9">
                    <c:v>6.962385675000007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Sheet4!$O$3:$O$12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0.00058025</c:v>
                </c:pt>
                <c:pt idx="3">
                  <c:v>0.01083475</c:v>
                </c:pt>
                <c:pt idx="4">
                  <c:v>0.07191</c:v>
                </c:pt>
                <c:pt idx="5">
                  <c:v>0.5793845</c:v>
                </c:pt>
                <c:pt idx="6">
                  <c:v>2.00976675</c:v>
                </c:pt>
                <c:pt idx="7">
                  <c:v>3.68114375</c:v>
                </c:pt>
                <c:pt idx="8">
                  <c:v>11.49217200000001</c:v>
                </c:pt>
                <c:pt idx="9">
                  <c:v>2.411164824999993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348584"/>
        <c:axId val="2110320648"/>
      </c:barChart>
      <c:catAx>
        <c:axId val="-213834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0320648"/>
        <c:crosses val="autoZero"/>
        <c:auto val="1"/>
        <c:lblAlgn val="ctr"/>
        <c:lblOffset val="100"/>
        <c:noMultiLvlLbl val="0"/>
      </c:catAx>
      <c:valAx>
        <c:axId val="2110320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834858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1766029246344"/>
          <c:y val="0.254976728617425"/>
          <c:w val="0.13230800544319"/>
          <c:h val="0.0756688082701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B(read)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319605732737"/>
          <c:y val="0.0367231638418079"/>
          <c:w val="0.84820003158631"/>
          <c:h val="0.79676352955880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Sheet4!$P$16:$P$25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6E-6</c:v>
                  </c:pt>
                  <c:pt idx="3">
                    <c:v>2.325E-5</c:v>
                  </c:pt>
                  <c:pt idx="4">
                    <c:v>8.80000000000001E-5</c:v>
                  </c:pt>
                  <c:pt idx="5">
                    <c:v>0.00076625</c:v>
                  </c:pt>
                  <c:pt idx="6">
                    <c:v>0.01146175</c:v>
                  </c:pt>
                  <c:pt idx="7">
                    <c:v>0.11561825</c:v>
                  </c:pt>
                  <c:pt idx="8">
                    <c:v>1.331813250000001</c:v>
                  </c:pt>
                  <c:pt idx="9">
                    <c:v>11.31832675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Sheet4!$K$16:$K$25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1.1E-5</c:v>
                </c:pt>
                <c:pt idx="3">
                  <c:v>7.225E-5</c:v>
                </c:pt>
                <c:pt idx="4">
                  <c:v>0.000804</c:v>
                </c:pt>
                <c:pt idx="5">
                  <c:v>0.00829025</c:v>
                </c:pt>
                <c:pt idx="6">
                  <c:v>0.08800675</c:v>
                </c:pt>
                <c:pt idx="7">
                  <c:v>0.93335125</c:v>
                </c:pt>
                <c:pt idx="8">
                  <c:v>9.53255325</c:v>
                </c:pt>
                <c:pt idx="9">
                  <c:v>91.41476275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1.0E-6</c:v>
                </c:pt>
                <c:pt idx="3">
                  <c:v>1.625E-5</c:v>
                </c:pt>
                <c:pt idx="4">
                  <c:v>0.000179</c:v>
                </c:pt>
                <c:pt idx="5">
                  <c:v>0.000550749999999999</c:v>
                </c:pt>
                <c:pt idx="6">
                  <c:v>0.01327325</c:v>
                </c:pt>
                <c:pt idx="7">
                  <c:v>0.15193625</c:v>
                </c:pt>
                <c:pt idx="8">
                  <c:v>1.040577749999999</c:v>
                </c:pt>
                <c:pt idx="9">
                  <c:v>16.80589525000001</c:v>
                </c:pt>
              </c:numCache>
            </c:numRef>
          </c:val>
        </c:ser>
        <c:ser>
          <c:idx val="2"/>
          <c:order val="2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Sheet4!$Q$16:$Q$25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1.55E-5</c:v>
                  </c:pt>
                  <c:pt idx="4">
                    <c:v>0.00010725</c:v>
                  </c:pt>
                  <c:pt idx="5">
                    <c:v>0.001092</c:v>
                  </c:pt>
                  <c:pt idx="6">
                    <c:v>0.00966950000000002</c:v>
                  </c:pt>
                  <c:pt idx="7">
                    <c:v>0.0705497500000001</c:v>
                  </c:pt>
                  <c:pt idx="8">
                    <c:v>0.464809000000001</c:v>
                  </c:pt>
                  <c:pt idx="9">
                    <c:v>2.783083749999988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Sheet4!$O$16:$O$25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9.99999999999999E-7</c:v>
                </c:pt>
                <c:pt idx="3">
                  <c:v>2.9E-5</c:v>
                </c:pt>
                <c:pt idx="4">
                  <c:v>0.00023675</c:v>
                </c:pt>
                <c:pt idx="5">
                  <c:v>0.003436</c:v>
                </c:pt>
                <c:pt idx="6">
                  <c:v>0.0222215</c:v>
                </c:pt>
                <c:pt idx="7">
                  <c:v>0.17121875</c:v>
                </c:pt>
                <c:pt idx="8">
                  <c:v>2.128437</c:v>
                </c:pt>
                <c:pt idx="9">
                  <c:v>8.079006250000006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822488"/>
        <c:axId val="2098260104"/>
      </c:barChart>
      <c:catAx>
        <c:axId val="-213882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8260104"/>
        <c:crosses val="autoZero"/>
        <c:auto val="1"/>
        <c:lblAlgn val="ctr"/>
        <c:lblOffset val="100"/>
        <c:noMultiLvlLbl val="0"/>
      </c:catAx>
      <c:valAx>
        <c:axId val="209826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82248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20585815462475"/>
          <c:y val="0.367114417901152"/>
          <c:w val="0.11954673645737"/>
          <c:h val="0.07597956312955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346168"/>
        <c:axId val="2099438408"/>
      </c:barChart>
      <c:catAx>
        <c:axId val="210534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38408"/>
        <c:crosses val="autoZero"/>
        <c:auto val="1"/>
        <c:lblAlgn val="ctr"/>
        <c:lblOffset val="100"/>
        <c:noMultiLvlLbl val="0"/>
      </c:catAx>
      <c:valAx>
        <c:axId val="2099438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346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641041053074"/>
          <c:y val="0.041014799154334"/>
          <c:w val="0.83867981006191"/>
          <c:h val="0.861663365018062"/>
        </c:manualLayout>
      </c:layout>
      <c:barChart>
        <c:barDir val="col"/>
        <c:grouping val="clustered"/>
        <c:varyColors val="0"/>
        <c:ser>
          <c:idx val="1"/>
          <c:order val="1"/>
          <c:tx>
            <c:v>20%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Sheet5!$B$3:$B$11</c:f>
              <c:numCache>
                <c:formatCode>General</c:formatCode>
                <c:ptCount val="9"/>
                <c:pt idx="0">
                  <c:v>0.270670566473225</c:v>
                </c:pt>
                <c:pt idx="1">
                  <c:v>0.270670566473225</c:v>
                </c:pt>
                <c:pt idx="2">
                  <c:v>0.180447044315484</c:v>
                </c:pt>
                <c:pt idx="3">
                  <c:v>0.0902235221577418</c:v>
                </c:pt>
                <c:pt idx="4">
                  <c:v>0.0360894088630967</c:v>
                </c:pt>
                <c:pt idx="5">
                  <c:v>0.0120298029543656</c:v>
                </c:pt>
                <c:pt idx="6">
                  <c:v>0.00343708655839016</c:v>
                </c:pt>
                <c:pt idx="7">
                  <c:v>0.000859271639597541</c:v>
                </c:pt>
                <c:pt idx="8">
                  <c:v>0.000190949253243898</c:v>
                </c:pt>
              </c:numCache>
            </c:numRef>
          </c:val>
        </c:ser>
        <c:ser>
          <c:idx val="2"/>
          <c:order val="2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009400"/>
        <c:axId val="2105143432"/>
      </c:barChart>
      <c:catAx>
        <c:axId val="211000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5143432"/>
        <c:crosses val="autoZero"/>
        <c:auto val="1"/>
        <c:lblAlgn val="ctr"/>
        <c:lblOffset val="100"/>
        <c:noMultiLvlLbl val="0"/>
      </c:catAx>
      <c:valAx>
        <c:axId val="210514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09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209313818597103"/>
          <c:h val="0.198396897005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56920"/>
        <c:axId val="2109759928"/>
      </c:barChart>
      <c:catAx>
        <c:axId val="2109756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9759928"/>
        <c:crosses val="autoZero"/>
        <c:auto val="1"/>
        <c:lblAlgn val="ctr"/>
        <c:lblOffset val="100"/>
        <c:noMultiLvlLbl val="0"/>
      </c:catAx>
      <c:valAx>
        <c:axId val="2109759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56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154351981799648"/>
          <c:h val="0.111716153662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88472"/>
        <c:axId val="2099945096"/>
      </c:barChart>
      <c:catAx>
        <c:axId val="2099588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99945096"/>
        <c:crosses val="autoZero"/>
        <c:auto val="1"/>
        <c:lblAlgn val="ctr"/>
        <c:lblOffset val="100"/>
        <c:noMultiLvlLbl val="0"/>
      </c:catAx>
      <c:valAx>
        <c:axId val="209994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588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0115475527318"/>
          <c:y val="0.30352247566392"/>
          <c:w val="0.0693491516237334"/>
          <c:h val="0.06683165852188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05528"/>
        <c:axId val="2109908504"/>
      </c:barChart>
      <c:catAx>
        <c:axId val="210990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08504"/>
        <c:crosses val="autoZero"/>
        <c:auto val="1"/>
        <c:lblAlgn val="ctr"/>
        <c:lblOffset val="100"/>
        <c:noMultiLvlLbl val="0"/>
      </c:catAx>
      <c:valAx>
        <c:axId val="2109908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905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210200"/>
        <c:axId val="2100226472"/>
      </c:barChart>
      <c:catAx>
        <c:axId val="210521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26472"/>
        <c:crosses val="autoZero"/>
        <c:auto val="1"/>
        <c:lblAlgn val="ctr"/>
        <c:lblOffset val="100"/>
        <c:noMultiLvlLbl val="0"/>
      </c:catAx>
      <c:valAx>
        <c:axId val="210022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210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382616"/>
        <c:axId val="2099779960"/>
      </c:barChart>
      <c:catAx>
        <c:axId val="209838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79960"/>
        <c:crosses val="autoZero"/>
        <c:auto val="1"/>
        <c:lblAlgn val="ctr"/>
        <c:lblOffset val="100"/>
        <c:noMultiLvlLbl val="0"/>
      </c:catAx>
      <c:valAx>
        <c:axId val="209977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382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392675456"/>
          <c:y val="0.0331210191082802"/>
          <c:w val="0.829982779698448"/>
          <c:h val="0.831787752645569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Sheet1!$B$53:$I$53</c:f>
              <c:numCache>
                <c:formatCode>General</c:formatCode>
                <c:ptCount val="8"/>
                <c:pt idx="0">
                  <c:v>1191.607545902002</c:v>
                </c:pt>
                <c:pt idx="1">
                  <c:v>599.000120562443</c:v>
                </c:pt>
                <c:pt idx="2">
                  <c:v>430.0311821042008</c:v>
                </c:pt>
                <c:pt idx="3">
                  <c:v>330.4505351672258</c:v>
                </c:pt>
                <c:pt idx="4">
                  <c:v>273.730922852501</c:v>
                </c:pt>
                <c:pt idx="5">
                  <c:v>240.2058722751854</c:v>
                </c:pt>
                <c:pt idx="6">
                  <c:v>218.7006055612087</c:v>
                </c:pt>
                <c:pt idx="7">
                  <c:v>198.6547922774129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Sheet1!$C$40:$J$40</c:f>
              <c:numCache>
                <c:formatCode>General</c:formatCode>
                <c:ptCount val="8"/>
                <c:pt idx="0">
                  <c:v>1156.718560853286</c:v>
                </c:pt>
                <c:pt idx="1">
                  <c:v>581.5970561629154</c:v>
                </c:pt>
                <c:pt idx="2">
                  <c:v>390.1507402427662</c:v>
                </c:pt>
                <c:pt idx="3">
                  <c:v>294.6345305594738</c:v>
                </c:pt>
                <c:pt idx="4">
                  <c:v>237.4992509470294</c:v>
                </c:pt>
                <c:pt idx="5">
                  <c:v>199.5616689173082</c:v>
                </c:pt>
                <c:pt idx="6">
                  <c:v>172.6002178193331</c:v>
                </c:pt>
                <c:pt idx="7">
                  <c:v>152.5039300297019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78008"/>
        <c:axId val="-2138911992"/>
      </c:barChart>
      <c:catAx>
        <c:axId val="209857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8911992"/>
        <c:crosses val="autoZero"/>
        <c:auto val="1"/>
        <c:lblAlgn val="ctr"/>
        <c:lblOffset val="100"/>
        <c:noMultiLvlLbl val="0"/>
      </c:catAx>
      <c:valAx>
        <c:axId val="-213891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578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796156323531"/>
          <c:y val="0.28322824615076"/>
          <c:w val="0.279283977232395"/>
          <c:h val="0.2042441446411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400520"/>
        <c:axId val="2105511544"/>
      </c:barChart>
      <c:catAx>
        <c:axId val="210040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11544"/>
        <c:crosses val="autoZero"/>
        <c:auto val="1"/>
        <c:lblAlgn val="ctr"/>
        <c:lblOffset val="100"/>
        <c:noMultiLvlLbl val="0"/>
      </c:catAx>
      <c:valAx>
        <c:axId val="2105511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400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9 in paper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'2'!$A$20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'2'!$A$21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72856"/>
        <c:axId val="2113455160"/>
      </c:lineChart>
      <c:catAx>
        <c:axId val="211347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455160"/>
        <c:crosses val="autoZero"/>
        <c:auto val="1"/>
        <c:lblAlgn val="ctr"/>
        <c:lblOffset val="100"/>
        <c:noMultiLvlLbl val="0"/>
      </c:catAx>
      <c:valAx>
        <c:axId val="211345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472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'2'!$A$6:$A$9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'2'!$B$6:$B$9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375048"/>
        <c:axId val="2113378056"/>
      </c:barChart>
      <c:catAx>
        <c:axId val="211337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78056"/>
        <c:crosses val="autoZero"/>
        <c:auto val="1"/>
        <c:lblAlgn val="ctr"/>
        <c:lblOffset val="100"/>
        <c:noMultiLvlLbl val="0"/>
      </c:catAx>
      <c:valAx>
        <c:axId val="211337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75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8 1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325784"/>
        <c:axId val="2113317256"/>
      </c:barChart>
      <c:catAx>
        <c:axId val="211332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17256"/>
        <c:crosses val="autoZero"/>
        <c:auto val="1"/>
        <c:lblAlgn val="ctr"/>
        <c:lblOffset val="100"/>
        <c:noMultiLvlLbl val="0"/>
      </c:catAx>
      <c:valAx>
        <c:axId val="2113317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25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69160104987"/>
          <c:y val="0.0364876385336743"/>
          <c:w val="0.850854841061534"/>
          <c:h val="0.80173811606882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Sheet8!$D$16:$D$23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42.13222625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Sheet8!$E$16:$E$23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111.48871825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Sheet8!$H$16:$H$23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38.59373724999997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Sheet8!$J$16:$J$23</c:f>
                <c:numCache>
                  <c:formatCode>General</c:formatCode>
                  <c:ptCount val="8"/>
                  <c:pt idx="0">
                    <c:v>20.612047</c:v>
                  </c:pt>
                  <c:pt idx="1">
                    <c:v>29.094819</c:v>
                  </c:pt>
                  <c:pt idx="2">
                    <c:v>28.65133250000002</c:v>
                  </c:pt>
                  <c:pt idx="3">
                    <c:v>5.060834750000026</c:v>
                  </c:pt>
                  <c:pt idx="4">
                    <c:v>4.2864</c:v>
                  </c:pt>
                  <c:pt idx="5">
                    <c:v>62.18429825000001</c:v>
                  </c:pt>
                  <c:pt idx="6">
                    <c:v>11.89659825000001</c:v>
                  </c:pt>
                  <c:pt idx="7">
                    <c:v>50.47058800000002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Sheet8!$I$16:$I$23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Sheet8!$R$16:$R$23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96.29574549999998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Sheet8!$K$16:$K$23</c:f>
              <c:numCache>
                <c:formatCode>General</c:formatCode>
                <c:ptCount val="8"/>
                <c:pt idx="0">
                  <c:v>0.0</c:v>
                </c:pt>
                <c:pt idx="1">
                  <c:v>22.77702174999999</c:v>
                </c:pt>
                <c:pt idx="2">
                  <c:v>8.32670624999997</c:v>
                </c:pt>
                <c:pt idx="3">
                  <c:v>0.0</c:v>
                </c:pt>
                <c:pt idx="4">
                  <c:v>0.370800499999987</c:v>
                </c:pt>
                <c:pt idx="5">
                  <c:v>24.42129774999995</c:v>
                </c:pt>
                <c:pt idx="6">
                  <c:v>183.8419105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Sheet8!$O$16:$O$23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21.33440350000001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Sheet8!$Q$16:$Q$23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Sheet8!$P$16:$P$23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231080"/>
        <c:axId val="2113225448"/>
      </c:barChart>
      <c:catAx>
        <c:axId val="211323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3225448"/>
        <c:crosses val="autoZero"/>
        <c:auto val="1"/>
        <c:lblAlgn val="ctr"/>
        <c:lblOffset val="100"/>
        <c:noMultiLvlLbl val="0"/>
      </c:catAx>
      <c:valAx>
        <c:axId val="2113225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3108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7050281909206"/>
          <c:y val="0.071398913677457"/>
          <c:w val="0.200215651984814"/>
          <c:h val="0.208296379832316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6091033136"/>
          <c:y val="0.0385109114249037"/>
          <c:w val="0.844612495775071"/>
          <c:h val="0.814257729978875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Sheet1!$B$54:$I$54</c:f>
              <c:numCache>
                <c:formatCode>General</c:formatCode>
                <c:ptCount val="8"/>
                <c:pt idx="0">
                  <c:v>1568.793017280977</c:v>
                </c:pt>
                <c:pt idx="1">
                  <c:v>873.134724609468</c:v>
                </c:pt>
                <c:pt idx="2">
                  <c:v>768.703109263365</c:v>
                </c:pt>
                <c:pt idx="3">
                  <c:v>628.7230132795684</c:v>
                </c:pt>
                <c:pt idx="4">
                  <c:v>566.4090920222394</c:v>
                </c:pt>
                <c:pt idx="5">
                  <c:v>578.842415903811</c:v>
                </c:pt>
                <c:pt idx="6">
                  <c:v>570.2246305209353</c:v>
                </c:pt>
                <c:pt idx="7">
                  <c:v>555.7118471823913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Sheet1!$C$41:$J$41</c:f>
              <c:numCache>
                <c:formatCode>General</c:formatCode>
                <c:ptCount val="8"/>
                <c:pt idx="0">
                  <c:v>1446.335882976674</c:v>
                </c:pt>
                <c:pt idx="1">
                  <c:v>772.4900908507483</c:v>
                </c:pt>
                <c:pt idx="2">
                  <c:v>549.3956852560955</c:v>
                </c:pt>
                <c:pt idx="3">
                  <c:v>439.055061901879</c:v>
                </c:pt>
                <c:pt idx="4">
                  <c:v>373.8677690612373</c:v>
                </c:pt>
                <c:pt idx="5">
                  <c:v>331.299309709117</c:v>
                </c:pt>
                <c:pt idx="6">
                  <c:v>301.690985228439</c:v>
                </c:pt>
                <c:pt idx="7">
                  <c:v>280.2123717906054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462424"/>
        <c:axId val="2099256712"/>
      </c:barChart>
      <c:catAx>
        <c:axId val="-213846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256712"/>
        <c:crosses val="autoZero"/>
        <c:auto val="1"/>
        <c:lblAlgn val="ctr"/>
        <c:lblOffset val="100"/>
        <c:noMultiLvlLbl val="0"/>
      </c:catAx>
      <c:valAx>
        <c:axId val="209925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462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94896285818"/>
          <c:y val="0.204536807738571"/>
          <c:w val="0.219237885407408"/>
          <c:h val="0.140332548290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40904"/>
        <c:axId val="2110419896"/>
      </c:barChart>
      <c:catAx>
        <c:axId val="211034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19896"/>
        <c:crosses val="autoZero"/>
        <c:auto val="1"/>
        <c:lblAlgn val="ctr"/>
        <c:lblOffset val="100"/>
        <c:noMultiLvlLbl val="0"/>
      </c:catAx>
      <c:valAx>
        <c:axId val="2110419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340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00840"/>
        <c:axId val="2099581880"/>
      </c:barChart>
      <c:catAx>
        <c:axId val="-213900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81880"/>
        <c:crosses val="autoZero"/>
        <c:auto val="1"/>
        <c:lblAlgn val="ctr"/>
        <c:lblOffset val="100"/>
        <c:noMultiLvlLbl val="0"/>
      </c:catAx>
      <c:valAx>
        <c:axId val="209958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000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447016"/>
        <c:axId val="-2138444040"/>
      </c:barChart>
      <c:catAx>
        <c:axId val="-213844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444040"/>
        <c:crosses val="autoZero"/>
        <c:auto val="1"/>
        <c:lblAlgn val="ctr"/>
        <c:lblOffset val="100"/>
        <c:noMultiLvlLbl val="0"/>
      </c:catAx>
      <c:valAx>
        <c:axId val="-2138444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447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79368"/>
        <c:axId val="2098789496"/>
      </c:barChart>
      <c:catAx>
        <c:axId val="209957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789496"/>
        <c:crosses val="autoZero"/>
        <c:auto val="1"/>
        <c:lblAlgn val="ctr"/>
        <c:lblOffset val="100"/>
        <c:noMultiLvlLbl val="0"/>
      </c:catAx>
      <c:valAx>
        <c:axId val="2098789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579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45715975226"/>
          <c:y val="0.0494659179666885"/>
          <c:w val="0.830921073106968"/>
          <c:h val="0.791752760127504"/>
        </c:manualLayout>
      </c:layout>
      <c:lineChart>
        <c:grouping val="standard"/>
        <c:varyColors val="0"/>
        <c:ser>
          <c:idx val="0"/>
          <c:order val="0"/>
          <c:tx>
            <c:strRef>
              <c:f>'2'!$A$6</c:f>
              <c:strCache>
                <c:ptCount val="1"/>
                <c:pt idx="0">
                  <c:v>burst buffer write</c:v>
                </c:pt>
              </c:strCache>
            </c:strRef>
          </c:tx>
          <c:marker>
            <c:symbol val="none"/>
          </c:marker>
          <c:val>
            <c:numRef>
              <c:f>'2'!$B$6:$I$6</c:f>
              <c:numCache>
                <c:formatCode>General</c:formatCode>
                <c:ptCount val="8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'2'!$A$7</c:f>
              <c:strCache>
                <c:ptCount val="1"/>
                <c:pt idx="0">
                  <c:v>burst buffer read</c:v>
                </c:pt>
              </c:strCache>
            </c:strRef>
          </c:tx>
          <c:marker>
            <c:symbol val="none"/>
          </c:marker>
          <c:val>
            <c:numRef>
              <c:f>'2'!$B$7:$I$7</c:f>
              <c:numCache>
                <c:formatCode>General</c:formatCode>
                <c:ptCount val="8"/>
                <c:pt idx="0">
                  <c:v>133.149</c:v>
                </c:pt>
                <c:pt idx="1">
                  <c:v>60.4381</c:v>
                </c:pt>
                <c:pt idx="2">
                  <c:v>56.5999</c:v>
                </c:pt>
                <c:pt idx="3">
                  <c:v>56.3154</c:v>
                </c:pt>
                <c:pt idx="4">
                  <c:v>45.77</c:v>
                </c:pt>
                <c:pt idx="5">
                  <c:v>63.1902</c:v>
                </c:pt>
                <c:pt idx="6">
                  <c:v>28.5</c:v>
                </c:pt>
                <c:pt idx="7">
                  <c:v>36.28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'2'!$A$8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'2'!$B$8:$I$8</c:f>
              <c:numCache>
                <c:formatCode>General</c:formatCode>
                <c:ptCount val="8"/>
                <c:pt idx="0">
                  <c:v>36.7444</c:v>
                </c:pt>
                <c:pt idx="1">
                  <c:v>36.7444</c:v>
                </c:pt>
                <c:pt idx="2">
                  <c:v>36.7444</c:v>
                </c:pt>
                <c:pt idx="3">
                  <c:v>36.7444</c:v>
                </c:pt>
                <c:pt idx="4">
                  <c:v>36.7444</c:v>
                </c:pt>
                <c:pt idx="5">
                  <c:v>36.7444</c:v>
                </c:pt>
                <c:pt idx="6">
                  <c:v>36.7444</c:v>
                </c:pt>
                <c:pt idx="7">
                  <c:v>36.7444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'2'!$A$9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'2'!$B$9:$I$9</c:f>
              <c:numCache>
                <c:formatCode>General</c:formatCode>
                <c:ptCount val="8"/>
                <c:pt idx="0">
                  <c:v>40.9329</c:v>
                </c:pt>
                <c:pt idx="1">
                  <c:v>40.9329</c:v>
                </c:pt>
                <c:pt idx="2">
                  <c:v>40.9329</c:v>
                </c:pt>
                <c:pt idx="3">
                  <c:v>40.9329</c:v>
                </c:pt>
                <c:pt idx="4">
                  <c:v>40.9329</c:v>
                </c:pt>
                <c:pt idx="5">
                  <c:v>40.9329</c:v>
                </c:pt>
                <c:pt idx="6">
                  <c:v>40.9329</c:v>
                </c:pt>
                <c:pt idx="7">
                  <c:v>40.9329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05944"/>
        <c:axId val="-2131055048"/>
      </c:lineChart>
      <c:catAx>
        <c:axId val="-213120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1055048"/>
        <c:crosses val="autoZero"/>
        <c:auto val="1"/>
        <c:lblAlgn val="ctr"/>
        <c:lblOffset val="100"/>
        <c:noMultiLvlLbl val="0"/>
      </c:catAx>
      <c:valAx>
        <c:axId val="-213105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205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2045843577853"/>
          <c:y val="0.121802157438095"/>
          <c:w val="0.520106283651303"/>
          <c:h val="0.346720145236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97</xdr:row>
      <xdr:rowOff>101600</xdr:rowOff>
    </xdr:from>
    <xdr:to>
      <xdr:col>29</xdr:col>
      <xdr:colOff>203200</xdr:colOff>
      <xdr:row>134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18</xdr:row>
      <xdr:rowOff>139700</xdr:rowOff>
    </xdr:from>
    <xdr:to>
      <xdr:col>29</xdr:col>
      <xdr:colOff>546100</xdr:colOff>
      <xdr:row>50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5</xdr:row>
      <xdr:rowOff>139700</xdr:rowOff>
    </xdr:from>
    <xdr:to>
      <xdr:col>31</xdr:col>
      <xdr:colOff>584200</xdr:colOff>
      <xdr:row>38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50</xdr:row>
      <xdr:rowOff>50800</xdr:rowOff>
    </xdr:from>
    <xdr:to>
      <xdr:col>25</xdr:col>
      <xdr:colOff>584200</xdr:colOff>
      <xdr:row>82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355600</xdr:colOff>
      <xdr:row>50</xdr:row>
      <xdr:rowOff>38100</xdr:rowOff>
    </xdr:from>
    <xdr:to>
      <xdr:col>23</xdr:col>
      <xdr:colOff>749300</xdr:colOff>
      <xdr:row>84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85</xdr:row>
      <xdr:rowOff>63500</xdr:rowOff>
    </xdr:from>
    <xdr:to>
      <xdr:col>21</xdr:col>
      <xdr:colOff>609600</xdr:colOff>
      <xdr:row>124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215900</xdr:colOff>
      <xdr:row>98</xdr:row>
      <xdr:rowOff>127000</xdr:rowOff>
    </xdr:from>
    <xdr:to>
      <xdr:col>11</xdr:col>
      <xdr:colOff>393700</xdr:colOff>
      <xdr:row>136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762000</xdr:colOff>
      <xdr:row>50</xdr:row>
      <xdr:rowOff>38100</xdr:rowOff>
    </xdr:from>
    <xdr:to>
      <xdr:col>22</xdr:col>
      <xdr:colOff>38100</xdr:colOff>
      <xdr:row>84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673100</xdr:colOff>
      <xdr:row>120</xdr:row>
      <xdr:rowOff>127000</xdr:rowOff>
    </xdr:from>
    <xdr:to>
      <xdr:col>28</xdr:col>
      <xdr:colOff>279400</xdr:colOff>
      <xdr:row>159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0</xdr:row>
      <xdr:rowOff>0</xdr:rowOff>
    </xdr:from>
    <xdr:to>
      <xdr:col>26</xdr:col>
      <xdr:colOff>266700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596900</xdr:colOff>
      <xdr:row>47</xdr:row>
      <xdr:rowOff>63500</xdr:rowOff>
    </xdr:from>
    <xdr:to>
      <xdr:col>28</xdr:col>
      <xdr:colOff>203200</xdr:colOff>
      <xdr:row>81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46</xdr:row>
      <xdr:rowOff>50800</xdr:rowOff>
    </xdr:from>
    <xdr:to>
      <xdr:col>17</xdr:col>
      <xdr:colOff>457200</xdr:colOff>
      <xdr:row>83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203200</xdr:colOff>
      <xdr:row>43</xdr:row>
      <xdr:rowOff>114300</xdr:rowOff>
    </xdr:from>
    <xdr:to>
      <xdr:col>39</xdr:col>
      <xdr:colOff>38100</xdr:colOff>
      <xdr:row>81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355600</xdr:colOff>
      <xdr:row>118</xdr:row>
      <xdr:rowOff>50800</xdr:rowOff>
    </xdr:from>
    <xdr:to>
      <xdr:col>44</xdr:col>
      <xdr:colOff>330200</xdr:colOff>
      <xdr:row>156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533400</xdr:colOff>
      <xdr:row>95</xdr:row>
      <xdr:rowOff>0</xdr:rowOff>
    </xdr:from>
    <xdr:to>
      <xdr:col>39</xdr:col>
      <xdr:colOff>355600</xdr:colOff>
      <xdr:row>130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571500</xdr:colOff>
      <xdr:row>0</xdr:row>
      <xdr:rowOff>0</xdr:rowOff>
    </xdr:from>
    <xdr:to>
      <xdr:col>37</xdr:col>
      <xdr:colOff>546100</xdr:colOff>
      <xdr:row>36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431800</xdr:colOff>
      <xdr:row>83</xdr:row>
      <xdr:rowOff>25400</xdr:rowOff>
    </xdr:from>
    <xdr:to>
      <xdr:col>52</xdr:col>
      <xdr:colOff>50800</xdr:colOff>
      <xdr:row>126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711200</xdr:colOff>
      <xdr:row>5</xdr:row>
      <xdr:rowOff>38100</xdr:rowOff>
    </xdr:from>
    <xdr:to>
      <xdr:col>13</xdr:col>
      <xdr:colOff>76200</xdr:colOff>
      <xdr:row>37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24</xdr:row>
      <xdr:rowOff>25400</xdr:rowOff>
    </xdr:from>
    <xdr:to>
      <xdr:col>26</xdr:col>
      <xdr:colOff>444500</xdr:colOff>
      <xdr:row>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29</xdr:row>
      <xdr:rowOff>12700</xdr:rowOff>
    </xdr:from>
    <xdr:to>
      <xdr:col>14</xdr:col>
      <xdr:colOff>139700</xdr:colOff>
      <xdr:row>68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37</xdr:row>
      <xdr:rowOff>50800</xdr:rowOff>
    </xdr:from>
    <xdr:to>
      <xdr:col>10</xdr:col>
      <xdr:colOff>292100</xdr:colOff>
      <xdr:row>78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37</xdr:row>
      <xdr:rowOff>50800</xdr:rowOff>
    </xdr:from>
    <xdr:to>
      <xdr:col>21</xdr:col>
      <xdr:colOff>165100</xdr:colOff>
      <xdr:row>77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12</xdr:row>
      <xdr:rowOff>63500</xdr:rowOff>
    </xdr:from>
    <xdr:to>
      <xdr:col>29</xdr:col>
      <xdr:colOff>228600</xdr:colOff>
      <xdr:row>45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0</xdr:rowOff>
    </xdr:from>
    <xdr:to>
      <xdr:col>17</xdr:col>
      <xdr:colOff>304800</xdr:colOff>
      <xdr:row>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35</xdr:row>
      <xdr:rowOff>44450</xdr:rowOff>
    </xdr:from>
    <xdr:to>
      <xdr:col>16</xdr:col>
      <xdr:colOff>774700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36</xdr:row>
      <xdr:rowOff>25400</xdr:rowOff>
    </xdr:from>
    <xdr:to>
      <xdr:col>7</xdr:col>
      <xdr:colOff>482600</xdr:colOff>
      <xdr:row>61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7</xdr:row>
      <xdr:rowOff>127000</xdr:rowOff>
    </xdr:from>
    <xdr:to>
      <xdr:col>20</xdr:col>
      <xdr:colOff>139700</xdr:colOff>
      <xdr:row>41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42</xdr:row>
      <xdr:rowOff>76200</xdr:rowOff>
    </xdr:from>
    <xdr:to>
      <xdr:col>21</xdr:col>
      <xdr:colOff>12700</xdr:colOff>
      <xdr:row>80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</xdr:row>
      <xdr:rowOff>139700</xdr:rowOff>
    </xdr:from>
    <xdr:to>
      <xdr:col>20</xdr:col>
      <xdr:colOff>774700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45</xdr:row>
      <xdr:rowOff>50800</xdr:rowOff>
    </xdr:from>
    <xdr:to>
      <xdr:col>10</xdr:col>
      <xdr:colOff>546100</xdr:colOff>
      <xdr:row>82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83</xdr:row>
      <xdr:rowOff>139700</xdr:rowOff>
    </xdr:from>
    <xdr:to>
      <xdr:col>10</xdr:col>
      <xdr:colOff>431800</xdr:colOff>
      <xdr:row>122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25400</xdr:rowOff>
    </xdr:from>
    <xdr:to>
      <xdr:col>10</xdr:col>
      <xdr:colOff>88900</xdr:colOff>
      <xdr:row>39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7</xdr:row>
      <xdr:rowOff>0</xdr:rowOff>
    </xdr:from>
    <xdr:to>
      <xdr:col>20</xdr:col>
      <xdr:colOff>355600</xdr:colOff>
      <xdr:row>40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165101</xdr:colOff>
      <xdr:row>10</xdr:row>
      <xdr:rowOff>101601</xdr:rowOff>
    </xdr:from>
    <xdr:to>
      <xdr:col>15</xdr:col>
      <xdr:colOff>139701</xdr:colOff>
      <xdr:row>46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4"/>
  <sheetViews>
    <sheetView topLeftCell="L86" workbookViewId="0">
      <selection activeCell="L45" sqref="L45:L47"/>
    </sheetView>
  </sheetViews>
  <sheetFormatPr baseColWidth="10" defaultRowHeight="12" x14ac:dyDescent="0"/>
  <cols>
    <col min="8" max="8" width="11.1640625" bestFit="1" customWidth="1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20">
      <c r="A2" s="1">
        <v>1</v>
      </c>
      <c r="B2">
        <v>135</v>
      </c>
      <c r="C2">
        <f>135*1/2</f>
        <v>67.5</v>
      </c>
      <c r="D2">
        <f>135*1/D1</f>
        <v>45</v>
      </c>
      <c r="E2" s="2">
        <f t="shared" ref="E2:I2" si="0">135*1/E1</f>
        <v>33.75</v>
      </c>
      <c r="F2" s="2">
        <f t="shared" si="0"/>
        <v>27</v>
      </c>
      <c r="G2" s="2">
        <f t="shared" si="0"/>
        <v>22.5</v>
      </c>
      <c r="H2" s="2">
        <f t="shared" si="0"/>
        <v>19.285714285714285</v>
      </c>
      <c r="I2" s="2">
        <f t="shared" si="0"/>
        <v>16.875</v>
      </c>
    </row>
    <row r="3" spans="1:20">
      <c r="A3" s="1">
        <v>2</v>
      </c>
      <c r="B3" s="1">
        <v>135</v>
      </c>
      <c r="C3" s="1">
        <v>101.25</v>
      </c>
      <c r="D3" s="1">
        <v>78.75</v>
      </c>
      <c r="E3" s="1">
        <v>63.28125</v>
      </c>
      <c r="F3" s="1">
        <v>52.3125</v>
      </c>
      <c r="G3" s="1">
        <v>44.296875</v>
      </c>
      <c r="H3" s="1">
        <v>38.270089285714285</v>
      </c>
      <c r="I3" s="1">
        <v>33.6181640625</v>
      </c>
    </row>
    <row r="4" spans="1:20">
      <c r="A4" s="1">
        <v>3</v>
      </c>
      <c r="B4" s="1">
        <v>135</v>
      </c>
      <c r="C4" s="1">
        <v>112.5</v>
      </c>
      <c r="D4" s="1">
        <v>95</v>
      </c>
      <c r="E4" s="1">
        <v>81.25</v>
      </c>
      <c r="F4" s="1">
        <v>70.333333333333329</v>
      </c>
      <c r="G4" s="1">
        <v>61.574074074074076</v>
      </c>
      <c r="H4" s="1">
        <v>54.470899470899468</v>
      </c>
      <c r="I4" s="1">
        <v>48.64969135802469</v>
      </c>
    </row>
    <row r="5" spans="1:20">
      <c r="A5" s="1">
        <v>4</v>
      </c>
      <c r="B5" s="1">
        <v>135</v>
      </c>
      <c r="C5" s="1">
        <v>118.125</v>
      </c>
      <c r="D5" s="1">
        <v>104.0625</v>
      </c>
      <c r="E5" s="1">
        <v>92.28515625</v>
      </c>
      <c r="F5" s="1">
        <v>82.37109375</v>
      </c>
      <c r="G5" s="1">
        <v>73.98193359375</v>
      </c>
      <c r="H5" s="1">
        <v>66.845528738839292</v>
      </c>
      <c r="I5" s="1">
        <v>60.742378234863281</v>
      </c>
    </row>
    <row r="6" spans="1:20">
      <c r="A6" s="1">
        <v>5</v>
      </c>
      <c r="B6" s="1">
        <v>135</v>
      </c>
      <c r="C6" s="1">
        <v>121.5</v>
      </c>
      <c r="D6" s="1">
        <v>109.8</v>
      </c>
      <c r="E6" s="1">
        <v>99.63</v>
      </c>
      <c r="F6" s="1">
        <v>90.763199999999998</v>
      </c>
      <c r="G6" s="1">
        <v>83.008799999999994</v>
      </c>
      <c r="H6" s="1">
        <v>76.206034285714281</v>
      </c>
      <c r="I6" s="1">
        <v>70.219223999999997</v>
      </c>
      <c r="K6">
        <f>135/(1+3/5)</f>
        <v>84.375</v>
      </c>
    </row>
    <row r="7" spans="1:20">
      <c r="A7" s="1">
        <v>6</v>
      </c>
      <c r="B7" s="1">
        <v>135</v>
      </c>
      <c r="C7" s="1">
        <v>123.75</v>
      </c>
      <c r="D7" s="1">
        <v>113.75</v>
      </c>
      <c r="E7" s="1">
        <v>104.84375</v>
      </c>
      <c r="F7" s="1">
        <v>96.895833333333329</v>
      </c>
      <c r="G7" s="1">
        <v>89.788773148148152</v>
      </c>
      <c r="H7" s="1">
        <v>83.420552248677254</v>
      </c>
      <c r="I7" s="1">
        <v>77.702486014660494</v>
      </c>
      <c r="L7" s="3">
        <v>18.680705000000003</v>
      </c>
      <c r="M7" s="3">
        <f>18.680705/B1</f>
        <v>18.680705</v>
      </c>
      <c r="N7" s="3">
        <f t="shared" ref="N7:T7" si="1">18.680705/C1</f>
        <v>9.3403524999999998</v>
      </c>
      <c r="O7" s="3">
        <f t="shared" si="1"/>
        <v>6.2269016666666666</v>
      </c>
      <c r="P7" s="3">
        <f t="shared" si="1"/>
        <v>4.6701762499999999</v>
      </c>
      <c r="Q7" s="3">
        <f t="shared" si="1"/>
        <v>3.7361409999999999</v>
      </c>
      <c r="R7" s="3">
        <f t="shared" si="1"/>
        <v>3.1134508333333333</v>
      </c>
      <c r="S7" s="3">
        <f t="shared" si="1"/>
        <v>2.6686721428571429</v>
      </c>
      <c r="T7" s="3">
        <f t="shared" si="1"/>
        <v>2.335088125</v>
      </c>
    </row>
    <row r="8" spans="1:20">
      <c r="A8" s="1">
        <v>7</v>
      </c>
      <c r="B8" s="1">
        <v>135</v>
      </c>
      <c r="C8" s="1">
        <v>125.35714285714286</v>
      </c>
      <c r="D8" s="1">
        <v>116.63265306122449</v>
      </c>
      <c r="E8" s="1">
        <v>108.72813411078717</v>
      </c>
      <c r="F8" s="1">
        <v>101.55643481882549</v>
      </c>
      <c r="G8" s="1">
        <v>95.040310584875343</v>
      </c>
      <c r="H8" s="1">
        <v>89.111248592969645</v>
      </c>
      <c r="I8" s="1">
        <v>83.708436444727226</v>
      </c>
      <c r="L8" s="3">
        <v>1150.9797900000001</v>
      </c>
      <c r="M8" s="3">
        <f>1150.97979/B1</f>
        <v>1150.9797900000001</v>
      </c>
      <c r="N8" s="3">
        <f t="shared" ref="N8:T8" si="2">1150.97979/C1</f>
        <v>575.48989500000005</v>
      </c>
      <c r="O8" s="3">
        <f t="shared" si="2"/>
        <v>383.65993000000003</v>
      </c>
      <c r="P8" s="3">
        <f t="shared" si="2"/>
        <v>287.74494750000002</v>
      </c>
      <c r="Q8" s="3">
        <f t="shared" si="2"/>
        <v>230.19595800000002</v>
      </c>
      <c r="R8" s="3">
        <f t="shared" si="2"/>
        <v>191.82996500000002</v>
      </c>
      <c r="S8" s="3">
        <f t="shared" si="2"/>
        <v>164.42568428571431</v>
      </c>
      <c r="T8" s="3">
        <f t="shared" si="2"/>
        <v>143.87247375000001</v>
      </c>
    </row>
    <row r="9" spans="1:20">
      <c r="A9" s="1">
        <v>8</v>
      </c>
      <c r="B9" s="1">
        <v>135</v>
      </c>
      <c r="C9" s="1">
        <v>126.5625</v>
      </c>
      <c r="D9" s="1">
        <v>118.828125</v>
      </c>
      <c r="E9" s="1">
        <v>111.73095703125</v>
      </c>
      <c r="F9" s="1">
        <v>105.211669921875</v>
      </c>
      <c r="G9" s="1">
        <v>99.216842651367188</v>
      </c>
      <c r="H9" s="1">
        <v>93.698346274239682</v>
      </c>
      <c r="I9" s="1">
        <v>88.612796366214752</v>
      </c>
      <c r="L9" s="3">
        <v>1351.9872679999999</v>
      </c>
      <c r="M9" s="3">
        <f>1351.987268/B1</f>
        <v>1351.9872680000001</v>
      </c>
      <c r="N9" s="3">
        <f t="shared" ref="N9:T9" si="3">1351.987268/C1</f>
        <v>675.99363400000004</v>
      </c>
      <c r="O9" s="3">
        <f t="shared" si="3"/>
        <v>450.66242266666671</v>
      </c>
      <c r="P9" s="3">
        <f t="shared" si="3"/>
        <v>337.99681700000002</v>
      </c>
      <c r="Q9" s="3">
        <f t="shared" si="3"/>
        <v>270.39745360000001</v>
      </c>
      <c r="R9" s="3">
        <f t="shared" si="3"/>
        <v>225.33121133333336</v>
      </c>
      <c r="S9" s="3">
        <f t="shared" si="3"/>
        <v>193.1410382857143</v>
      </c>
      <c r="T9" s="3">
        <f t="shared" si="3"/>
        <v>168.99840850000001</v>
      </c>
    </row>
    <row r="12" spans="1:20">
      <c r="B12" s="2">
        <f>109.94/8</f>
        <v>13.7425</v>
      </c>
      <c r="C12" s="2">
        <f t="shared" ref="C12:I12" si="4">109.94/8</f>
        <v>13.7425</v>
      </c>
      <c r="D12" s="2">
        <f t="shared" si="4"/>
        <v>13.7425</v>
      </c>
      <c r="E12" s="2">
        <f t="shared" si="4"/>
        <v>13.7425</v>
      </c>
      <c r="F12" s="2">
        <f t="shared" si="4"/>
        <v>13.7425</v>
      </c>
      <c r="G12" s="2">
        <f t="shared" si="4"/>
        <v>13.7425</v>
      </c>
      <c r="H12" s="2">
        <f t="shared" si="4"/>
        <v>13.7425</v>
      </c>
      <c r="I12" s="2">
        <f t="shared" si="4"/>
        <v>13.7425</v>
      </c>
    </row>
    <row r="14" spans="1:20">
      <c r="B14" s="2">
        <v>17.14</v>
      </c>
      <c r="C14" s="2">
        <v>68.31</v>
      </c>
      <c r="D14" s="2">
        <v>48.25</v>
      </c>
      <c r="E14" s="2">
        <v>69.69</v>
      </c>
      <c r="F14" s="2">
        <v>85.42</v>
      </c>
      <c r="G14" s="2">
        <v>94.48</v>
      </c>
      <c r="H14" s="2">
        <v>96.59</v>
      </c>
      <c r="I14" s="2">
        <v>109.94</v>
      </c>
    </row>
    <row r="15" spans="1:20">
      <c r="B15" s="2">
        <v>76.099999999999994</v>
      </c>
      <c r="C15" s="2">
        <v>38.01</v>
      </c>
      <c r="D15" s="2">
        <v>50.57</v>
      </c>
      <c r="E15" s="2">
        <v>75.09</v>
      </c>
      <c r="F15" s="2">
        <v>92.46</v>
      </c>
      <c r="G15" s="2">
        <v>79.44</v>
      </c>
      <c r="H15" s="2">
        <v>96.59</v>
      </c>
      <c r="I15" s="2">
        <v>103.92</v>
      </c>
    </row>
    <row r="17" spans="2:20">
      <c r="B17" s="2">
        <f>I15/8</f>
        <v>12.99</v>
      </c>
      <c r="C17" s="2">
        <v>13.7425</v>
      </c>
      <c r="D17" s="2">
        <v>13.7425</v>
      </c>
      <c r="E17" s="2">
        <v>13.7425</v>
      </c>
      <c r="F17" s="2">
        <v>13.7425</v>
      </c>
      <c r="G17" s="2">
        <v>13.7425</v>
      </c>
      <c r="H17" s="2">
        <v>13.7425</v>
      </c>
      <c r="I17" s="2">
        <v>13.7425</v>
      </c>
    </row>
    <row r="18" spans="2:20">
      <c r="B18" s="2">
        <f>103.92/8</f>
        <v>12.99</v>
      </c>
      <c r="C18" s="2">
        <f t="shared" ref="C18:I18" si="5">103.92/8</f>
        <v>12.99</v>
      </c>
      <c r="D18" s="2">
        <f t="shared" si="5"/>
        <v>12.99</v>
      </c>
      <c r="E18" s="2">
        <f t="shared" si="5"/>
        <v>12.99</v>
      </c>
      <c r="F18" s="2">
        <f t="shared" si="5"/>
        <v>12.99</v>
      </c>
      <c r="G18" s="2">
        <f t="shared" si="5"/>
        <v>12.99</v>
      </c>
      <c r="H18" s="2">
        <f t="shared" si="5"/>
        <v>12.99</v>
      </c>
      <c r="I18" s="2">
        <f t="shared" si="5"/>
        <v>12.99</v>
      </c>
    </row>
    <row r="20" spans="2:20">
      <c r="B20">
        <f>B14/B1</f>
        <v>17.14</v>
      </c>
      <c r="C20" s="2">
        <f t="shared" ref="C20:I20" si="6">C14/C1</f>
        <v>34.155000000000001</v>
      </c>
      <c r="D20" s="2">
        <f t="shared" si="6"/>
        <v>16.083333333333332</v>
      </c>
      <c r="E20" s="2">
        <f t="shared" si="6"/>
        <v>17.422499999999999</v>
      </c>
      <c r="F20" s="2">
        <f t="shared" si="6"/>
        <v>17.084</v>
      </c>
      <c r="G20" s="2">
        <f t="shared" si="6"/>
        <v>15.746666666666668</v>
      </c>
      <c r="H20" s="2">
        <f t="shared" si="6"/>
        <v>13.79857142857143</v>
      </c>
      <c r="I20" s="2">
        <f t="shared" si="6"/>
        <v>13.7425</v>
      </c>
    </row>
    <row r="21" spans="2:20">
      <c r="B21">
        <f>B15/B1</f>
        <v>76.099999999999994</v>
      </c>
      <c r="C21" s="2">
        <f t="shared" ref="C21:I21" si="7">C15/C1</f>
        <v>19.004999999999999</v>
      </c>
      <c r="D21" s="2">
        <f t="shared" si="7"/>
        <v>16.856666666666666</v>
      </c>
      <c r="E21" s="2">
        <f t="shared" si="7"/>
        <v>18.772500000000001</v>
      </c>
      <c r="F21" s="2">
        <f t="shared" si="7"/>
        <v>18.491999999999997</v>
      </c>
      <c r="G21" s="2">
        <f t="shared" si="7"/>
        <v>13.24</v>
      </c>
      <c r="H21" s="2">
        <f t="shared" si="7"/>
        <v>13.79857142857143</v>
      </c>
      <c r="I21" s="2">
        <f t="shared" si="7"/>
        <v>12.99</v>
      </c>
    </row>
    <row r="23" spans="2:20">
      <c r="H23">
        <v>1000000</v>
      </c>
      <c r="I23" s="2">
        <v>1000000</v>
      </c>
      <c r="J23" s="2">
        <v>1000000</v>
      </c>
    </row>
    <row r="24" spans="2:20">
      <c r="H24" s="2">
        <v>1000000</v>
      </c>
      <c r="I24" s="2">
        <v>1000000</v>
      </c>
      <c r="J24" s="2">
        <v>1000000</v>
      </c>
    </row>
    <row r="25" spans="2:20">
      <c r="B25" t="s">
        <v>0</v>
      </c>
      <c r="C25" t="s">
        <v>1</v>
      </c>
      <c r="D25" t="s">
        <v>2</v>
      </c>
      <c r="H25" s="2">
        <v>1000000</v>
      </c>
      <c r="I25" s="2">
        <v>1000000</v>
      </c>
      <c r="J25" s="2">
        <v>1000000</v>
      </c>
    </row>
    <row r="27" spans="2:20">
      <c r="B27" s="2"/>
      <c r="C27" s="2" t="s">
        <v>3</v>
      </c>
      <c r="D27" s="2" t="s">
        <v>4</v>
      </c>
      <c r="E27" s="2" t="s">
        <v>5</v>
      </c>
      <c r="F27" t="s">
        <v>7</v>
      </c>
      <c r="G27" t="s">
        <v>8</v>
      </c>
      <c r="H27" t="s">
        <v>9</v>
      </c>
      <c r="N27" s="2"/>
    </row>
    <row r="28" spans="2:20">
      <c r="B28" s="2" t="s">
        <v>1</v>
      </c>
      <c r="C28" s="2">
        <v>2132437508</v>
      </c>
      <c r="D28" s="2">
        <v>1558082295</v>
      </c>
      <c r="E28" s="2">
        <v>574355213</v>
      </c>
      <c r="F28" s="2">
        <v>1500107713</v>
      </c>
      <c r="G28">
        <f>D28-F28</f>
        <v>57974582</v>
      </c>
      <c r="H28">
        <f>C28-G28</f>
        <v>2074462926</v>
      </c>
      <c r="I28" s="2">
        <f t="shared" ref="I28:J28" si="8">D28/I23</f>
        <v>1558.0822949999999</v>
      </c>
      <c r="J28" s="2">
        <f t="shared" si="8"/>
        <v>574.35521300000005</v>
      </c>
      <c r="K28">
        <f>G28/H23</f>
        <v>57.974581999999998</v>
      </c>
      <c r="N28" s="2"/>
    </row>
    <row r="29" spans="2:20">
      <c r="B29" s="2" t="s">
        <v>6</v>
      </c>
      <c r="C29" s="2">
        <v>748916378</v>
      </c>
      <c r="D29" s="2">
        <v>681081228</v>
      </c>
      <c r="E29" s="2">
        <v>67835150</v>
      </c>
      <c r="F29" s="2">
        <v>678155227</v>
      </c>
      <c r="G29" s="2">
        <f t="shared" ref="G29:G30" si="9">D29-F29</f>
        <v>2926001</v>
      </c>
      <c r="H29" s="2">
        <f t="shared" ref="H29:H30" si="10">C29-G29</f>
        <v>745990377</v>
      </c>
      <c r="I29" s="2">
        <f t="shared" ref="I29:I30" si="11">D29/I24</f>
        <v>681.08122800000001</v>
      </c>
      <c r="J29" s="2">
        <f t="shared" ref="J29:J30" si="12">E29/J24</f>
        <v>67.835149999999999</v>
      </c>
      <c r="K29" s="2">
        <f t="shared" ref="K29:K30" si="13">G29/H24</f>
        <v>2.9260009999999999</v>
      </c>
      <c r="N29" s="2">
        <v>29</v>
      </c>
    </row>
    <row r="30" spans="2:20">
      <c r="B30" s="2" t="s">
        <v>2</v>
      </c>
      <c r="C30" s="2">
        <v>5203214882</v>
      </c>
      <c r="D30" s="2">
        <v>3283723596</v>
      </c>
      <c r="E30" s="2">
        <v>1919491286</v>
      </c>
      <c r="F30" s="2">
        <v>2429888509</v>
      </c>
      <c r="G30" s="2">
        <f t="shared" si="9"/>
        <v>853835087</v>
      </c>
      <c r="H30" s="2">
        <f t="shared" si="10"/>
        <v>4349379795</v>
      </c>
      <c r="I30" s="2">
        <f t="shared" si="11"/>
        <v>3283.7235959999998</v>
      </c>
      <c r="J30" s="2">
        <f t="shared" si="12"/>
        <v>1919.4912859999999</v>
      </c>
      <c r="K30" s="2">
        <f t="shared" si="13"/>
        <v>853.83508700000004</v>
      </c>
      <c r="L30">
        <v>4349.3797949999998</v>
      </c>
      <c r="M30" s="2">
        <v>4349.3797949999998</v>
      </c>
      <c r="N30" s="2">
        <v>4349.3797949999998</v>
      </c>
      <c r="O30" s="2">
        <v>4349.3797949999998</v>
      </c>
      <c r="P30" s="2">
        <v>4349.3797949999998</v>
      </c>
      <c r="Q30" s="2">
        <v>4349.3797949999998</v>
      </c>
      <c r="R30" s="2">
        <v>4349.3797949999998</v>
      </c>
      <c r="S30" s="2">
        <v>4349.3797949999998</v>
      </c>
      <c r="T30" s="2">
        <v>4349.3797949999998</v>
      </c>
    </row>
    <row r="31" spans="2:20">
      <c r="H31" s="2"/>
      <c r="I31" s="2"/>
      <c r="J31" s="2"/>
      <c r="L31">
        <v>853.83508700000004</v>
      </c>
      <c r="M31" s="2">
        <v>853.83508700000004</v>
      </c>
      <c r="N31" s="2">
        <v>853.83508700000004</v>
      </c>
      <c r="O31" s="2">
        <v>853.83508700000004</v>
      </c>
      <c r="P31" s="2">
        <v>853.83508700000004</v>
      </c>
      <c r="Q31" s="2">
        <v>853.83508700000004</v>
      </c>
      <c r="R31" s="2">
        <v>853.83508700000004</v>
      </c>
      <c r="S31" s="2">
        <v>853.83508700000004</v>
      </c>
      <c r="T31" s="2">
        <v>853.83508700000004</v>
      </c>
    </row>
    <row r="33" spans="3:20">
      <c r="L33">
        <v>745.99037699999997</v>
      </c>
      <c r="M33" s="2">
        <v>745.99037699999997</v>
      </c>
      <c r="N33" s="2">
        <v>745.99037699999997</v>
      </c>
      <c r="O33" s="2">
        <v>745.99037699999997</v>
      </c>
      <c r="P33" s="2">
        <v>745.99037699999997</v>
      </c>
      <c r="Q33" s="2">
        <v>745.99037699999997</v>
      </c>
      <c r="R33" s="2">
        <v>745.99037699999997</v>
      </c>
      <c r="S33" s="2">
        <v>745.99037699999997</v>
      </c>
      <c r="T33" s="2">
        <v>745.99037699999997</v>
      </c>
    </row>
    <row r="34" spans="3:20">
      <c r="L34">
        <v>2.9260009999999999</v>
      </c>
      <c r="M34" s="2">
        <v>2.9260009999999999</v>
      </c>
      <c r="N34" s="2">
        <v>2.9260009999999999</v>
      </c>
      <c r="O34" s="2">
        <v>2.9260009999999999</v>
      </c>
      <c r="P34" s="2">
        <v>2.9260009999999999</v>
      </c>
      <c r="Q34" s="2">
        <v>2.9260009999999999</v>
      </c>
      <c r="R34" s="2">
        <v>2.9260009999999999</v>
      </c>
      <c r="S34" s="2">
        <v>2.9260009999999999</v>
      </c>
      <c r="T34" s="2">
        <v>2.9260009999999999</v>
      </c>
    </row>
    <row r="35" spans="3:20">
      <c r="G35">
        <f>G28/H23</f>
        <v>57.974581999999998</v>
      </c>
      <c r="H35">
        <f>H28/H23</f>
        <v>2074.4629260000002</v>
      </c>
    </row>
    <row r="36" spans="3:20">
      <c r="G36" s="2">
        <f t="shared" ref="G36:G37" si="14">G29/H24</f>
        <v>2.9260009999999999</v>
      </c>
      <c r="H36" s="2">
        <f t="shared" ref="H36:H37" si="15">H29/H24</f>
        <v>745.99037699999997</v>
      </c>
    </row>
    <row r="37" spans="3:20">
      <c r="G37" s="2">
        <f t="shared" si="14"/>
        <v>853.83508700000004</v>
      </c>
      <c r="H37" s="2">
        <f t="shared" si="15"/>
        <v>4349.3797949999998</v>
      </c>
      <c r="L37">
        <v>574.35521300000005</v>
      </c>
      <c r="M37" s="2">
        <v>574.35521300000005</v>
      </c>
      <c r="N37" s="2">
        <v>574.35521300000005</v>
      </c>
      <c r="O37" s="2">
        <v>574.35521300000005</v>
      </c>
      <c r="P37" s="2">
        <v>574.35521300000005</v>
      </c>
      <c r="Q37" s="2">
        <v>574.35521300000005</v>
      </c>
      <c r="R37" s="2">
        <v>574.35521300000005</v>
      </c>
      <c r="S37" s="2">
        <v>574.35521300000005</v>
      </c>
      <c r="T37" s="2">
        <v>574.35521300000005</v>
      </c>
    </row>
    <row r="38" spans="3:20">
      <c r="L38">
        <v>67.835149999999999</v>
      </c>
      <c r="M38" s="2">
        <v>67.835149999999999</v>
      </c>
      <c r="N38" s="2">
        <v>67.835149999999999</v>
      </c>
      <c r="O38" s="2">
        <v>67.835149999999999</v>
      </c>
      <c r="P38" s="2">
        <v>67.835149999999999</v>
      </c>
      <c r="Q38" s="2">
        <v>67.835149999999999</v>
      </c>
      <c r="R38" s="2">
        <v>67.835149999999999</v>
      </c>
      <c r="S38" s="2">
        <v>67.835149999999999</v>
      </c>
      <c r="T38" s="2">
        <v>67.835149999999999</v>
      </c>
    </row>
    <row r="39" spans="3:20">
      <c r="C39">
        <f>G35/B12+H35/B9+M7</f>
        <v>38.265731354067881</v>
      </c>
      <c r="D39" s="2">
        <f>G35/C12+H35/C9+N7</f>
        <v>29.949804990364171</v>
      </c>
      <c r="E39" s="2">
        <f>G35/D12+H35/D9+O7</f>
        <v>27.903212145126393</v>
      </c>
      <c r="F39" s="2">
        <f>G35/E12+H35/E9+P7</f>
        <v>27.455401065241265</v>
      </c>
      <c r="G39" s="2">
        <f>G35/F12+H35/F9+Q7</f>
        <v>27.671817416648192</v>
      </c>
      <c r="H39" s="2">
        <f>G35/G12+H35/G9+R7</f>
        <v>28.240459876159527</v>
      </c>
      <c r="I39" s="2">
        <f>G35/H12+H35/H9+S7</f>
        <v>29.027109431803044</v>
      </c>
      <c r="J39" s="2">
        <f>G35/I12+H35/I9+T7</f>
        <v>29.964144078770154</v>
      </c>
      <c r="L39">
        <v>1919.4912859999999</v>
      </c>
      <c r="M39" s="2">
        <v>1919.4912859999999</v>
      </c>
      <c r="N39" s="2">
        <v>1919.4912859999999</v>
      </c>
      <c r="O39" s="2">
        <v>1919.4912859999999</v>
      </c>
      <c r="P39" s="2">
        <v>1919.4912859999999</v>
      </c>
      <c r="Q39" s="2">
        <v>1919.4912859999999</v>
      </c>
      <c r="R39" s="2">
        <v>1919.4912859999999</v>
      </c>
      <c r="S39" s="2">
        <v>1919.4912859999999</v>
      </c>
      <c r="T39" s="2">
        <v>1919.4912859999999</v>
      </c>
    </row>
    <row r="40" spans="3:20">
      <c r="C40" s="2">
        <f>L34/B12+L33/B9+M8</f>
        <v>1156.7185608532857</v>
      </c>
      <c r="D40" s="2">
        <f t="shared" ref="D40:I40" si="16">M34/C12+M33/C9+N8</f>
        <v>581.59705616291535</v>
      </c>
      <c r="E40" s="2">
        <f t="shared" si="16"/>
        <v>390.15074024276629</v>
      </c>
      <c r="F40" s="2">
        <f t="shared" si="16"/>
        <v>294.63453055947377</v>
      </c>
      <c r="G40" s="2">
        <f t="shared" si="16"/>
        <v>237.49925094702942</v>
      </c>
      <c r="H40" s="2">
        <f t="shared" si="16"/>
        <v>199.56166891730817</v>
      </c>
      <c r="I40" s="2">
        <f t="shared" si="16"/>
        <v>172.60021781933312</v>
      </c>
      <c r="J40" s="2">
        <f>S34/I12+S33/I9+T8</f>
        <v>152.50393002970191</v>
      </c>
    </row>
    <row r="41" spans="3:20">
      <c r="C41" s="2">
        <f>L31/B12+L30/B9+M9</f>
        <v>1446.3358829766742</v>
      </c>
      <c r="D41" s="2">
        <f t="shared" ref="D41:J41" si="17">M31/C12+M30/C9+N9</f>
        <v>772.49009085074829</v>
      </c>
      <c r="E41" s="2">
        <f t="shared" si="17"/>
        <v>549.39568525609559</v>
      </c>
      <c r="F41" s="2">
        <f t="shared" si="17"/>
        <v>439.05506190187901</v>
      </c>
      <c r="G41" s="2">
        <f t="shared" si="17"/>
        <v>373.86776906123725</v>
      </c>
      <c r="H41" s="2">
        <f t="shared" si="17"/>
        <v>331.29930970911704</v>
      </c>
      <c r="I41" s="2">
        <f t="shared" si="17"/>
        <v>301.69098522843899</v>
      </c>
      <c r="J41" s="2">
        <f t="shared" si="17"/>
        <v>280.2123717906054</v>
      </c>
    </row>
    <row r="45" spans="3:20">
      <c r="L45">
        <v>1558.0822949999999</v>
      </c>
      <c r="M45" s="2">
        <v>1558.0822949999999</v>
      </c>
      <c r="N45" s="2">
        <v>1558.0822949999999</v>
      </c>
      <c r="O45" s="2">
        <v>1558.0822949999999</v>
      </c>
      <c r="P45" s="2">
        <v>1558.0822949999999</v>
      </c>
      <c r="Q45" s="2">
        <v>1558.0822949999999</v>
      </c>
      <c r="R45" s="2">
        <v>1558.0822949999999</v>
      </c>
      <c r="S45" s="2">
        <v>1558.0822949999999</v>
      </c>
      <c r="T45" s="2">
        <v>1558.0822949999999</v>
      </c>
    </row>
    <row r="46" spans="3:20">
      <c r="C46">
        <f>C28/H23</f>
        <v>2132.437508</v>
      </c>
      <c r="D46">
        <f>D28/H23</f>
        <v>1558.0822949999999</v>
      </c>
      <c r="E46">
        <f>E28/H23</f>
        <v>574.35521300000005</v>
      </c>
      <c r="F46">
        <f>F28/H23</f>
        <v>1500.1077130000001</v>
      </c>
      <c r="H46" s="2">
        <f>17.096+1.428</f>
        <v>18.524000000000001</v>
      </c>
      <c r="L46">
        <v>681.08122800000001</v>
      </c>
      <c r="M46" s="2">
        <v>681.08122800000001</v>
      </c>
      <c r="N46" s="2">
        <v>681.08122800000001</v>
      </c>
      <c r="O46" s="2">
        <v>681.08122800000001</v>
      </c>
      <c r="P46" s="2">
        <v>681.08122800000001</v>
      </c>
      <c r="Q46" s="2">
        <v>681.08122800000001</v>
      </c>
      <c r="R46" s="2">
        <v>681.08122800000001</v>
      </c>
      <c r="S46" s="2">
        <v>681.08122800000001</v>
      </c>
      <c r="T46" s="2">
        <v>681.08122800000001</v>
      </c>
    </row>
    <row r="47" spans="3:20">
      <c r="C47" s="2">
        <f t="shared" ref="C47:C50" si="18">C29/H24</f>
        <v>748.91637800000001</v>
      </c>
      <c r="D47" s="2">
        <f t="shared" ref="D47:D48" si="19">D29/H24</f>
        <v>681.08122800000001</v>
      </c>
      <c r="E47" s="2">
        <f t="shared" ref="E47:E48" si="20">E29/H24</f>
        <v>67.835149999999999</v>
      </c>
      <c r="F47" s="2">
        <f t="shared" ref="F47:F48" si="21">F29/H24</f>
        <v>678.15522699999997</v>
      </c>
      <c r="H47" s="2">
        <f>18*60+50.874+1.914</f>
        <v>1132.788</v>
      </c>
      <c r="L47">
        <v>3283.7235959999998</v>
      </c>
      <c r="M47" s="2">
        <v>3283.7235959999998</v>
      </c>
      <c r="N47" s="2">
        <v>3283.7235959999998</v>
      </c>
      <c r="O47" s="2">
        <v>3283.7235959999998</v>
      </c>
      <c r="P47" s="2">
        <v>3283.7235959999998</v>
      </c>
      <c r="Q47" s="2">
        <v>3283.7235959999998</v>
      </c>
      <c r="R47" s="2">
        <v>3283.7235959999998</v>
      </c>
      <c r="S47" s="2">
        <v>3283.7235959999998</v>
      </c>
      <c r="T47" s="2">
        <v>3283.7235959999998</v>
      </c>
    </row>
    <row r="48" spans="3:20">
      <c r="C48" s="2">
        <f t="shared" si="18"/>
        <v>5203.2148820000002</v>
      </c>
      <c r="D48" s="2">
        <f t="shared" si="19"/>
        <v>3283.7235959999998</v>
      </c>
      <c r="E48" s="2">
        <f t="shared" si="20"/>
        <v>1919.4912859999999</v>
      </c>
      <c r="F48" s="2">
        <f t="shared" si="21"/>
        <v>2429.8885089999999</v>
      </c>
      <c r="H48" s="2">
        <f>22*60+28.954+5.123</f>
        <v>1354.077</v>
      </c>
    </row>
    <row r="49" spans="2:20">
      <c r="C49" s="2" t="e">
        <f t="shared" si="18"/>
        <v>#DIV/0!</v>
      </c>
    </row>
    <row r="50" spans="2:20">
      <c r="C50" s="2" t="e">
        <f t="shared" si="18"/>
        <v>#VALUE!</v>
      </c>
    </row>
    <row r="51" spans="2:20">
      <c r="L51" s="2">
        <v>18.680705</v>
      </c>
      <c r="M51" s="2">
        <v>9.3403524999999998</v>
      </c>
      <c r="N51" s="2">
        <v>6.2269016666666666</v>
      </c>
      <c r="O51" s="2">
        <v>4.6701762499999999</v>
      </c>
      <c r="P51" s="2">
        <v>3.7361409999999999</v>
      </c>
      <c r="Q51" s="2">
        <v>3.1134508333333333</v>
      </c>
      <c r="R51" s="2">
        <v>2.6686721428571429</v>
      </c>
      <c r="S51" s="2">
        <v>2.335088125</v>
      </c>
      <c r="T51" s="2">
        <f t="shared" ref="T51" si="22">17.096+1.428</f>
        <v>18.524000000000001</v>
      </c>
    </row>
    <row r="52" spans="2:20">
      <c r="B52">
        <f>L45/B20+L37/B21+L51</f>
        <v>117.13136410045892</v>
      </c>
      <c r="C52" s="2">
        <f t="shared" ref="C52:H52" si="23">M45/C20+M37/C21+M51</f>
        <v>85.179606778622329</v>
      </c>
      <c r="D52" s="2">
        <f t="shared" si="23"/>
        <v>137.17536670151807</v>
      </c>
      <c r="E52" s="2">
        <f t="shared" si="23"/>
        <v>124.69505772376255</v>
      </c>
      <c r="F52" s="2">
        <f t="shared" si="23"/>
        <v>125.99705812839507</v>
      </c>
      <c r="G52" s="2">
        <f>Q45/G20+Q37/G21+Q51</f>
        <v>145.44055505194063</v>
      </c>
      <c r="H52" s="2">
        <f t="shared" si="23"/>
        <v>157.20912722102256</v>
      </c>
      <c r="I52" s="2">
        <f>S45/I20+S37/I21+S51</f>
        <v>159.92718798940922</v>
      </c>
      <c r="L52" s="2">
        <v>1150.9797900000001</v>
      </c>
      <c r="M52" s="2">
        <v>575.48989500000005</v>
      </c>
      <c r="N52" s="2">
        <v>383.65993000000003</v>
      </c>
      <c r="O52" s="2">
        <v>287.74494750000002</v>
      </c>
      <c r="P52" s="2">
        <v>230.19595800000002</v>
      </c>
      <c r="Q52" s="2">
        <v>191.82996500000002</v>
      </c>
      <c r="R52" s="2">
        <v>164.42568428571431</v>
      </c>
      <c r="S52" s="2">
        <v>143.87247375000001</v>
      </c>
      <c r="T52" s="2">
        <f t="shared" ref="T52" si="24">18*60+50.874+1.914</f>
        <v>1132.788</v>
      </c>
    </row>
    <row r="53" spans="2:20">
      <c r="B53" s="2">
        <f>L46/B20+L38/B21+L52</f>
        <v>1191.6075459020021</v>
      </c>
      <c r="C53" s="2">
        <f t="shared" ref="C53:H53" si="25">M46/C20+M38/C21+M52</f>
        <v>599.00012056244304</v>
      </c>
      <c r="D53" s="2">
        <f t="shared" si="25"/>
        <v>430.03118210420075</v>
      </c>
      <c r="E53" s="2">
        <f t="shared" si="25"/>
        <v>330.45053516722584</v>
      </c>
      <c r="F53" s="2">
        <f t="shared" si="25"/>
        <v>273.73092285250095</v>
      </c>
      <c r="G53" s="2">
        <f t="shared" si="25"/>
        <v>240.20587227518541</v>
      </c>
      <c r="H53" s="2">
        <f t="shared" si="25"/>
        <v>218.70060556120868</v>
      </c>
      <c r="I53" s="2">
        <f>S46/I20+S38/I21+S52</f>
        <v>198.65479227741289</v>
      </c>
      <c r="L53" s="2">
        <v>1351.9872680000001</v>
      </c>
      <c r="M53" s="2">
        <v>675.99363400000004</v>
      </c>
      <c r="N53" s="2">
        <v>450.66242266666671</v>
      </c>
      <c r="O53" s="2">
        <v>337.99681700000002</v>
      </c>
      <c r="P53" s="2">
        <v>270.39745360000001</v>
      </c>
      <c r="Q53" s="2">
        <v>225.33121133333336</v>
      </c>
      <c r="R53" s="2">
        <v>193.1410382857143</v>
      </c>
      <c r="S53" s="2">
        <v>168.99840850000001</v>
      </c>
      <c r="T53" s="2">
        <f t="shared" ref="T53" si="26">22*60+28.954+5.123</f>
        <v>1354.077</v>
      </c>
    </row>
    <row r="54" spans="2:20">
      <c r="B54" s="2">
        <f>L47/B20+L39/B21+L53</f>
        <v>1568.7930172809774</v>
      </c>
      <c r="C54" s="2">
        <f t="shared" ref="C54:I54" si="27">M47/C20+M39/C21+M53</f>
        <v>873.13472460946798</v>
      </c>
      <c r="D54" s="2">
        <f t="shared" si="27"/>
        <v>768.70310926336492</v>
      </c>
      <c r="E54" s="2">
        <f t="shared" si="27"/>
        <v>628.72301327956848</v>
      </c>
      <c r="F54" s="2">
        <f t="shared" si="27"/>
        <v>566.40909202223941</v>
      </c>
      <c r="G54" s="2">
        <f t="shared" si="27"/>
        <v>578.842415903811</v>
      </c>
      <c r="H54" s="2">
        <f t="shared" si="27"/>
        <v>570.22463052093531</v>
      </c>
      <c r="I54" s="2">
        <f t="shared" si="27"/>
        <v>555.71184718239135</v>
      </c>
    </row>
    <row r="57" spans="2:20">
      <c r="B57" t="s">
        <v>84</v>
      </c>
      <c r="F57" t="s">
        <v>90</v>
      </c>
    </row>
    <row r="58" spans="2:20">
      <c r="D58" s="2"/>
    </row>
    <row r="59" spans="2:20">
      <c r="B59" s="1"/>
      <c r="C59" t="s">
        <v>83</v>
      </c>
      <c r="D59" t="s">
        <v>85</v>
      </c>
      <c r="G59" s="2" t="s">
        <v>83</v>
      </c>
      <c r="H59" s="2" t="s">
        <v>85</v>
      </c>
    </row>
    <row r="60" spans="2:20">
      <c r="B60" s="2" t="s">
        <v>86</v>
      </c>
      <c r="C60">
        <f>L37/I12+L45/I17+L7</f>
        <v>173.85170794706204</v>
      </c>
      <c r="D60">
        <f>H35/I9+G35/I12+L7</f>
        <v>46.309760953770159</v>
      </c>
      <c r="F60" s="2" t="s">
        <v>86</v>
      </c>
      <c r="G60">
        <f>C60/60/60*0.405</f>
        <v>1.955831714404448E-2</v>
      </c>
      <c r="H60">
        <f>D60/3600*0.405+D60/3600*9/8*0.405</f>
        <v>1.1070927228010679E-2</v>
      </c>
    </row>
    <row r="61" spans="2:20">
      <c r="B61" t="s">
        <v>87</v>
      </c>
      <c r="C61">
        <f>L38/I12+L46/I17+L8</f>
        <v>1205.4761609659815</v>
      </c>
      <c r="D61">
        <f>H36/I9+G36/I12+L8</f>
        <v>1159.6112462797021</v>
      </c>
      <c r="F61" s="2" t="s">
        <v>87</v>
      </c>
      <c r="G61" s="2">
        <f t="shared" ref="G61:G62" si="28">C61/60/60*0.405</f>
        <v>0.13561606810867294</v>
      </c>
      <c r="H61" s="2">
        <f>D61/3600*0.405+D61/3600*9/8*0.405</f>
        <v>0.27721956356374133</v>
      </c>
    </row>
    <row r="62" spans="2:20">
      <c r="B62" t="s">
        <v>88</v>
      </c>
      <c r="C62">
        <f>L39/I12+L47/I17+L9</f>
        <v>1730.6094169539747</v>
      </c>
      <c r="D62">
        <f>H37/I9+G37/I12+L9</f>
        <v>1463.2012312906054</v>
      </c>
      <c r="F62" s="2" t="s">
        <v>88</v>
      </c>
      <c r="G62" s="2">
        <f t="shared" si="28"/>
        <v>0.19469355940732216</v>
      </c>
      <c r="H62" s="2">
        <f>D62/3600*0.405+D62/3600*9/8*0.405</f>
        <v>0.34979654435541041</v>
      </c>
    </row>
    <row r="70" spans="2:8">
      <c r="B70" t="s">
        <v>89</v>
      </c>
    </row>
    <row r="71" spans="2:8">
      <c r="C71" s="2" t="s">
        <v>83</v>
      </c>
      <c r="D71" s="2" t="s">
        <v>85</v>
      </c>
      <c r="F71" s="2"/>
      <c r="G71" s="2" t="s">
        <v>83</v>
      </c>
      <c r="H71" s="2" t="s">
        <v>85</v>
      </c>
    </row>
    <row r="72" spans="2:8">
      <c r="B72" s="2" t="s">
        <v>86</v>
      </c>
      <c r="C72" s="2">
        <f>L45/B14+L51/B15+L7</f>
        <v>109.8294651779885</v>
      </c>
      <c r="D72" s="2">
        <f>H35/B2+G35/B14+M7</f>
        <v>37.42951139683651</v>
      </c>
      <c r="F72" s="2" t="s">
        <v>86</v>
      </c>
      <c r="G72" s="2">
        <f>C72/3600*0.405</f>
        <v>1.2355814832523706E-2</v>
      </c>
      <c r="H72" s="2">
        <f>D72/3600*0.405+D72/3600*2*0.405</f>
        <v>1.2632460096432322E-2</v>
      </c>
    </row>
    <row r="73" spans="2:8">
      <c r="B73" s="2" t="s">
        <v>87</v>
      </c>
      <c r="C73" s="2">
        <f>L46/B14+L52/B15+L8</f>
        <v>1205.8407211976657</v>
      </c>
      <c r="D73" s="2">
        <f>H36/B2+G36/B14+M8</f>
        <v>1156.676356488085</v>
      </c>
      <c r="F73" s="2" t="s">
        <v>87</v>
      </c>
      <c r="G73" s="2">
        <f t="shared" ref="G73:G74" si="29">C73/3600*0.405</f>
        <v>0.1356570811347374</v>
      </c>
      <c r="H73" s="2">
        <f t="shared" ref="H73:H74" si="30">D73/3600*0.405+D73/3600*2*0.405</f>
        <v>0.39037827031472871</v>
      </c>
    </row>
    <row r="74" spans="2:8">
      <c r="B74" s="2" t="s">
        <v>88</v>
      </c>
      <c r="C74" s="2">
        <f>L47/B14+L53/B15+L9</f>
        <v>1561.335671446549</v>
      </c>
      <c r="D74" s="2">
        <f>H37/B2+G37/B14+M9</f>
        <v>1434.0202454109944</v>
      </c>
      <c r="F74" s="2" t="s">
        <v>88</v>
      </c>
      <c r="G74" s="2">
        <f t="shared" si="29"/>
        <v>0.17565026303773676</v>
      </c>
      <c r="H74" s="2">
        <f t="shared" si="30"/>
        <v>0.48398183282621066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tabSelected="1" topLeftCell="W1" workbookViewId="0">
      <selection activeCell="AB9" sqref="AB9"/>
    </sheetView>
  </sheetViews>
  <sheetFormatPr baseColWidth="10" defaultRowHeight="12" x14ac:dyDescent="0"/>
  <cols>
    <col min="9" max="9" width="10.83203125" customWidth="1"/>
  </cols>
  <sheetData>
    <row r="1" spans="1:9">
      <c r="A1" t="s">
        <v>10</v>
      </c>
    </row>
    <row r="3" spans="1:9">
      <c r="A3" t="s">
        <v>12</v>
      </c>
    </row>
    <row r="4" spans="1:9">
      <c r="A4" t="s">
        <v>11</v>
      </c>
    </row>
    <row r="5" spans="1:9">
      <c r="B5">
        <v>1</v>
      </c>
      <c r="C5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>
      <c r="A6" t="s">
        <v>15</v>
      </c>
      <c r="B6">
        <v>132</v>
      </c>
      <c r="C6">
        <v>132</v>
      </c>
      <c r="D6">
        <v>132</v>
      </c>
      <c r="E6" s="2">
        <v>132</v>
      </c>
      <c r="F6" s="2">
        <v>132</v>
      </c>
      <c r="G6" s="2">
        <v>132</v>
      </c>
      <c r="H6" s="2">
        <v>132</v>
      </c>
      <c r="I6" s="2">
        <v>132</v>
      </c>
    </row>
    <row r="7" spans="1:9">
      <c r="A7" t="s">
        <v>16</v>
      </c>
      <c r="B7">
        <v>133.149</v>
      </c>
      <c r="C7">
        <v>60.438099999999999</v>
      </c>
      <c r="D7">
        <v>56.599899999999998</v>
      </c>
      <c r="E7">
        <v>56.315399999999997</v>
      </c>
      <c r="F7">
        <v>45.77</v>
      </c>
      <c r="G7">
        <v>63.190199999999997</v>
      </c>
      <c r="H7">
        <v>28.5</v>
      </c>
      <c r="I7">
        <v>36.28</v>
      </c>
    </row>
    <row r="8" spans="1:9">
      <c r="A8" s="2" t="s">
        <v>17</v>
      </c>
      <c r="B8" s="2">
        <v>36.744399999999999</v>
      </c>
      <c r="C8" s="2">
        <v>36.744399999999999</v>
      </c>
      <c r="D8" s="2">
        <v>36.744399999999999</v>
      </c>
      <c r="E8" s="2">
        <v>36.744399999999999</v>
      </c>
      <c r="F8" s="2">
        <v>36.744399999999999</v>
      </c>
      <c r="G8" s="2">
        <v>36.744399999999999</v>
      </c>
      <c r="H8" s="2">
        <v>36.744399999999999</v>
      </c>
      <c r="I8" s="2">
        <v>36.744399999999999</v>
      </c>
    </row>
    <row r="9" spans="1:9">
      <c r="A9" s="2" t="s">
        <v>18</v>
      </c>
      <c r="B9" s="2">
        <v>40.932899999999997</v>
      </c>
      <c r="C9" s="2">
        <v>40.932899999999997</v>
      </c>
      <c r="D9" s="2">
        <v>40.932899999999997</v>
      </c>
      <c r="E9" s="2">
        <v>40.932899999999997</v>
      </c>
      <c r="F9" s="2">
        <v>40.932899999999997</v>
      </c>
      <c r="G9" s="2">
        <v>40.932899999999997</v>
      </c>
      <c r="H9" s="2">
        <v>40.932899999999997</v>
      </c>
      <c r="I9" s="2">
        <v>40.932899999999997</v>
      </c>
    </row>
    <row r="13" spans="1:9">
      <c r="A13" t="s">
        <v>19</v>
      </c>
    </row>
    <row r="15" spans="1:9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</row>
    <row r="16" spans="1:9">
      <c r="A16" t="s">
        <v>22</v>
      </c>
      <c r="B16" s="2">
        <v>131.19823749</v>
      </c>
      <c r="C16" s="2">
        <v>261.13245999999998</v>
      </c>
      <c r="D16" s="2">
        <v>404.38010000000003</v>
      </c>
      <c r="E16" s="2">
        <v>539.09123839999995</v>
      </c>
      <c r="F16" s="2">
        <v>677.32983999999999</v>
      </c>
      <c r="G16" s="2">
        <v>808.76833999999997</v>
      </c>
      <c r="H16" s="2">
        <v>950.87543000000005</v>
      </c>
      <c r="I16" s="2">
        <v>1100.8767647</v>
      </c>
    </row>
    <row r="17" spans="1:12">
      <c r="A17" t="s">
        <v>21</v>
      </c>
      <c r="B17">
        <v>67.306700000000006</v>
      </c>
      <c r="C17">
        <v>123.47539999999999</v>
      </c>
      <c r="D17">
        <v>222.10769999999999</v>
      </c>
      <c r="E17">
        <v>218.25059999999999</v>
      </c>
      <c r="F17">
        <v>490.14330000000001</v>
      </c>
      <c r="G17">
        <v>234.05933999999999</v>
      </c>
      <c r="H17">
        <v>250.68892</v>
      </c>
      <c r="I17">
        <v>219.7099</v>
      </c>
    </row>
    <row r="18" spans="1:12">
      <c r="A18" t="s">
        <v>20</v>
      </c>
      <c r="B18" s="2">
        <v>131.19823749</v>
      </c>
      <c r="C18" s="2">
        <v>261.13245999999998</v>
      </c>
      <c r="D18" s="2">
        <v>404.38010000000003</v>
      </c>
      <c r="E18" s="2">
        <v>539.09123839999995</v>
      </c>
      <c r="F18" s="2">
        <v>677.32983999999999</v>
      </c>
      <c r="G18" s="2">
        <v>808.76833999999997</v>
      </c>
      <c r="H18" s="2">
        <v>950.87543000000005</v>
      </c>
      <c r="I18" s="2">
        <v>1100.8767647</v>
      </c>
    </row>
    <row r="19" spans="1:12">
      <c r="A19" t="s">
        <v>23</v>
      </c>
      <c r="B19">
        <v>51.27</v>
      </c>
      <c r="C19">
        <v>45.142040000000001</v>
      </c>
      <c r="D19">
        <v>81.231099999999998</v>
      </c>
      <c r="E19">
        <v>30.445599999999999</v>
      </c>
      <c r="F19">
        <v>87.061999999999998</v>
      </c>
      <c r="G19">
        <v>34.9696</v>
      </c>
      <c r="H19">
        <v>45.126399999999997</v>
      </c>
      <c r="I19">
        <v>26.28</v>
      </c>
      <c r="L19" s="2">
        <f>1100.8767647/I20</f>
        <v>4.2728508015073166</v>
      </c>
    </row>
    <row r="20" spans="1:12">
      <c r="A20" t="s">
        <v>17</v>
      </c>
      <c r="B20" s="2">
        <v>14.3461</v>
      </c>
      <c r="C20" s="2">
        <v>114.4666</v>
      </c>
      <c r="D20" s="2">
        <v>169.115973</v>
      </c>
      <c r="E20" s="2">
        <v>149.34094999999999</v>
      </c>
      <c r="F20" s="2">
        <v>71.312799999999996</v>
      </c>
      <c r="G20" s="2">
        <v>88.01473</v>
      </c>
      <c r="H20" s="2">
        <v>218.9366</v>
      </c>
      <c r="I20" s="2">
        <v>257.64456000000001</v>
      </c>
    </row>
    <row r="21" spans="1:12">
      <c r="A21" t="s">
        <v>18</v>
      </c>
      <c r="B21" s="2">
        <v>81.750600000000006</v>
      </c>
      <c r="C21" s="2">
        <v>63.730490000000003</v>
      </c>
      <c r="D21" s="2">
        <v>88.164479999999998</v>
      </c>
      <c r="E21" s="2">
        <v>33.04909</v>
      </c>
      <c r="F21" s="2">
        <v>65.910719999999998</v>
      </c>
      <c r="G21" s="2">
        <v>236.28559999999999</v>
      </c>
      <c r="H21" s="2">
        <v>203.92740000000001</v>
      </c>
      <c r="I21" s="2">
        <v>162.19226</v>
      </c>
    </row>
    <row r="25" spans="1:12">
      <c r="A25" s="2" t="s">
        <v>26</v>
      </c>
      <c r="B25" s="2" t="s">
        <v>25</v>
      </c>
      <c r="C25" s="2"/>
      <c r="D25" s="2"/>
      <c r="E25" s="2"/>
      <c r="F25" s="2"/>
      <c r="G25" s="2"/>
      <c r="H25" s="2"/>
      <c r="I25" s="2"/>
    </row>
    <row r="26" spans="1:12">
      <c r="A26" s="2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</row>
    <row r="27" spans="1:12">
      <c r="A27" s="2" t="s">
        <v>28</v>
      </c>
      <c r="B27" s="2">
        <v>14.3461</v>
      </c>
      <c r="C27" s="2">
        <v>114.4666</v>
      </c>
      <c r="D27" s="2">
        <v>169.115973</v>
      </c>
      <c r="E27" s="2">
        <v>149.34094999999999</v>
      </c>
      <c r="F27" s="2">
        <v>71.312799999999996</v>
      </c>
      <c r="G27" s="2">
        <v>88.01473</v>
      </c>
      <c r="H27" s="2">
        <v>218.9366</v>
      </c>
      <c r="I27" s="2">
        <v>257.64456000000001</v>
      </c>
    </row>
    <row r="28" spans="1:12">
      <c r="A28" s="2" t="s">
        <v>27</v>
      </c>
      <c r="B28" s="2">
        <v>81.750600000000006</v>
      </c>
      <c r="C28" s="2">
        <v>63.730490000000003</v>
      </c>
      <c r="D28" s="2">
        <v>88.164479999999998</v>
      </c>
      <c r="E28" s="2">
        <v>33.04909</v>
      </c>
      <c r="F28" s="2">
        <v>65.910719999999998</v>
      </c>
      <c r="G28" s="2">
        <v>236.28559999999999</v>
      </c>
      <c r="H28" s="2">
        <v>203.92740000000001</v>
      </c>
      <c r="I28" s="2">
        <v>162.19226</v>
      </c>
    </row>
    <row r="29" spans="1:12">
      <c r="A29" s="2"/>
      <c r="B29" s="2"/>
      <c r="C29" s="2"/>
      <c r="D29" s="2"/>
      <c r="E29" s="2"/>
      <c r="F29" s="2"/>
      <c r="G29" s="2"/>
      <c r="H29" s="2"/>
      <c r="I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</row>
    <row r="31" spans="1:12">
      <c r="A31" s="2" t="s">
        <v>26</v>
      </c>
      <c r="B31" s="2" t="s">
        <v>25</v>
      </c>
      <c r="C31" s="2" t="s">
        <v>11</v>
      </c>
      <c r="D31" s="2"/>
      <c r="E31" s="2"/>
      <c r="F31" s="2"/>
      <c r="G31" s="2"/>
      <c r="H31" s="2"/>
      <c r="I31" s="2"/>
    </row>
    <row r="32" spans="1:12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</row>
    <row r="33" spans="1:9">
      <c r="A33" s="2" t="s">
        <v>13</v>
      </c>
      <c r="B33" s="2">
        <v>36.744399999999999</v>
      </c>
      <c r="C33" s="2">
        <v>23.13026</v>
      </c>
      <c r="D33" s="2">
        <v>15.01604</v>
      </c>
      <c r="E33" s="2">
        <v>17.281839999999999</v>
      </c>
      <c r="F33" s="2">
        <v>7.0185500000000003</v>
      </c>
      <c r="G33" s="2">
        <v>11.100379999999999</v>
      </c>
      <c r="H33" s="2">
        <v>11.5183</v>
      </c>
      <c r="I33" s="2">
        <v>13.01629</v>
      </c>
    </row>
    <row r="34" spans="1:9">
      <c r="A34" s="2" t="s">
        <v>14</v>
      </c>
      <c r="B34" s="2">
        <v>40.932899999999997</v>
      </c>
      <c r="C34" s="2">
        <v>41.809100000000001</v>
      </c>
      <c r="D34" s="2">
        <v>16.643799999999999</v>
      </c>
      <c r="E34" s="2">
        <v>37.941360000000003</v>
      </c>
      <c r="F34" s="2">
        <v>38.683799999999998</v>
      </c>
      <c r="G34" s="2">
        <v>28.207799999999999</v>
      </c>
      <c r="H34" s="2">
        <v>22.927299999999999</v>
      </c>
      <c r="I34" s="2">
        <v>25.1037</v>
      </c>
    </row>
    <row r="35" spans="1:9">
      <c r="A35" s="2" t="s">
        <v>24</v>
      </c>
      <c r="B35" s="2">
        <f t="shared" ref="B35:I35" si="0">135*B32</f>
        <v>135</v>
      </c>
      <c r="C35" s="2">
        <f t="shared" si="0"/>
        <v>270</v>
      </c>
      <c r="D35" s="2">
        <f t="shared" si="0"/>
        <v>405</v>
      </c>
      <c r="E35" s="2">
        <f t="shared" si="0"/>
        <v>540</v>
      </c>
      <c r="F35" s="2">
        <f t="shared" si="0"/>
        <v>675</v>
      </c>
      <c r="G35" s="2">
        <f t="shared" si="0"/>
        <v>810</v>
      </c>
      <c r="H35" s="2">
        <f t="shared" si="0"/>
        <v>945</v>
      </c>
      <c r="I35" s="2">
        <f t="shared" si="0"/>
        <v>1080</v>
      </c>
    </row>
    <row r="50" spans="1:19">
      <c r="A50" s="2"/>
      <c r="B50" s="2" t="s">
        <v>3</v>
      </c>
      <c r="C50" s="2" t="s">
        <v>4</v>
      </c>
      <c r="D50" s="2" t="s">
        <v>5</v>
      </c>
      <c r="E50" s="2" t="s">
        <v>30</v>
      </c>
      <c r="F50" s="2" t="s">
        <v>31</v>
      </c>
      <c r="G50" s="2" t="s">
        <v>32</v>
      </c>
      <c r="H50" s="2" t="s">
        <v>33</v>
      </c>
      <c r="I50" s="2" t="s">
        <v>34</v>
      </c>
      <c r="J50" s="2" t="s">
        <v>35</v>
      </c>
      <c r="K50" s="4" t="s">
        <v>36</v>
      </c>
      <c r="L50" s="2" t="s">
        <v>37</v>
      </c>
      <c r="M50" s="2"/>
      <c r="N50" s="2" t="s">
        <v>38</v>
      </c>
      <c r="O50" s="2" t="s">
        <v>39</v>
      </c>
      <c r="P50" s="2"/>
      <c r="Q50" s="2" t="s">
        <v>40</v>
      </c>
    </row>
    <row r="51" spans="1:19">
      <c r="A51" s="2" t="s">
        <v>1</v>
      </c>
      <c r="B51" s="2">
        <v>2132437508</v>
      </c>
      <c r="C51" s="2">
        <v>1558082295</v>
      </c>
      <c r="D51" s="2">
        <v>574355213</v>
      </c>
      <c r="E51" s="2">
        <v>2.7127500000000002</v>
      </c>
      <c r="F51" s="2">
        <v>1500107713</v>
      </c>
      <c r="G51" s="5">
        <v>0.70347088999999996</v>
      </c>
      <c r="H51" s="5">
        <v>0.96279106999999997</v>
      </c>
      <c r="I51" s="5">
        <v>0.97281300000000004</v>
      </c>
      <c r="J51" s="2">
        <f>19.89+2.521</f>
        <v>22.411000000000001</v>
      </c>
      <c r="K51" s="2">
        <f>3.730295</f>
        <v>3.7302949999999999</v>
      </c>
      <c r="L51" s="2" t="s">
        <v>41</v>
      </c>
      <c r="M51" s="2"/>
      <c r="N51" s="2"/>
      <c r="O51" s="2">
        <f>17*60+33.906</f>
        <v>1053.9059999999999</v>
      </c>
      <c r="P51" s="2"/>
      <c r="Q51" s="2">
        <f>17.096+1.428</f>
        <v>18.524000000000001</v>
      </c>
    </row>
    <row r="52" spans="1:19">
      <c r="A52" s="2" t="s">
        <v>6</v>
      </c>
      <c r="B52" s="2">
        <v>748916378</v>
      </c>
      <c r="C52" s="2">
        <v>681081228</v>
      </c>
      <c r="D52" s="2">
        <v>67835150</v>
      </c>
      <c r="E52" s="2">
        <v>10.040241</v>
      </c>
      <c r="F52" s="2">
        <v>678155227</v>
      </c>
      <c r="G52" s="5">
        <v>0.90551528000000003</v>
      </c>
      <c r="H52" s="5">
        <v>0.99570389000000004</v>
      </c>
      <c r="I52" s="5">
        <v>0.99609302</v>
      </c>
      <c r="J52" s="2">
        <f>19*60+28.284-5.52</f>
        <v>1162.7640000000001</v>
      </c>
      <c r="K52" s="2">
        <v>11.78421</v>
      </c>
      <c r="L52" s="2">
        <f>J52-K52</f>
        <v>1150.9797900000001</v>
      </c>
      <c r="M52" s="2"/>
      <c r="N52" s="2"/>
      <c r="O52" s="2">
        <f>56*60+8.693</f>
        <v>3368.6930000000002</v>
      </c>
      <c r="P52" s="2"/>
      <c r="Q52" s="2">
        <f>18*60+50.874+1.914</f>
        <v>1132.788</v>
      </c>
    </row>
    <row r="53" spans="1:19">
      <c r="A53" s="2" t="s">
        <v>2</v>
      </c>
      <c r="B53" s="2">
        <v>5203214882</v>
      </c>
      <c r="C53" s="2">
        <v>3283723596</v>
      </c>
      <c r="D53" s="2">
        <v>1919491286</v>
      </c>
      <c r="E53" s="2">
        <v>1.710726</v>
      </c>
      <c r="F53" s="2">
        <v>2429888509</v>
      </c>
      <c r="G53" s="5">
        <v>0.46699752999999999</v>
      </c>
      <c r="H53" s="5">
        <v>0.73997961000000001</v>
      </c>
      <c r="I53" s="5">
        <v>0.83590240000000005</v>
      </c>
      <c r="J53" s="2">
        <f>22*60+44.6</f>
        <v>1364.6</v>
      </c>
      <c r="K53" s="2">
        <v>12.612731999999999</v>
      </c>
      <c r="L53" s="2">
        <f>J53-K53</f>
        <v>1351.9872679999999</v>
      </c>
      <c r="M53" s="2"/>
      <c r="N53" s="2"/>
      <c r="O53" s="2">
        <f>36*60+49.92</f>
        <v>2209.92</v>
      </c>
      <c r="P53" s="2"/>
      <c r="Q53" s="2">
        <f>22*60+28.954+5.123</f>
        <v>1354.077</v>
      </c>
    </row>
    <row r="62" spans="1:19">
      <c r="A62" s="2" t="s">
        <v>26</v>
      </c>
      <c r="B62" s="2" t="s">
        <v>25</v>
      </c>
      <c r="C62" s="2"/>
      <c r="D62" s="2"/>
      <c r="E62" s="2"/>
      <c r="F62" s="2"/>
      <c r="G62" s="2"/>
      <c r="H62" s="2"/>
      <c r="I62" s="2"/>
      <c r="K62" s="2" t="s">
        <v>26</v>
      </c>
      <c r="L62" s="2" t="s">
        <v>25</v>
      </c>
      <c r="M62" s="2"/>
      <c r="N62" s="2"/>
      <c r="O62" s="2"/>
      <c r="P62" s="2"/>
      <c r="Q62" s="2"/>
      <c r="R62" s="2"/>
      <c r="S62" s="2"/>
    </row>
    <row r="63" spans="1:19">
      <c r="A63" s="2"/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K63" s="2"/>
      <c r="L63" s="2">
        <v>1</v>
      </c>
      <c r="M63" s="2">
        <v>2</v>
      </c>
      <c r="N63" s="2">
        <v>3</v>
      </c>
      <c r="O63" s="2">
        <v>4</v>
      </c>
      <c r="P63" s="2">
        <v>5</v>
      </c>
      <c r="Q63" s="2">
        <v>6</v>
      </c>
      <c r="R63" s="2">
        <v>7</v>
      </c>
      <c r="S63" s="2">
        <v>8</v>
      </c>
    </row>
    <row r="64" spans="1:19">
      <c r="A64" s="2" t="s">
        <v>28</v>
      </c>
      <c r="B64" s="2">
        <v>38.878704999999997</v>
      </c>
      <c r="C64" s="2">
        <v>45.305779999999999</v>
      </c>
      <c r="D64" s="2">
        <v>110.59578399999999</v>
      </c>
      <c r="E64" s="2">
        <v>168.10127800000001</v>
      </c>
      <c r="F64" s="2">
        <v>77.842341000000005</v>
      </c>
      <c r="G64" s="2">
        <v>89.026964000000007</v>
      </c>
      <c r="H64" s="2">
        <v>118.350092</v>
      </c>
      <c r="I64" s="2">
        <v>95.010265000000004</v>
      </c>
      <c r="K64" s="2" t="s">
        <v>28</v>
      </c>
      <c r="L64" s="2">
        <v>86.565374000000006</v>
      </c>
      <c r="M64" s="2">
        <v>92.524236000000002</v>
      </c>
      <c r="N64" s="2">
        <v>167.00711100000001</v>
      </c>
      <c r="O64" s="2">
        <v>69.356492000000003</v>
      </c>
      <c r="P64" s="2">
        <v>80.338256000000001</v>
      </c>
      <c r="Q64" s="2">
        <v>154.20872600000001</v>
      </c>
      <c r="R64" s="2">
        <v>171.72080199999999</v>
      </c>
      <c r="S64" s="2">
        <v>97.614374999999995</v>
      </c>
    </row>
    <row r="65" spans="1:19">
      <c r="A65" s="2" t="s">
        <v>27</v>
      </c>
      <c r="B65" s="2">
        <v>55.269734</v>
      </c>
      <c r="C65" s="2">
        <v>230.96640500000001</v>
      </c>
      <c r="D65" s="2">
        <v>234.60775699999999</v>
      </c>
      <c r="E65" s="2">
        <v>329.21117099999998</v>
      </c>
      <c r="F65" s="2">
        <v>263.54871000000003</v>
      </c>
      <c r="G65" s="2">
        <v>124.036964</v>
      </c>
      <c r="H65" s="2">
        <v>470.14669199999997</v>
      </c>
      <c r="I65" s="2">
        <v>335.83623699999998</v>
      </c>
      <c r="K65" s="2" t="s">
        <v>27</v>
      </c>
      <c r="L65" s="2">
        <v>119.285352</v>
      </c>
      <c r="M65" s="2">
        <v>139.805635</v>
      </c>
      <c r="N65" s="2">
        <v>205.09321700000001</v>
      </c>
      <c r="O65" s="2">
        <v>137.63526100000001</v>
      </c>
      <c r="P65" s="2">
        <v>346.841949</v>
      </c>
      <c r="Q65" s="2">
        <v>295.59813000000003</v>
      </c>
      <c r="R65" s="2">
        <v>486.640468</v>
      </c>
      <c r="S65" s="2">
        <v>168.88789399999999</v>
      </c>
    </row>
    <row r="66" spans="1:19">
      <c r="A66" s="2"/>
      <c r="B66" s="2"/>
      <c r="C66" s="2"/>
      <c r="D66" s="2"/>
      <c r="E66" s="2"/>
      <c r="F66" s="2"/>
      <c r="G66" s="2"/>
      <c r="H66" s="2"/>
      <c r="I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</row>
    <row r="68" spans="1:19">
      <c r="A68" s="2" t="s">
        <v>26</v>
      </c>
      <c r="B68" s="2" t="s">
        <v>25</v>
      </c>
      <c r="C68" s="2" t="s">
        <v>11</v>
      </c>
      <c r="D68" s="2"/>
      <c r="E68" s="2"/>
      <c r="F68" s="2"/>
      <c r="G68" s="2"/>
      <c r="H68" s="2"/>
      <c r="I68" s="2"/>
    </row>
    <row r="69" spans="1:19">
      <c r="A69" s="2"/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</row>
    <row r="70" spans="1:19">
      <c r="A70" s="2" t="s">
        <v>13</v>
      </c>
      <c r="B70" s="2">
        <v>36.744399999999999</v>
      </c>
      <c r="C70" s="2">
        <v>23.13026</v>
      </c>
      <c r="D70" s="2">
        <v>15.01604</v>
      </c>
      <c r="E70" s="2">
        <v>17.281839999999999</v>
      </c>
      <c r="F70" s="2">
        <v>7.0185500000000003</v>
      </c>
      <c r="G70" s="2">
        <v>11.100379999999999</v>
      </c>
      <c r="H70" s="2">
        <v>11.5183</v>
      </c>
      <c r="I70" s="2">
        <v>13.01629</v>
      </c>
    </row>
    <row r="71" spans="1:19">
      <c r="A71" s="2" t="s">
        <v>14</v>
      </c>
      <c r="B71" s="2">
        <v>40.932899999999997</v>
      </c>
      <c r="C71" s="2">
        <v>41.809100000000001</v>
      </c>
      <c r="D71" s="2">
        <v>16.643799999999999</v>
      </c>
      <c r="E71" s="2">
        <v>37.941360000000003</v>
      </c>
      <c r="F71" s="2">
        <v>38.683799999999998</v>
      </c>
      <c r="G71" s="2">
        <v>28.207799999999999</v>
      </c>
      <c r="H71" s="2">
        <v>22.927299999999999</v>
      </c>
      <c r="I71" s="2">
        <v>25.1037</v>
      </c>
    </row>
    <row r="72" spans="1:19">
      <c r="F72" t="s">
        <v>69</v>
      </c>
      <c r="G72" t="s">
        <v>70</v>
      </c>
      <c r="H72" t="s">
        <v>71</v>
      </c>
      <c r="I72" t="s">
        <v>63</v>
      </c>
      <c r="J72" t="s">
        <v>72</v>
      </c>
      <c r="K72" t="s">
        <v>73</v>
      </c>
      <c r="M72" t="s">
        <v>75</v>
      </c>
    </row>
    <row r="73" spans="1:19">
      <c r="A73" s="2" t="s">
        <v>28</v>
      </c>
      <c r="F73" t="s">
        <v>60</v>
      </c>
      <c r="G73" t="s">
        <v>61</v>
      </c>
      <c r="H73" t="s">
        <v>62</v>
      </c>
      <c r="I73" t="s">
        <v>63</v>
      </c>
      <c r="J73" t="s">
        <v>64</v>
      </c>
      <c r="K73" t="s">
        <v>65</v>
      </c>
      <c r="L73" t="s">
        <v>66</v>
      </c>
      <c r="M73" t="s">
        <v>74</v>
      </c>
      <c r="N73" t="s">
        <v>67</v>
      </c>
      <c r="O73" t="s">
        <v>68</v>
      </c>
    </row>
    <row r="74" spans="1:19" ht="13">
      <c r="A74">
        <v>1</v>
      </c>
      <c r="B74" s="2">
        <v>38.878704999999997</v>
      </c>
      <c r="C74" s="2">
        <v>86.565374000000006</v>
      </c>
      <c r="D74" s="2">
        <v>14.3461</v>
      </c>
      <c r="E74">
        <v>73.640224000000003</v>
      </c>
      <c r="F74" s="6">
        <f>MAX(B74:E74)</f>
        <v>86.565374000000006</v>
      </c>
      <c r="G74">
        <f>MIN(B74:E74)</f>
        <v>14.3461</v>
      </c>
      <c r="H74">
        <f>AVERAGE(B74:E74)</f>
        <v>53.357600750000003</v>
      </c>
      <c r="I74">
        <f>QUARTILE(B74:E74,1)</f>
        <v>32.745553749999999</v>
      </c>
      <c r="J74">
        <f>MEDIAN(B74:E74)</f>
        <v>56.2594645</v>
      </c>
      <c r="K74">
        <f>J74-I74</f>
        <v>23.513910750000001</v>
      </c>
      <c r="L74">
        <f>QUARTILE(B74:E74,3)</f>
        <v>76.871511499999997</v>
      </c>
      <c r="M74">
        <f>L74-J74</f>
        <v>20.612046999999997</v>
      </c>
      <c r="N74">
        <f t="shared" ref="N74:N81" si="1">I74-G74</f>
        <v>18.399453749999999</v>
      </c>
      <c r="O74">
        <f t="shared" ref="O74:O81" si="2">F74-L74</f>
        <v>9.6938625000000087</v>
      </c>
    </row>
    <row r="75" spans="1:19" ht="13">
      <c r="A75">
        <v>2</v>
      </c>
      <c r="B75" s="2">
        <v>45.305779999999999</v>
      </c>
      <c r="C75" s="2">
        <v>92.524236000000002</v>
      </c>
      <c r="D75" s="2">
        <v>114.4666</v>
      </c>
      <c r="E75">
        <v>26.650355000000001</v>
      </c>
      <c r="F75" s="6">
        <f t="shared" ref="F75:F81" si="3">MAX(B75:E75)</f>
        <v>114.4666</v>
      </c>
      <c r="G75" s="2">
        <f t="shared" ref="G75:G81" si="4">MIN(B75:E75)</f>
        <v>26.650355000000001</v>
      </c>
      <c r="H75" s="2">
        <f t="shared" ref="H75:H81" si="5">AVERAGE(B75:E75)</f>
        <v>69.736742750000005</v>
      </c>
      <c r="I75" s="2">
        <f t="shared" ref="I75:I81" si="6">QUARTILE(B75:E75,1)</f>
        <v>40.641923750000004</v>
      </c>
      <c r="J75" s="2">
        <f t="shared" ref="J75:J81" si="7">MEDIAN(B75:E75)</f>
        <v>68.915008</v>
      </c>
      <c r="K75" s="2">
        <f t="shared" ref="K75:K81" si="8">J75-I75</f>
        <v>28.273084249999997</v>
      </c>
      <c r="L75" s="2">
        <f t="shared" ref="L75:L81" si="9">QUARTILE(B75:E75,3)</f>
        <v>98.009827000000001</v>
      </c>
      <c r="M75" s="2">
        <f t="shared" ref="M75:M81" si="10">L75-J75</f>
        <v>29.094819000000001</v>
      </c>
      <c r="N75" s="2">
        <f t="shared" si="1"/>
        <v>13.991568750000003</v>
      </c>
      <c r="O75" s="2">
        <f t="shared" si="2"/>
        <v>16.456772999999998</v>
      </c>
    </row>
    <row r="76" spans="1:19" ht="13">
      <c r="A76" s="2">
        <v>3</v>
      </c>
      <c r="B76" s="2">
        <v>110.59578399999999</v>
      </c>
      <c r="C76" s="2">
        <v>167.00711100000001</v>
      </c>
      <c r="D76" s="2">
        <v>169.115973</v>
      </c>
      <c r="E76">
        <v>110.758877</v>
      </c>
      <c r="F76" s="6">
        <f t="shared" si="3"/>
        <v>169.115973</v>
      </c>
      <c r="G76" s="2">
        <f t="shared" si="4"/>
        <v>110.59578399999999</v>
      </c>
      <c r="H76" s="2">
        <f t="shared" si="5"/>
        <v>139.36943625000001</v>
      </c>
      <c r="I76" s="2">
        <f t="shared" si="6"/>
        <v>110.71810375</v>
      </c>
      <c r="J76" s="2">
        <f t="shared" si="7"/>
        <v>138.882994</v>
      </c>
      <c r="K76" s="2">
        <f t="shared" si="8"/>
        <v>28.164890249999999</v>
      </c>
      <c r="L76" s="2">
        <f t="shared" si="9"/>
        <v>167.53432650000002</v>
      </c>
      <c r="M76" s="2">
        <f t="shared" si="10"/>
        <v>28.651332500000024</v>
      </c>
      <c r="N76" s="2">
        <f t="shared" si="1"/>
        <v>0.12231975000000261</v>
      </c>
      <c r="O76" s="2">
        <f t="shared" si="2"/>
        <v>1.5816464999999766</v>
      </c>
    </row>
    <row r="77" spans="1:19" ht="13">
      <c r="A77" s="2">
        <v>4</v>
      </c>
      <c r="B77" s="2">
        <v>168.10127800000001</v>
      </c>
      <c r="C77" s="2">
        <v>69.356492000000003</v>
      </c>
      <c r="D77" s="2">
        <v>149.34094999999999</v>
      </c>
      <c r="E77">
        <v>150.823961</v>
      </c>
      <c r="F77" s="6">
        <f t="shared" si="3"/>
        <v>168.10127800000001</v>
      </c>
      <c r="G77" s="2">
        <f t="shared" si="4"/>
        <v>69.356492000000003</v>
      </c>
      <c r="H77" s="2">
        <f t="shared" si="5"/>
        <v>134.40567025000001</v>
      </c>
      <c r="I77" s="2">
        <f t="shared" si="6"/>
        <v>129.34483549999999</v>
      </c>
      <c r="J77" s="2">
        <f t="shared" si="7"/>
        <v>150.08245549999998</v>
      </c>
      <c r="K77" s="2">
        <f t="shared" si="8"/>
        <v>20.737619999999993</v>
      </c>
      <c r="L77" s="2">
        <f t="shared" si="9"/>
        <v>155.14329025000001</v>
      </c>
      <c r="M77" s="2">
        <f t="shared" si="10"/>
        <v>5.0608347500000264</v>
      </c>
      <c r="N77" s="2">
        <f t="shared" si="1"/>
        <v>59.988343499999985</v>
      </c>
      <c r="O77" s="2">
        <f t="shared" si="2"/>
        <v>12.957987750000001</v>
      </c>
    </row>
    <row r="78" spans="1:19" ht="13">
      <c r="A78" s="2">
        <v>5</v>
      </c>
      <c r="B78" s="2">
        <v>77.842341000000005</v>
      </c>
      <c r="C78" s="2">
        <v>80.338256000000001</v>
      </c>
      <c r="D78" s="2">
        <v>71.312799999999996</v>
      </c>
      <c r="E78">
        <v>92.492025999999996</v>
      </c>
      <c r="F78" s="6">
        <f t="shared" si="3"/>
        <v>92.492025999999996</v>
      </c>
      <c r="G78" s="2">
        <f t="shared" si="4"/>
        <v>71.312799999999996</v>
      </c>
      <c r="H78" s="2">
        <f t="shared" si="5"/>
        <v>80.496355750000006</v>
      </c>
      <c r="I78" s="2">
        <f t="shared" si="6"/>
        <v>76.209955750000006</v>
      </c>
      <c r="J78" s="2">
        <f t="shared" si="7"/>
        <v>79.090298500000003</v>
      </c>
      <c r="K78" s="2">
        <f t="shared" si="8"/>
        <v>2.880342749999997</v>
      </c>
      <c r="L78" s="2">
        <f t="shared" si="9"/>
        <v>83.376698500000003</v>
      </c>
      <c r="M78" s="2">
        <f t="shared" si="10"/>
        <v>4.2864000000000004</v>
      </c>
      <c r="N78" s="2">
        <f t="shared" si="1"/>
        <v>4.8971557500000102</v>
      </c>
      <c r="O78" s="2">
        <f t="shared" si="2"/>
        <v>9.1153274999999923</v>
      </c>
    </row>
    <row r="79" spans="1:19" ht="13">
      <c r="A79" s="2">
        <v>6</v>
      </c>
      <c r="B79" s="2">
        <v>89.026964000000007</v>
      </c>
      <c r="C79" s="2">
        <v>154.20872600000001</v>
      </c>
      <c r="D79" s="2">
        <v>88.01473</v>
      </c>
      <c r="E79">
        <v>272.58239500000002</v>
      </c>
      <c r="F79" s="6">
        <f t="shared" si="3"/>
        <v>272.58239500000002</v>
      </c>
      <c r="G79" s="2">
        <f t="shared" si="4"/>
        <v>88.01473</v>
      </c>
      <c r="H79" s="2">
        <f t="shared" si="5"/>
        <v>150.95820375</v>
      </c>
      <c r="I79" s="2">
        <f t="shared" si="6"/>
        <v>88.773905500000012</v>
      </c>
      <c r="J79" s="2">
        <f t="shared" si="7"/>
        <v>121.61784500000002</v>
      </c>
      <c r="K79" s="2">
        <f t="shared" si="8"/>
        <v>32.843939500000005</v>
      </c>
      <c r="L79" s="2">
        <f t="shared" si="9"/>
        <v>183.80214325000003</v>
      </c>
      <c r="M79" s="2">
        <f t="shared" si="10"/>
        <v>62.184298250000012</v>
      </c>
      <c r="N79" s="2">
        <f t="shared" si="1"/>
        <v>0.75917550000001199</v>
      </c>
      <c r="O79" s="2">
        <f t="shared" si="2"/>
        <v>88.780251749999991</v>
      </c>
    </row>
    <row r="80" spans="1:19" ht="13">
      <c r="A80" s="2">
        <v>7</v>
      </c>
      <c r="B80" s="2">
        <v>118.350092</v>
      </c>
      <c r="C80" s="2">
        <v>171.72080199999999</v>
      </c>
      <c r="D80" s="2">
        <v>218.9366</v>
      </c>
      <c r="E80">
        <v>172.091397</v>
      </c>
      <c r="F80" s="6">
        <f t="shared" si="3"/>
        <v>218.9366</v>
      </c>
      <c r="G80" s="2">
        <f t="shared" si="4"/>
        <v>118.350092</v>
      </c>
      <c r="H80" s="2">
        <f t="shared" si="5"/>
        <v>170.27472275</v>
      </c>
      <c r="I80" s="2">
        <f t="shared" si="6"/>
        <v>158.37812450000001</v>
      </c>
      <c r="J80" s="2">
        <f t="shared" si="7"/>
        <v>171.90609949999998</v>
      </c>
      <c r="K80" s="2">
        <f t="shared" si="8"/>
        <v>13.527974999999969</v>
      </c>
      <c r="L80" s="2">
        <f t="shared" si="9"/>
        <v>183.80269774999999</v>
      </c>
      <c r="M80" s="2">
        <f t="shared" si="10"/>
        <v>11.896598250000011</v>
      </c>
      <c r="N80" s="2">
        <f t="shared" si="1"/>
        <v>40.028032500000009</v>
      </c>
      <c r="O80" s="2">
        <f t="shared" si="2"/>
        <v>35.133902250000006</v>
      </c>
    </row>
    <row r="81" spans="1:28" ht="13">
      <c r="A81" s="2">
        <v>8</v>
      </c>
      <c r="B81" s="2">
        <v>95.010265000000004</v>
      </c>
      <c r="C81" s="2">
        <v>97.614374999999995</v>
      </c>
      <c r="D81" s="2">
        <v>257.64456000000001</v>
      </c>
      <c r="E81">
        <v>139.466542</v>
      </c>
      <c r="F81" s="6">
        <f t="shared" si="3"/>
        <v>257.64456000000001</v>
      </c>
      <c r="G81" s="2">
        <f t="shared" si="4"/>
        <v>95.010265000000004</v>
      </c>
      <c r="H81" s="2">
        <f t="shared" si="5"/>
        <v>147.43393550000002</v>
      </c>
      <c r="I81" s="2">
        <f t="shared" si="6"/>
        <v>96.963347499999998</v>
      </c>
      <c r="J81" s="2">
        <f t="shared" si="7"/>
        <v>118.5404585</v>
      </c>
      <c r="K81" s="2">
        <f t="shared" si="8"/>
        <v>21.577111000000002</v>
      </c>
      <c r="L81" s="2">
        <f t="shared" si="9"/>
        <v>169.01104650000002</v>
      </c>
      <c r="M81" s="2">
        <f t="shared" si="10"/>
        <v>50.470588000000021</v>
      </c>
      <c r="N81" s="2">
        <f t="shared" si="1"/>
        <v>1.9530824999999936</v>
      </c>
      <c r="O81" s="2">
        <f t="shared" si="2"/>
        <v>88.633513499999992</v>
      </c>
    </row>
    <row r="84" spans="1:28">
      <c r="A84" s="2" t="s">
        <v>27</v>
      </c>
    </row>
    <row r="85" spans="1:28">
      <c r="F85" s="2" t="s">
        <v>69</v>
      </c>
      <c r="G85" s="2" t="s">
        <v>70</v>
      </c>
      <c r="H85" s="2" t="s">
        <v>71</v>
      </c>
      <c r="I85" s="2" t="s">
        <v>63</v>
      </c>
      <c r="J85" s="2" t="s">
        <v>72</v>
      </c>
      <c r="K85" s="2" t="s">
        <v>73</v>
      </c>
      <c r="L85" s="2"/>
      <c r="M85" s="2" t="s">
        <v>75</v>
      </c>
      <c r="N85" s="2"/>
      <c r="O85" s="2"/>
      <c r="Q85" t="s">
        <v>106</v>
      </c>
      <c r="X85" t="s">
        <v>107</v>
      </c>
    </row>
    <row r="86" spans="1:28" ht="14">
      <c r="F86" s="2" t="s">
        <v>60</v>
      </c>
      <c r="G86" s="2" t="s">
        <v>61</v>
      </c>
      <c r="H86" s="2" t="s">
        <v>62</v>
      </c>
      <c r="I86" s="2" t="s">
        <v>63</v>
      </c>
      <c r="J86" s="2" t="s">
        <v>64</v>
      </c>
      <c r="K86" s="2" t="s">
        <v>65</v>
      </c>
      <c r="L86" s="2" t="s">
        <v>66</v>
      </c>
      <c r="M86" s="2" t="s">
        <v>74</v>
      </c>
      <c r="N86" s="2" t="s">
        <v>67</v>
      </c>
      <c r="O86" s="2" t="s">
        <v>68</v>
      </c>
      <c r="Q86" t="s">
        <v>105</v>
      </c>
      <c r="R86" t="s">
        <v>72</v>
      </c>
      <c r="S86" t="s">
        <v>66</v>
      </c>
      <c r="T86" t="s">
        <v>73</v>
      </c>
      <c r="U86" t="s">
        <v>75</v>
      </c>
      <c r="W86" s="7" t="s">
        <v>109</v>
      </c>
      <c r="X86" t="s">
        <v>63</v>
      </c>
      <c r="Y86" t="s">
        <v>72</v>
      </c>
      <c r="Z86" t="s">
        <v>66</v>
      </c>
      <c r="AA86" t="s">
        <v>73</v>
      </c>
      <c r="AB86" t="s">
        <v>75</v>
      </c>
    </row>
    <row r="87" spans="1:28" ht="13">
      <c r="A87" s="2">
        <v>1</v>
      </c>
      <c r="B87" s="2">
        <v>55.269734</v>
      </c>
      <c r="C87" s="2">
        <v>81.750600000000006</v>
      </c>
      <c r="D87">
        <v>118.90790200000001</v>
      </c>
      <c r="E87">
        <v>119.285352</v>
      </c>
      <c r="F87" s="6">
        <f>MAX(B87:E87)</f>
        <v>119.285352</v>
      </c>
      <c r="G87" s="2">
        <f>MIN(B87:E87)</f>
        <v>55.269734</v>
      </c>
      <c r="H87" s="2">
        <f>AVERAGE(B87:E87)</f>
        <v>93.803397000000004</v>
      </c>
      <c r="I87" s="2">
        <f>QUARTILE(B87:E87,1)</f>
        <v>75.130383500000008</v>
      </c>
      <c r="J87" s="2">
        <f>MEDIAN(B87:E87)</f>
        <v>100.329251</v>
      </c>
      <c r="K87" s="2">
        <f>J87-I87</f>
        <v>25.198867499999992</v>
      </c>
      <c r="L87" s="2">
        <f>QUARTILE(B87:E87,3)</f>
        <v>119.00226450000001</v>
      </c>
      <c r="M87" s="2">
        <f>L87-J87</f>
        <v>18.67301350000001</v>
      </c>
      <c r="N87" s="2">
        <f t="shared" ref="N87:N94" si="11">I87-G87</f>
        <v>19.860649500000008</v>
      </c>
      <c r="O87" s="2">
        <f t="shared" ref="O87:O94" si="12">F87-L87</f>
        <v>0.2830874999999935</v>
      </c>
      <c r="Q87">
        <f t="shared" ref="Q87:Q94" si="13">MIN(I87,I74)</f>
        <v>32.745553749999999</v>
      </c>
      <c r="R87">
        <f t="shared" ref="R87:R94" si="14">MIN(J74,J87)</f>
        <v>56.2594645</v>
      </c>
      <c r="S87">
        <f t="shared" ref="S87:S94" si="15">MIN(L74,L87)</f>
        <v>76.871511499999997</v>
      </c>
      <c r="T87">
        <f>R87-Q87</f>
        <v>23.513910750000001</v>
      </c>
      <c r="U87">
        <f>S87-R87</f>
        <v>20.612046999999997</v>
      </c>
      <c r="W87">
        <f>X87-S87</f>
        <v>-1.7411279999999891</v>
      </c>
      <c r="X87">
        <f>MAX(I74,I87)</f>
        <v>75.130383500000008</v>
      </c>
      <c r="Y87">
        <f>MAX(J74,J87)</f>
        <v>100.329251</v>
      </c>
      <c r="Z87">
        <f>MAX(L74,L87)</f>
        <v>119.00226450000001</v>
      </c>
      <c r="AA87">
        <f>Y87-X87</f>
        <v>25.198867499999992</v>
      </c>
      <c r="AB87">
        <f>Z87-Y87</f>
        <v>18.67301350000001</v>
      </c>
    </row>
    <row r="88" spans="1:28" ht="13">
      <c r="A88" s="2">
        <v>2</v>
      </c>
      <c r="B88" s="2">
        <v>230.96640500000001</v>
      </c>
      <c r="C88" s="2">
        <v>63.730490000000003</v>
      </c>
      <c r="D88">
        <v>160.53917999999999</v>
      </c>
      <c r="E88">
        <v>139.805635</v>
      </c>
      <c r="F88" s="6">
        <f t="shared" ref="F88:F94" si="16">MAX(B88:E88)</f>
        <v>230.96640500000001</v>
      </c>
      <c r="G88" s="2">
        <f t="shared" ref="G88:G94" si="17">MIN(B88:E88)</f>
        <v>63.730490000000003</v>
      </c>
      <c r="H88" s="2">
        <f t="shared" ref="H88:H94" si="18">AVERAGE(B88:E88)</f>
        <v>148.76042749999999</v>
      </c>
      <c r="I88" s="2">
        <f t="shared" ref="I88:I94" si="19">QUARTILE(B88:E88,1)</f>
        <v>120.78684874999999</v>
      </c>
      <c r="J88" s="2">
        <f t="shared" ref="J88:J94" si="20">MEDIAN(B88:E88)</f>
        <v>150.17240749999999</v>
      </c>
      <c r="K88" s="2">
        <f t="shared" ref="K88:K94" si="21">J88-I88</f>
        <v>29.385558750000001</v>
      </c>
      <c r="L88" s="2">
        <f t="shared" ref="L88:L94" si="22">QUARTILE(B88:E88,3)</f>
        <v>178.14598624999999</v>
      </c>
      <c r="M88" s="2">
        <f t="shared" ref="M88:M94" si="23">L88-J88</f>
        <v>27.973578750000001</v>
      </c>
      <c r="N88" s="2">
        <f t="shared" si="11"/>
        <v>57.056358749999987</v>
      </c>
      <c r="O88" s="2">
        <f t="shared" si="12"/>
        <v>52.820418750000016</v>
      </c>
      <c r="Q88" s="2">
        <f t="shared" si="13"/>
        <v>40.641923750000004</v>
      </c>
      <c r="R88" s="2">
        <f t="shared" si="14"/>
        <v>68.915008</v>
      </c>
      <c r="S88" s="2">
        <f t="shared" si="15"/>
        <v>98.009827000000001</v>
      </c>
      <c r="T88" s="2">
        <f t="shared" ref="T88:T94" si="24">R88-Q88</f>
        <v>28.273084249999997</v>
      </c>
      <c r="U88" s="2">
        <f t="shared" ref="U88:U94" si="25">S88-R88</f>
        <v>29.094819000000001</v>
      </c>
      <c r="W88" s="2">
        <f t="shared" ref="W88:W94" si="26">X88-S88</f>
        <v>22.777021749999989</v>
      </c>
      <c r="X88" s="2">
        <f t="shared" ref="X88:X94" si="27">MAX(I75,I88)</f>
        <v>120.78684874999999</v>
      </c>
      <c r="Y88" s="2">
        <f t="shared" ref="Y88:Y94" si="28">MAX(J75,J88)</f>
        <v>150.17240749999999</v>
      </c>
      <c r="Z88" s="2">
        <f t="shared" ref="Z88:Z94" si="29">MAX(L75,L88)</f>
        <v>178.14598624999999</v>
      </c>
      <c r="AA88" s="2">
        <f t="shared" ref="AA88:AA94" si="30">Y88-X88</f>
        <v>29.385558750000001</v>
      </c>
      <c r="AB88" s="2">
        <f t="shared" ref="AB88:AB94" si="31">Z88-Y88</f>
        <v>27.973578750000001</v>
      </c>
    </row>
    <row r="89" spans="1:28" ht="13">
      <c r="A89" s="2">
        <v>3</v>
      </c>
      <c r="B89" s="2">
        <v>234.60775699999999</v>
      </c>
      <c r="C89" s="2">
        <v>88.164479999999998</v>
      </c>
      <c r="D89">
        <v>279.93399499999998</v>
      </c>
      <c r="E89">
        <v>205.09321700000001</v>
      </c>
      <c r="F89" s="6">
        <f t="shared" si="16"/>
        <v>279.93399499999998</v>
      </c>
      <c r="G89" s="2">
        <f t="shared" si="17"/>
        <v>88.164479999999998</v>
      </c>
      <c r="H89" s="2">
        <f t="shared" si="18"/>
        <v>201.94986225</v>
      </c>
      <c r="I89" s="2">
        <f t="shared" si="19"/>
        <v>175.86103274999999</v>
      </c>
      <c r="J89" s="2">
        <f t="shared" si="20"/>
        <v>219.85048699999999</v>
      </c>
      <c r="K89" s="2">
        <f t="shared" si="21"/>
        <v>43.989454249999994</v>
      </c>
      <c r="L89" s="2">
        <f t="shared" si="22"/>
        <v>245.93931649999999</v>
      </c>
      <c r="M89" s="2">
        <f t="shared" si="23"/>
        <v>26.088829500000003</v>
      </c>
      <c r="N89" s="2">
        <f t="shared" si="11"/>
        <v>87.696552749999995</v>
      </c>
      <c r="O89" s="2">
        <f t="shared" si="12"/>
        <v>33.994678499999992</v>
      </c>
      <c r="Q89" s="2">
        <f t="shared" si="13"/>
        <v>110.71810375</v>
      </c>
      <c r="R89" s="2">
        <f t="shared" si="14"/>
        <v>138.882994</v>
      </c>
      <c r="S89" s="2">
        <f t="shared" si="15"/>
        <v>167.53432650000002</v>
      </c>
      <c r="T89" s="2">
        <f t="shared" si="24"/>
        <v>28.164890249999999</v>
      </c>
      <c r="U89" s="2">
        <f t="shared" si="25"/>
        <v>28.651332500000024</v>
      </c>
      <c r="W89" s="2">
        <f t="shared" si="26"/>
        <v>8.3267062499999724</v>
      </c>
      <c r="X89" s="2">
        <f t="shared" si="27"/>
        <v>175.86103274999999</v>
      </c>
      <c r="Y89" s="2">
        <f t="shared" si="28"/>
        <v>219.85048699999999</v>
      </c>
      <c r="Z89" s="2">
        <f t="shared" si="29"/>
        <v>245.93931649999999</v>
      </c>
      <c r="AA89" s="2">
        <f t="shared" si="30"/>
        <v>43.989454249999994</v>
      </c>
      <c r="AB89" s="2">
        <f t="shared" si="31"/>
        <v>26.088829500000003</v>
      </c>
    </row>
    <row r="90" spans="1:28" ht="13">
      <c r="A90" s="2">
        <v>4</v>
      </c>
      <c r="B90" s="2">
        <v>329.21117099999998</v>
      </c>
      <c r="C90" s="2">
        <v>33.04909</v>
      </c>
      <c r="D90">
        <v>163.72321700000001</v>
      </c>
      <c r="E90">
        <v>137.63526100000001</v>
      </c>
      <c r="F90" s="6">
        <f t="shared" si="16"/>
        <v>329.21117099999998</v>
      </c>
      <c r="G90" s="2">
        <f t="shared" si="17"/>
        <v>33.04909</v>
      </c>
      <c r="H90" s="2">
        <f t="shared" si="18"/>
        <v>165.90468475</v>
      </c>
      <c r="I90" s="2">
        <f t="shared" si="19"/>
        <v>111.48871825000001</v>
      </c>
      <c r="J90" s="2">
        <f t="shared" si="20"/>
        <v>150.679239</v>
      </c>
      <c r="K90" s="2">
        <f t="shared" si="21"/>
        <v>39.19052074999999</v>
      </c>
      <c r="L90" s="2">
        <f t="shared" si="22"/>
        <v>205.09520549999999</v>
      </c>
      <c r="M90" s="2">
        <f t="shared" si="23"/>
        <v>54.415966499999996</v>
      </c>
      <c r="N90" s="2">
        <f t="shared" si="11"/>
        <v>78.439628249999998</v>
      </c>
      <c r="O90" s="2">
        <f t="shared" si="12"/>
        <v>124.11596549999999</v>
      </c>
      <c r="Q90" s="2">
        <f t="shared" si="13"/>
        <v>111.48871825000001</v>
      </c>
      <c r="R90" s="2">
        <f t="shared" si="14"/>
        <v>150.08245549999998</v>
      </c>
      <c r="S90" s="2">
        <f t="shared" si="15"/>
        <v>155.14329025000001</v>
      </c>
      <c r="T90" s="2">
        <f t="shared" si="24"/>
        <v>38.593737249999975</v>
      </c>
      <c r="U90" s="2">
        <f t="shared" si="25"/>
        <v>5.0608347500000264</v>
      </c>
      <c r="W90" s="2">
        <f t="shared" si="26"/>
        <v>-25.798454750000019</v>
      </c>
      <c r="X90" s="2">
        <f t="shared" si="27"/>
        <v>129.34483549999999</v>
      </c>
      <c r="Y90" s="2">
        <f t="shared" si="28"/>
        <v>150.679239</v>
      </c>
      <c r="Z90" s="2">
        <f t="shared" si="29"/>
        <v>205.09520549999999</v>
      </c>
      <c r="AA90" s="2">
        <f t="shared" si="30"/>
        <v>21.334403500000008</v>
      </c>
      <c r="AB90" s="2">
        <f t="shared" si="31"/>
        <v>54.415966499999996</v>
      </c>
    </row>
    <row r="91" spans="1:28" ht="13">
      <c r="A91" s="2">
        <v>5</v>
      </c>
      <c r="B91" s="2">
        <v>263.54871000000003</v>
      </c>
      <c r="C91" s="2">
        <v>65.910719999999998</v>
      </c>
      <c r="D91">
        <v>89.693091999999993</v>
      </c>
      <c r="E91">
        <v>346.841949</v>
      </c>
      <c r="F91" s="6">
        <f t="shared" si="16"/>
        <v>346.841949</v>
      </c>
      <c r="G91" s="2">
        <f t="shared" si="17"/>
        <v>65.910719999999998</v>
      </c>
      <c r="H91" s="2">
        <f t="shared" si="18"/>
        <v>191.49861774999999</v>
      </c>
      <c r="I91" s="2">
        <f t="shared" si="19"/>
        <v>83.747498999999991</v>
      </c>
      <c r="J91" s="2">
        <f t="shared" si="20"/>
        <v>176.620901</v>
      </c>
      <c r="K91" s="2">
        <f t="shared" si="21"/>
        <v>92.873402000000013</v>
      </c>
      <c r="L91" s="2">
        <f t="shared" si="22"/>
        <v>284.37201975000005</v>
      </c>
      <c r="M91" s="2">
        <f t="shared" si="23"/>
        <v>107.75111875000005</v>
      </c>
      <c r="N91" s="2">
        <f t="shared" si="11"/>
        <v>17.836778999999993</v>
      </c>
      <c r="O91" s="2">
        <f t="shared" si="12"/>
        <v>62.46992924999995</v>
      </c>
      <c r="Q91" s="2">
        <f t="shared" si="13"/>
        <v>76.209955750000006</v>
      </c>
      <c r="R91" s="2">
        <f t="shared" si="14"/>
        <v>79.090298500000003</v>
      </c>
      <c r="S91" s="2">
        <f t="shared" si="15"/>
        <v>83.376698500000003</v>
      </c>
      <c r="T91" s="2">
        <f t="shared" si="24"/>
        <v>2.880342749999997</v>
      </c>
      <c r="U91" s="2">
        <f t="shared" si="25"/>
        <v>4.2864000000000004</v>
      </c>
      <c r="W91" s="2">
        <f t="shared" si="26"/>
        <v>0.37080049999998721</v>
      </c>
      <c r="X91" s="2">
        <f t="shared" si="27"/>
        <v>83.747498999999991</v>
      </c>
      <c r="Y91" s="2">
        <f t="shared" si="28"/>
        <v>176.620901</v>
      </c>
      <c r="Z91" s="2">
        <f t="shared" si="29"/>
        <v>284.37201975000005</v>
      </c>
      <c r="AA91" s="2">
        <f t="shared" si="30"/>
        <v>92.873402000000013</v>
      </c>
      <c r="AB91" s="2">
        <f t="shared" si="31"/>
        <v>107.75111875000005</v>
      </c>
    </row>
    <row r="92" spans="1:28" ht="13">
      <c r="A92" s="2">
        <v>6</v>
      </c>
      <c r="B92" s="2">
        <v>124.036964</v>
      </c>
      <c r="C92" s="2">
        <v>236.28559999999999</v>
      </c>
      <c r="D92">
        <v>436.19068299999998</v>
      </c>
      <c r="E92">
        <v>295.59813000000003</v>
      </c>
      <c r="F92" s="6">
        <f t="shared" si="16"/>
        <v>436.19068299999998</v>
      </c>
      <c r="G92" s="2">
        <f t="shared" si="17"/>
        <v>124.036964</v>
      </c>
      <c r="H92" s="2">
        <f t="shared" si="18"/>
        <v>273.02784424999999</v>
      </c>
      <c r="I92" s="2">
        <f t="shared" si="19"/>
        <v>208.22344099999998</v>
      </c>
      <c r="J92" s="2">
        <f t="shared" si="20"/>
        <v>265.94186500000001</v>
      </c>
      <c r="K92" s="2">
        <f t="shared" si="21"/>
        <v>57.718424000000027</v>
      </c>
      <c r="L92" s="2">
        <f t="shared" si="22"/>
        <v>330.74626825000001</v>
      </c>
      <c r="M92" s="2">
        <f t="shared" si="23"/>
        <v>64.804403250000007</v>
      </c>
      <c r="N92" s="2">
        <f t="shared" si="11"/>
        <v>84.186476999999982</v>
      </c>
      <c r="O92" s="2">
        <f t="shared" si="12"/>
        <v>105.44441474999996</v>
      </c>
      <c r="Q92" s="2">
        <f t="shared" si="13"/>
        <v>88.773905500000012</v>
      </c>
      <c r="R92" s="2">
        <f t="shared" si="14"/>
        <v>121.61784500000002</v>
      </c>
      <c r="S92" s="2">
        <f t="shared" si="15"/>
        <v>183.80214325000003</v>
      </c>
      <c r="T92" s="2">
        <f t="shared" si="24"/>
        <v>32.843939500000005</v>
      </c>
      <c r="U92" s="2">
        <f t="shared" si="25"/>
        <v>62.184298250000012</v>
      </c>
      <c r="W92" s="2">
        <f t="shared" si="26"/>
        <v>24.421297749999951</v>
      </c>
      <c r="X92" s="2">
        <f t="shared" si="27"/>
        <v>208.22344099999998</v>
      </c>
      <c r="Y92" s="2">
        <f t="shared" si="28"/>
        <v>265.94186500000001</v>
      </c>
      <c r="Z92" s="2">
        <f t="shared" si="29"/>
        <v>330.74626825000001</v>
      </c>
      <c r="AA92" s="2">
        <f t="shared" si="30"/>
        <v>57.718424000000027</v>
      </c>
      <c r="AB92" s="2">
        <f t="shared" si="31"/>
        <v>64.804403250000007</v>
      </c>
    </row>
    <row r="93" spans="1:28" ht="13">
      <c r="A93" s="2">
        <v>7</v>
      </c>
      <c r="B93" s="2">
        <v>470.14669199999997</v>
      </c>
      <c r="C93" s="2">
        <v>203.92740000000001</v>
      </c>
      <c r="D93">
        <v>422.21701100000001</v>
      </c>
      <c r="E93">
        <v>486.640468</v>
      </c>
      <c r="F93" s="6">
        <f t="shared" si="16"/>
        <v>486.640468</v>
      </c>
      <c r="G93" s="2">
        <f t="shared" si="17"/>
        <v>203.92740000000001</v>
      </c>
      <c r="H93" s="2">
        <f t="shared" si="18"/>
        <v>395.73289275000002</v>
      </c>
      <c r="I93" s="2">
        <f t="shared" si="19"/>
        <v>367.64460825000003</v>
      </c>
      <c r="J93" s="2">
        <f t="shared" si="20"/>
        <v>446.18185149999999</v>
      </c>
      <c r="K93" s="2">
        <f t="shared" si="21"/>
        <v>78.53724324999996</v>
      </c>
      <c r="L93" s="2">
        <f t="shared" si="22"/>
        <v>474.27013599999998</v>
      </c>
      <c r="M93" s="2">
        <f t="shared" si="23"/>
        <v>28.088284499999986</v>
      </c>
      <c r="N93" s="2">
        <f t="shared" si="11"/>
        <v>163.71720825000003</v>
      </c>
      <c r="O93" s="2">
        <f t="shared" si="12"/>
        <v>12.370332000000019</v>
      </c>
      <c r="Q93" s="2">
        <f t="shared" si="13"/>
        <v>158.37812450000001</v>
      </c>
      <c r="R93" s="2">
        <f t="shared" si="14"/>
        <v>171.90609949999998</v>
      </c>
      <c r="S93" s="2">
        <f t="shared" si="15"/>
        <v>183.80269774999999</v>
      </c>
      <c r="T93" s="2">
        <f t="shared" si="24"/>
        <v>13.527974999999969</v>
      </c>
      <c r="U93" s="2">
        <f t="shared" si="25"/>
        <v>11.896598250000011</v>
      </c>
      <c r="W93" s="2">
        <f t="shared" si="26"/>
        <v>183.84191050000004</v>
      </c>
      <c r="X93" s="2">
        <f t="shared" si="27"/>
        <v>367.64460825000003</v>
      </c>
      <c r="Y93" s="2">
        <f t="shared" si="28"/>
        <v>446.18185149999999</v>
      </c>
      <c r="Z93" s="2">
        <f t="shared" si="29"/>
        <v>474.27013599999998</v>
      </c>
      <c r="AA93" s="2">
        <f t="shared" si="30"/>
        <v>78.53724324999996</v>
      </c>
      <c r="AB93" s="2">
        <f t="shared" si="31"/>
        <v>28.088284499999986</v>
      </c>
    </row>
    <row r="94" spans="1:28" ht="13">
      <c r="A94" s="2">
        <v>8</v>
      </c>
      <c r="B94" s="2">
        <v>335.83623699999998</v>
      </c>
      <c r="C94" s="2">
        <v>162.19226</v>
      </c>
      <c r="D94">
        <v>284.55721499999999</v>
      </c>
      <c r="E94">
        <v>168.88789399999999</v>
      </c>
      <c r="F94" s="6">
        <f t="shared" si="16"/>
        <v>335.83623699999998</v>
      </c>
      <c r="G94" s="2">
        <f t="shared" si="17"/>
        <v>162.19226</v>
      </c>
      <c r="H94" s="2">
        <f t="shared" si="18"/>
        <v>237.8684015</v>
      </c>
      <c r="I94" s="2">
        <f t="shared" si="19"/>
        <v>167.21398549999998</v>
      </c>
      <c r="J94" s="2">
        <f t="shared" si="20"/>
        <v>226.7225545</v>
      </c>
      <c r="K94" s="2">
        <f t="shared" si="21"/>
        <v>59.508569000000023</v>
      </c>
      <c r="L94" s="2">
        <f t="shared" si="22"/>
        <v>297.37697049999997</v>
      </c>
      <c r="M94" s="2">
        <f t="shared" si="23"/>
        <v>70.654415999999969</v>
      </c>
      <c r="N94" s="2">
        <f t="shared" si="11"/>
        <v>5.0217254999999739</v>
      </c>
      <c r="O94" s="2">
        <f t="shared" si="12"/>
        <v>38.459266500000012</v>
      </c>
      <c r="Q94" s="2">
        <f t="shared" si="13"/>
        <v>96.963347499999998</v>
      </c>
      <c r="R94" s="2">
        <f t="shared" si="14"/>
        <v>118.5404585</v>
      </c>
      <c r="S94" s="2">
        <f t="shared" si="15"/>
        <v>169.01104650000002</v>
      </c>
      <c r="T94" s="2">
        <f t="shared" si="24"/>
        <v>21.577111000000002</v>
      </c>
      <c r="U94" s="2">
        <f t="shared" si="25"/>
        <v>50.470588000000021</v>
      </c>
      <c r="W94" s="2">
        <f t="shared" si="26"/>
        <v>-1.797061000000042</v>
      </c>
      <c r="X94" s="2">
        <f t="shared" si="27"/>
        <v>167.21398549999998</v>
      </c>
      <c r="Y94" s="2">
        <f t="shared" si="28"/>
        <v>226.7225545</v>
      </c>
      <c r="Z94" s="2">
        <f t="shared" si="29"/>
        <v>297.37697049999997</v>
      </c>
      <c r="AA94" s="2">
        <f t="shared" si="30"/>
        <v>59.508569000000023</v>
      </c>
      <c r="AB94" s="2">
        <f t="shared" si="31"/>
        <v>70.654415999999969</v>
      </c>
    </row>
    <row r="97" spans="1:25">
      <c r="A97" s="2" t="s">
        <v>13</v>
      </c>
    </row>
    <row r="99" spans="1:25">
      <c r="F99" s="2" t="s">
        <v>69</v>
      </c>
      <c r="G99" s="2" t="s">
        <v>70</v>
      </c>
      <c r="H99" s="2" t="s">
        <v>71</v>
      </c>
      <c r="I99" s="2" t="s">
        <v>63</v>
      </c>
      <c r="J99" s="2" t="s">
        <v>72</v>
      </c>
      <c r="K99" s="2" t="s">
        <v>73</v>
      </c>
      <c r="L99" s="2"/>
      <c r="M99" s="2" t="s">
        <v>75</v>
      </c>
      <c r="N99" s="2"/>
      <c r="O99" s="2"/>
      <c r="Q99" s="2" t="s">
        <v>106</v>
      </c>
      <c r="T99" s="2" t="s">
        <v>108</v>
      </c>
      <c r="U99" s="2" t="s">
        <v>72</v>
      </c>
      <c r="V99" s="2" t="s">
        <v>66</v>
      </c>
      <c r="W99" s="2" t="s">
        <v>63</v>
      </c>
      <c r="X99" s="2" t="s">
        <v>72</v>
      </c>
      <c r="Y99" s="2" t="s">
        <v>66</v>
      </c>
    </row>
    <row r="100" spans="1:25">
      <c r="F100" s="2" t="s">
        <v>60</v>
      </c>
      <c r="G100" s="2" t="s">
        <v>61</v>
      </c>
      <c r="H100" s="2" t="s">
        <v>62</v>
      </c>
      <c r="I100" s="2" t="s">
        <v>63</v>
      </c>
      <c r="J100" s="2" t="s">
        <v>64</v>
      </c>
      <c r="K100" s="2" t="s">
        <v>65</v>
      </c>
      <c r="L100" s="2" t="s">
        <v>66</v>
      </c>
      <c r="M100" s="2" t="s">
        <v>74</v>
      </c>
      <c r="N100" s="2" t="s">
        <v>67</v>
      </c>
      <c r="O100" s="2" t="s">
        <v>68</v>
      </c>
      <c r="Q100" s="2" t="s">
        <v>108</v>
      </c>
      <c r="R100" t="s">
        <v>73</v>
      </c>
      <c r="T100" s="2">
        <v>32.745553749999999</v>
      </c>
      <c r="U100" s="2">
        <v>56.2594645</v>
      </c>
      <c r="V100" s="2">
        <v>76.871511499999997</v>
      </c>
      <c r="W100" s="2">
        <v>75.130383500000008</v>
      </c>
      <c r="X100" s="2">
        <v>100.329251</v>
      </c>
      <c r="Y100" s="2">
        <v>119.00226450000001</v>
      </c>
    </row>
    <row r="101" spans="1:25" ht="13">
      <c r="A101">
        <v>1</v>
      </c>
      <c r="B101" s="2">
        <v>36.744399999999999</v>
      </c>
      <c r="C101">
        <v>42.288294</v>
      </c>
      <c r="D101">
        <v>41.190908</v>
      </c>
      <c r="E101">
        <v>61.143321</v>
      </c>
      <c r="F101" s="6">
        <f>MAX(B101:E101)</f>
        <v>61.143321</v>
      </c>
      <c r="G101" s="2">
        <f>MIN(B101:E101)</f>
        <v>36.744399999999999</v>
      </c>
      <c r="H101" s="2">
        <f>AVERAGE(B101:E101)</f>
        <v>45.341730749999996</v>
      </c>
      <c r="I101" s="2">
        <f>QUARTILE(B101:E101,1)</f>
        <v>40.079281000000002</v>
      </c>
      <c r="J101" s="2">
        <f>MEDIAN(B101:E101)</f>
        <v>41.739601</v>
      </c>
      <c r="K101" s="2">
        <f>J101-I101</f>
        <v>1.6603199999999987</v>
      </c>
      <c r="L101" s="2">
        <f>QUARTILE(B101:E101,3)</f>
        <v>47.002050750000002</v>
      </c>
      <c r="M101" s="2">
        <f>L101-J101</f>
        <v>5.2624497500000018</v>
      </c>
      <c r="N101" s="2">
        <f t="shared" ref="N101:N108" si="32">I101-G101</f>
        <v>3.3348810000000029</v>
      </c>
      <c r="O101" s="2">
        <f t="shared" ref="O101:O108" si="33">F101-L101</f>
        <v>14.141270249999998</v>
      </c>
      <c r="Q101" s="2">
        <v>32.745553749999999</v>
      </c>
      <c r="T101" s="2">
        <v>40.641923750000004</v>
      </c>
      <c r="U101" s="2">
        <v>68.915008</v>
      </c>
      <c r="V101" s="2">
        <v>98.009827000000001</v>
      </c>
      <c r="W101" s="2">
        <v>120.78684874999999</v>
      </c>
      <c r="X101" s="2">
        <v>150.17240749999999</v>
      </c>
      <c r="Y101" s="2">
        <v>178.14598624999999</v>
      </c>
    </row>
    <row r="102" spans="1:25" ht="13">
      <c r="A102" s="2">
        <v>2</v>
      </c>
      <c r="B102" s="2">
        <v>23.13026</v>
      </c>
      <c r="C102">
        <v>18.501747000000002</v>
      </c>
      <c r="D102">
        <v>15.074904</v>
      </c>
      <c r="E102">
        <v>19.220085000000001</v>
      </c>
      <c r="F102" s="6">
        <f t="shared" ref="F102:F108" si="34">MAX(B102:E102)</f>
        <v>23.13026</v>
      </c>
      <c r="G102" s="2">
        <f t="shared" ref="G102:G108" si="35">MIN(B102:E102)</f>
        <v>15.074904</v>
      </c>
      <c r="H102" s="2">
        <f t="shared" ref="H102:H108" si="36">AVERAGE(B102:E102)</f>
        <v>18.981749000000001</v>
      </c>
      <c r="I102" s="2">
        <f t="shared" ref="I102:I108" si="37">QUARTILE(B102:E102,1)</f>
        <v>17.64503625</v>
      </c>
      <c r="J102" s="2">
        <f t="shared" ref="J102:J108" si="38">MEDIAN(B102:E102)</f>
        <v>18.860916000000003</v>
      </c>
      <c r="K102" s="2">
        <f t="shared" ref="K102:K108" si="39">J102-I102</f>
        <v>1.2158797500000027</v>
      </c>
      <c r="L102" s="2">
        <f t="shared" ref="L102:L108" si="40">QUARTILE(B102:E102,3)</f>
        <v>20.19762875</v>
      </c>
      <c r="M102" s="2">
        <f t="shared" ref="M102:M108" si="41">L102-J102</f>
        <v>1.3367127499999967</v>
      </c>
      <c r="N102" s="2">
        <f t="shared" si="32"/>
        <v>2.5701322500000003</v>
      </c>
      <c r="O102" s="2">
        <f t="shared" si="33"/>
        <v>2.93263125</v>
      </c>
      <c r="Q102" s="2">
        <v>40.641923750000004</v>
      </c>
      <c r="T102" s="2">
        <v>110.71810375</v>
      </c>
      <c r="U102" s="2">
        <v>138.882994</v>
      </c>
      <c r="V102" s="2">
        <v>167.53432650000002</v>
      </c>
      <c r="W102" s="2">
        <v>175.86103274999999</v>
      </c>
      <c r="X102" s="2">
        <v>219.85048699999999</v>
      </c>
      <c r="Y102" s="2">
        <v>245.93931649999999</v>
      </c>
    </row>
    <row r="103" spans="1:25" ht="13">
      <c r="A103" s="2">
        <v>3</v>
      </c>
      <c r="B103" s="2">
        <v>15.01604</v>
      </c>
      <c r="C103">
        <v>8.9383909999999993</v>
      </c>
      <c r="D103">
        <v>12.919912</v>
      </c>
      <c r="E103">
        <v>36.376187999999999</v>
      </c>
      <c r="F103" s="6">
        <f t="shared" si="34"/>
        <v>36.376187999999999</v>
      </c>
      <c r="G103" s="2">
        <f t="shared" si="35"/>
        <v>8.9383909999999993</v>
      </c>
      <c r="H103" s="2">
        <f t="shared" si="36"/>
        <v>18.312632749999999</v>
      </c>
      <c r="I103" s="2">
        <f t="shared" si="37"/>
        <v>11.92453175</v>
      </c>
      <c r="J103" s="2">
        <f t="shared" si="38"/>
        <v>13.967976</v>
      </c>
      <c r="K103" s="2">
        <f t="shared" si="39"/>
        <v>2.0434442500000003</v>
      </c>
      <c r="L103" s="2">
        <f t="shared" si="40"/>
        <v>20.356076999999999</v>
      </c>
      <c r="M103" s="2">
        <f t="shared" si="41"/>
        <v>6.3881009999999989</v>
      </c>
      <c r="N103" s="2">
        <f t="shared" si="32"/>
        <v>2.9861407500000006</v>
      </c>
      <c r="O103" s="2">
        <f t="shared" si="33"/>
        <v>16.020111</v>
      </c>
      <c r="Q103" s="2">
        <v>110.71810375</v>
      </c>
      <c r="T103" s="2">
        <v>111.48871825000001</v>
      </c>
      <c r="U103" s="2">
        <v>150.08245549999998</v>
      </c>
      <c r="V103" s="2">
        <v>155.14329025000001</v>
      </c>
      <c r="W103" s="2">
        <v>129.34483549999999</v>
      </c>
      <c r="X103" s="2">
        <v>150.679239</v>
      </c>
      <c r="Y103" s="2">
        <v>205.09520549999999</v>
      </c>
    </row>
    <row r="104" spans="1:25" ht="13">
      <c r="A104" s="2">
        <v>4</v>
      </c>
      <c r="B104" s="2">
        <v>17.281839999999999</v>
      </c>
      <c r="C104">
        <v>9.7149190000000001</v>
      </c>
      <c r="D104">
        <v>15.239811</v>
      </c>
      <c r="E104">
        <v>11.176742000000001</v>
      </c>
      <c r="F104" s="6">
        <f t="shared" si="34"/>
        <v>17.281839999999999</v>
      </c>
      <c r="G104" s="2">
        <f t="shared" si="35"/>
        <v>9.7149190000000001</v>
      </c>
      <c r="H104" s="2">
        <f t="shared" si="36"/>
        <v>13.353328000000001</v>
      </c>
      <c r="I104" s="2">
        <f t="shared" si="37"/>
        <v>10.81128625</v>
      </c>
      <c r="J104" s="2">
        <f t="shared" si="38"/>
        <v>13.2082765</v>
      </c>
      <c r="K104" s="2">
        <f t="shared" si="39"/>
        <v>2.39699025</v>
      </c>
      <c r="L104" s="2">
        <f t="shared" si="40"/>
        <v>15.750318249999999</v>
      </c>
      <c r="M104" s="2">
        <f t="shared" si="41"/>
        <v>2.5420417499999992</v>
      </c>
      <c r="N104" s="2">
        <f t="shared" si="32"/>
        <v>1.0963672500000001</v>
      </c>
      <c r="O104" s="2">
        <f t="shared" si="33"/>
        <v>1.5315217499999996</v>
      </c>
      <c r="Q104" s="2">
        <v>111.48871825000001</v>
      </c>
      <c r="T104" s="2">
        <v>76.209955750000006</v>
      </c>
      <c r="U104" s="2">
        <v>79.090298500000003</v>
      </c>
      <c r="V104" s="2">
        <v>83.376698500000003</v>
      </c>
      <c r="W104" s="2">
        <v>83.747498999999991</v>
      </c>
      <c r="X104" s="2">
        <v>176.620901</v>
      </c>
      <c r="Y104" s="2">
        <v>284.37201975000005</v>
      </c>
    </row>
    <row r="105" spans="1:25" ht="13">
      <c r="A105" s="2">
        <v>5</v>
      </c>
      <c r="B105" s="2">
        <v>7.0185500000000003</v>
      </c>
      <c r="C105">
        <v>16.017174000000001</v>
      </c>
      <c r="D105">
        <v>22.762675000000002</v>
      </c>
      <c r="E105">
        <v>12.402965999999999</v>
      </c>
      <c r="F105" s="6">
        <f t="shared" si="34"/>
        <v>22.762675000000002</v>
      </c>
      <c r="G105" s="2">
        <f t="shared" si="35"/>
        <v>7.0185500000000003</v>
      </c>
      <c r="H105" s="2">
        <f t="shared" si="36"/>
        <v>14.550341250000001</v>
      </c>
      <c r="I105" s="2">
        <f t="shared" si="37"/>
        <v>11.056861999999999</v>
      </c>
      <c r="J105" s="2">
        <f t="shared" si="38"/>
        <v>14.21007</v>
      </c>
      <c r="K105" s="2">
        <f t="shared" si="39"/>
        <v>3.1532080000000011</v>
      </c>
      <c r="L105" s="2">
        <f t="shared" si="40"/>
        <v>17.703549250000002</v>
      </c>
      <c r="M105" s="2">
        <f t="shared" si="41"/>
        <v>3.4934792500000018</v>
      </c>
      <c r="N105" s="2">
        <f t="shared" si="32"/>
        <v>4.0383119999999986</v>
      </c>
      <c r="O105" s="2">
        <f t="shared" si="33"/>
        <v>5.0591257499999998</v>
      </c>
      <c r="Q105" s="2">
        <v>76.209955750000006</v>
      </c>
      <c r="T105" s="2">
        <v>88.773905500000012</v>
      </c>
      <c r="U105" s="2">
        <v>121.61784500000002</v>
      </c>
      <c r="V105" s="2">
        <v>183.80214325000003</v>
      </c>
      <c r="W105" s="2">
        <v>208.22344099999998</v>
      </c>
      <c r="X105" s="2">
        <v>265.94186500000001</v>
      </c>
      <c r="Y105" s="2">
        <v>330.74626825000001</v>
      </c>
    </row>
    <row r="106" spans="1:25" ht="13">
      <c r="A106" s="2">
        <v>6</v>
      </c>
      <c r="B106" s="2">
        <v>11.100379999999999</v>
      </c>
      <c r="C106">
        <v>21.067295999999999</v>
      </c>
      <c r="D106">
        <v>17.987438000000001</v>
      </c>
      <c r="E106">
        <v>13.45134</v>
      </c>
      <c r="F106" s="6">
        <f t="shared" si="34"/>
        <v>21.067295999999999</v>
      </c>
      <c r="G106" s="2">
        <f t="shared" si="35"/>
        <v>11.100379999999999</v>
      </c>
      <c r="H106" s="2">
        <f t="shared" si="36"/>
        <v>15.9016135</v>
      </c>
      <c r="I106" s="2">
        <f t="shared" si="37"/>
        <v>12.8636</v>
      </c>
      <c r="J106" s="2">
        <f t="shared" si="38"/>
        <v>15.719389</v>
      </c>
      <c r="K106" s="2">
        <f t="shared" si="39"/>
        <v>2.8557889999999997</v>
      </c>
      <c r="L106" s="2">
        <f t="shared" si="40"/>
        <v>18.757402500000001</v>
      </c>
      <c r="M106" s="2">
        <f t="shared" si="41"/>
        <v>3.0380135000000017</v>
      </c>
      <c r="N106" s="2">
        <f t="shared" si="32"/>
        <v>1.7632200000000005</v>
      </c>
      <c r="O106" s="2">
        <f t="shared" si="33"/>
        <v>2.3098934999999976</v>
      </c>
      <c r="Q106" s="2">
        <v>88.773905500000012</v>
      </c>
      <c r="T106" s="2">
        <v>158.37812450000001</v>
      </c>
      <c r="U106" s="2">
        <v>171.90609949999998</v>
      </c>
      <c r="V106" s="2">
        <v>183.80269774999999</v>
      </c>
      <c r="W106" s="2">
        <v>367.64460825000003</v>
      </c>
      <c r="X106" s="2">
        <v>446.18185149999999</v>
      </c>
      <c r="Y106" s="2">
        <v>474.27013599999998</v>
      </c>
    </row>
    <row r="107" spans="1:25" ht="13">
      <c r="A107" s="2">
        <v>7</v>
      </c>
      <c r="B107" s="2">
        <v>11.5183</v>
      </c>
      <c r="C107">
        <v>9.8769240000000007</v>
      </c>
      <c r="D107">
        <v>16.175608</v>
      </c>
      <c r="E107">
        <v>24.114301999999999</v>
      </c>
      <c r="F107" s="6">
        <f t="shared" si="34"/>
        <v>24.114301999999999</v>
      </c>
      <c r="G107" s="2">
        <f t="shared" si="35"/>
        <v>9.8769240000000007</v>
      </c>
      <c r="H107" s="2">
        <f t="shared" si="36"/>
        <v>15.421283499999998</v>
      </c>
      <c r="I107" s="2">
        <f t="shared" si="37"/>
        <v>11.107956</v>
      </c>
      <c r="J107" s="2">
        <f t="shared" si="38"/>
        <v>13.846954</v>
      </c>
      <c r="K107" s="2">
        <f t="shared" si="39"/>
        <v>2.7389980000000005</v>
      </c>
      <c r="L107" s="2">
        <f t="shared" si="40"/>
        <v>18.1602815</v>
      </c>
      <c r="M107" s="2">
        <f t="shared" si="41"/>
        <v>4.3133274999999998</v>
      </c>
      <c r="N107" s="2">
        <f t="shared" si="32"/>
        <v>1.231031999999999</v>
      </c>
      <c r="O107" s="2">
        <f t="shared" si="33"/>
        <v>5.9540204999999986</v>
      </c>
      <c r="Q107" s="2">
        <v>158.37812450000001</v>
      </c>
      <c r="T107" s="2">
        <v>96.963347499999998</v>
      </c>
      <c r="U107" s="2">
        <v>118.5404585</v>
      </c>
      <c r="V107" s="2">
        <v>169.01104650000002</v>
      </c>
      <c r="W107" s="2">
        <v>167.21398549999998</v>
      </c>
      <c r="X107" s="2">
        <v>226.7225545</v>
      </c>
      <c r="Y107" s="2">
        <v>297.37697049999997</v>
      </c>
    </row>
    <row r="108" spans="1:25" ht="13">
      <c r="A108" s="2">
        <v>8</v>
      </c>
      <c r="B108" s="2">
        <v>13.01629</v>
      </c>
      <c r="C108">
        <v>13.450737</v>
      </c>
      <c r="D108">
        <v>8.8311930000000007</v>
      </c>
      <c r="E108">
        <v>3.4553970000000001</v>
      </c>
      <c r="F108" s="6">
        <f t="shared" si="34"/>
        <v>13.450737</v>
      </c>
      <c r="G108" s="2">
        <f t="shared" si="35"/>
        <v>3.4553970000000001</v>
      </c>
      <c r="H108" s="2">
        <f t="shared" si="36"/>
        <v>9.6884042499999996</v>
      </c>
      <c r="I108" s="2">
        <f t="shared" si="37"/>
        <v>7.4872440000000005</v>
      </c>
      <c r="J108" s="2">
        <f t="shared" si="38"/>
        <v>10.9237415</v>
      </c>
      <c r="K108" s="2">
        <f t="shared" si="39"/>
        <v>3.4364974999999998</v>
      </c>
      <c r="L108" s="2">
        <f t="shared" si="40"/>
        <v>13.124901749999999</v>
      </c>
      <c r="M108" s="2">
        <f t="shared" si="41"/>
        <v>2.2011602499999992</v>
      </c>
      <c r="N108" s="2">
        <f t="shared" si="32"/>
        <v>4.0318470000000008</v>
      </c>
      <c r="O108" s="2">
        <f t="shared" si="33"/>
        <v>0.3258352500000008</v>
      </c>
      <c r="Q108" s="2">
        <v>96.963347499999998</v>
      </c>
    </row>
    <row r="112" spans="1:25">
      <c r="A112" s="2" t="s">
        <v>14</v>
      </c>
    </row>
    <row r="113" spans="1:19">
      <c r="F113" s="2" t="s">
        <v>69</v>
      </c>
      <c r="G113" s="2" t="s">
        <v>70</v>
      </c>
      <c r="H113" s="2" t="s">
        <v>71</v>
      </c>
      <c r="I113" s="2" t="s">
        <v>63</v>
      </c>
      <c r="J113" s="2" t="s">
        <v>72</v>
      </c>
      <c r="K113" s="2" t="s">
        <v>73</v>
      </c>
      <c r="L113" s="2"/>
      <c r="M113" s="2" t="s">
        <v>75</v>
      </c>
      <c r="N113" s="2"/>
      <c r="O113" s="2"/>
    </row>
    <row r="114" spans="1:19">
      <c r="F114" s="2" t="s">
        <v>60</v>
      </c>
      <c r="G114" s="2" t="s">
        <v>61</v>
      </c>
      <c r="H114" s="2" t="s">
        <v>62</v>
      </c>
      <c r="I114" s="2" t="s">
        <v>63</v>
      </c>
      <c r="J114" s="2" t="s">
        <v>64</v>
      </c>
      <c r="K114" s="2" t="s">
        <v>65</v>
      </c>
      <c r="L114" s="2" t="s">
        <v>66</v>
      </c>
      <c r="M114" s="2" t="s">
        <v>74</v>
      </c>
      <c r="N114" s="2" t="s">
        <v>67</v>
      </c>
      <c r="O114" s="2" t="s">
        <v>68</v>
      </c>
    </row>
    <row r="115" spans="1:19" ht="13">
      <c r="A115" s="2">
        <v>1</v>
      </c>
      <c r="B115">
        <v>41.003971</v>
      </c>
      <c r="C115">
        <v>37.821624</v>
      </c>
      <c r="D115" s="2">
        <v>40.932899999999997</v>
      </c>
      <c r="E115">
        <v>87.160842000000002</v>
      </c>
      <c r="F115" s="6">
        <f>MAX(B115:E115)</f>
        <v>87.160842000000002</v>
      </c>
      <c r="G115" s="2">
        <f>MIN(B115:E115)</f>
        <v>37.821624</v>
      </c>
      <c r="H115" s="2">
        <f>AVERAGE(B115:E115)</f>
        <v>51.729834249999996</v>
      </c>
      <c r="I115" s="2">
        <f>QUARTILE(B115:E115,1)</f>
        <v>40.155080999999996</v>
      </c>
      <c r="J115" s="2">
        <f>MEDIAN(B115:E115)</f>
        <v>40.968435499999998</v>
      </c>
      <c r="K115" s="2">
        <f>J115-I115</f>
        <v>0.81335450000000264</v>
      </c>
      <c r="L115" s="2">
        <f>QUARTILE(B115:E115,3)</f>
        <v>52.543188749999999</v>
      </c>
      <c r="M115" s="2">
        <f>L115-J115</f>
        <v>11.574753250000001</v>
      </c>
      <c r="N115" s="2">
        <f t="shared" ref="N115:N122" si="42">I115-G115</f>
        <v>2.3334569999999957</v>
      </c>
      <c r="O115" s="2">
        <f t="shared" ref="O115:O122" si="43">F115-L115</f>
        <v>34.617653250000004</v>
      </c>
    </row>
    <row r="116" spans="1:19" ht="13">
      <c r="A116" s="2">
        <v>2</v>
      </c>
      <c r="B116">
        <v>61.360840000000003</v>
      </c>
      <c r="C116">
        <v>34.596353999999998</v>
      </c>
      <c r="D116" s="2">
        <v>41.809100000000001</v>
      </c>
      <c r="E116">
        <v>20.642493000000002</v>
      </c>
      <c r="F116" s="6">
        <f t="shared" ref="F116:F122" si="44">MAX(B116:E116)</f>
        <v>61.360840000000003</v>
      </c>
      <c r="G116" s="2">
        <f t="shared" ref="G116:G122" si="45">MIN(B116:E116)</f>
        <v>20.642493000000002</v>
      </c>
      <c r="H116" s="2">
        <f t="shared" ref="H116:H122" si="46">AVERAGE(B116:E116)</f>
        <v>39.602196750000004</v>
      </c>
      <c r="I116" s="2">
        <f t="shared" ref="I116:I122" si="47">QUARTILE(B116:E116,1)</f>
        <v>31.107888750000001</v>
      </c>
      <c r="J116" s="2">
        <f t="shared" ref="J116:J122" si="48">MEDIAN(B116:E116)</f>
        <v>38.202726999999996</v>
      </c>
      <c r="K116" s="2">
        <f t="shared" ref="K116:K122" si="49">J116-I116</f>
        <v>7.0948382499999951</v>
      </c>
      <c r="L116" s="2">
        <f t="shared" ref="L116:L122" si="50">QUARTILE(B116:E116,3)</f>
        <v>46.697035</v>
      </c>
      <c r="M116" s="2">
        <f t="shared" ref="M116:M122" si="51">L116-J116</f>
        <v>8.4943080000000037</v>
      </c>
      <c r="N116" s="2">
        <f t="shared" si="42"/>
        <v>10.465395749999999</v>
      </c>
      <c r="O116" s="2">
        <f t="shared" si="43"/>
        <v>14.663805000000004</v>
      </c>
    </row>
    <row r="117" spans="1:19" ht="13">
      <c r="A117" s="2">
        <v>3</v>
      </c>
      <c r="B117">
        <v>54.247298000000001</v>
      </c>
      <c r="C117">
        <v>45.171399000000001</v>
      </c>
      <c r="D117" s="2">
        <v>16.643799999999999</v>
      </c>
      <c r="E117">
        <v>126.55283</v>
      </c>
      <c r="F117" s="6">
        <f t="shared" si="44"/>
        <v>126.55283</v>
      </c>
      <c r="G117" s="2">
        <f t="shared" si="45"/>
        <v>16.643799999999999</v>
      </c>
      <c r="H117" s="2">
        <f t="shared" si="46"/>
        <v>60.653831750000002</v>
      </c>
      <c r="I117" s="2">
        <f t="shared" si="47"/>
        <v>38.039499249999999</v>
      </c>
      <c r="J117" s="2">
        <f t="shared" si="48"/>
        <v>49.709348500000004</v>
      </c>
      <c r="K117" s="2">
        <f t="shared" si="49"/>
        <v>11.669849250000006</v>
      </c>
      <c r="L117" s="2">
        <f t="shared" si="50"/>
        <v>72.323680999999993</v>
      </c>
      <c r="M117" s="2">
        <f t="shared" si="51"/>
        <v>22.614332499999989</v>
      </c>
      <c r="N117" s="2">
        <f t="shared" si="42"/>
        <v>21.39569925</v>
      </c>
      <c r="O117" s="2">
        <f t="shared" si="43"/>
        <v>54.229149000000007</v>
      </c>
    </row>
    <row r="118" spans="1:19" ht="13">
      <c r="A118" s="2">
        <v>4</v>
      </c>
      <c r="B118">
        <v>32.668019999999999</v>
      </c>
      <c r="C118">
        <v>36.862819000000002</v>
      </c>
      <c r="D118" s="2">
        <v>37.941360000000003</v>
      </c>
      <c r="E118">
        <v>105.596476</v>
      </c>
      <c r="F118" s="6">
        <f t="shared" si="44"/>
        <v>105.596476</v>
      </c>
      <c r="G118" s="2">
        <f t="shared" si="45"/>
        <v>32.668019999999999</v>
      </c>
      <c r="H118" s="2">
        <f t="shared" si="46"/>
        <v>53.267168749999996</v>
      </c>
      <c r="I118" s="2">
        <f t="shared" si="47"/>
        <v>35.814119250000005</v>
      </c>
      <c r="J118" s="2">
        <f t="shared" si="48"/>
        <v>37.402089500000002</v>
      </c>
      <c r="K118" s="2">
        <f t="shared" si="49"/>
        <v>1.5879702499999979</v>
      </c>
      <c r="L118" s="2">
        <f t="shared" si="50"/>
        <v>54.855139000000001</v>
      </c>
      <c r="M118" s="2">
        <f t="shared" si="51"/>
        <v>17.453049499999999</v>
      </c>
      <c r="N118" s="2">
        <f t="shared" si="42"/>
        <v>3.146099250000006</v>
      </c>
      <c r="O118" s="2">
        <f t="shared" si="43"/>
        <v>50.741336999999994</v>
      </c>
    </row>
    <row r="119" spans="1:19" ht="13">
      <c r="A119" s="2">
        <v>5</v>
      </c>
      <c r="B119">
        <v>34.832065</v>
      </c>
      <c r="C119">
        <v>40.107050999999998</v>
      </c>
      <c r="D119" s="2">
        <v>38.683799999999998</v>
      </c>
      <c r="E119">
        <v>52.583789000000003</v>
      </c>
      <c r="F119" s="6">
        <f t="shared" si="44"/>
        <v>52.583789000000003</v>
      </c>
      <c r="G119" s="2">
        <f t="shared" si="45"/>
        <v>34.832065</v>
      </c>
      <c r="H119" s="2">
        <f t="shared" si="46"/>
        <v>41.55167625</v>
      </c>
      <c r="I119" s="2">
        <f t="shared" si="47"/>
        <v>37.72086625</v>
      </c>
      <c r="J119" s="2">
        <f t="shared" si="48"/>
        <v>39.395425500000002</v>
      </c>
      <c r="K119" s="2">
        <f t="shared" si="49"/>
        <v>1.6745592500000015</v>
      </c>
      <c r="L119" s="2">
        <f t="shared" si="50"/>
        <v>43.226235500000001</v>
      </c>
      <c r="M119" s="2">
        <f t="shared" si="51"/>
        <v>3.8308099999999996</v>
      </c>
      <c r="N119" s="2">
        <f t="shared" si="42"/>
        <v>2.8888012500000002</v>
      </c>
      <c r="O119" s="2">
        <f t="shared" si="43"/>
        <v>9.3575535000000016</v>
      </c>
    </row>
    <row r="120" spans="1:19" ht="13">
      <c r="A120" s="2">
        <v>6</v>
      </c>
      <c r="B120">
        <v>23.956063</v>
      </c>
      <c r="C120">
        <v>38.092537999999998</v>
      </c>
      <c r="D120" s="2">
        <v>28.207799999999999</v>
      </c>
      <c r="E120">
        <v>46.420926000000001</v>
      </c>
      <c r="F120" s="6">
        <f t="shared" si="44"/>
        <v>46.420926000000001</v>
      </c>
      <c r="G120" s="2">
        <f t="shared" si="45"/>
        <v>23.956063</v>
      </c>
      <c r="H120" s="2">
        <f t="shared" si="46"/>
        <v>34.169331749999998</v>
      </c>
      <c r="I120" s="2">
        <f t="shared" si="47"/>
        <v>27.144865750000001</v>
      </c>
      <c r="J120" s="2">
        <f t="shared" si="48"/>
        <v>33.150168999999998</v>
      </c>
      <c r="K120" s="2">
        <f t="shared" si="49"/>
        <v>6.0053032499999972</v>
      </c>
      <c r="L120" s="2">
        <f t="shared" si="50"/>
        <v>40.174634999999995</v>
      </c>
      <c r="M120" s="2">
        <f t="shared" si="51"/>
        <v>7.0244659999999968</v>
      </c>
      <c r="N120" s="2">
        <f t="shared" si="42"/>
        <v>3.1888027500000007</v>
      </c>
      <c r="O120" s="2">
        <f t="shared" si="43"/>
        <v>6.2462910000000065</v>
      </c>
    </row>
    <row r="121" spans="1:19" ht="13">
      <c r="A121" s="2">
        <v>7</v>
      </c>
      <c r="B121">
        <v>26.368568</v>
      </c>
      <c r="C121">
        <v>27.976573999999999</v>
      </c>
      <c r="D121" s="2">
        <v>22.927299999999999</v>
      </c>
      <c r="E121">
        <v>36.715144000000002</v>
      </c>
      <c r="F121" s="6">
        <f t="shared" si="44"/>
        <v>36.715144000000002</v>
      </c>
      <c r="G121" s="2">
        <f t="shared" si="45"/>
        <v>22.927299999999999</v>
      </c>
      <c r="H121" s="2">
        <f t="shared" si="46"/>
        <v>28.496896499999998</v>
      </c>
      <c r="I121" s="2">
        <f t="shared" si="47"/>
        <v>25.508251000000001</v>
      </c>
      <c r="J121" s="2">
        <f t="shared" si="48"/>
        <v>27.172570999999998</v>
      </c>
      <c r="K121" s="2">
        <f t="shared" si="49"/>
        <v>1.6643199999999965</v>
      </c>
      <c r="L121" s="2">
        <f t="shared" si="50"/>
        <v>30.161216500000002</v>
      </c>
      <c r="M121" s="2">
        <f t="shared" si="51"/>
        <v>2.9886455000000041</v>
      </c>
      <c r="N121" s="2">
        <f t="shared" si="42"/>
        <v>2.5809510000000024</v>
      </c>
      <c r="O121" s="2">
        <f t="shared" si="43"/>
        <v>6.5539275000000004</v>
      </c>
    </row>
    <row r="122" spans="1:19" ht="13">
      <c r="A122" s="2">
        <v>8</v>
      </c>
      <c r="B122">
        <v>22.991786000000001</v>
      </c>
      <c r="C122">
        <v>28.069393999999999</v>
      </c>
      <c r="D122" s="2">
        <v>25.1037</v>
      </c>
      <c r="E122">
        <v>33.064089000000003</v>
      </c>
      <c r="F122" s="6">
        <f t="shared" si="44"/>
        <v>33.064089000000003</v>
      </c>
      <c r="G122" s="2">
        <f t="shared" si="45"/>
        <v>22.991786000000001</v>
      </c>
      <c r="H122" s="2">
        <f t="shared" si="46"/>
        <v>27.307242250000002</v>
      </c>
      <c r="I122" s="2">
        <f t="shared" si="47"/>
        <v>24.5757215</v>
      </c>
      <c r="J122" s="2">
        <f t="shared" si="48"/>
        <v>26.586546999999999</v>
      </c>
      <c r="K122" s="2">
        <f t="shared" si="49"/>
        <v>2.0108254999999993</v>
      </c>
      <c r="L122" s="2">
        <f t="shared" si="50"/>
        <v>29.318067750000001</v>
      </c>
      <c r="M122" s="2">
        <f t="shared" si="51"/>
        <v>2.7315207500000014</v>
      </c>
      <c r="N122" s="2">
        <f t="shared" si="42"/>
        <v>1.5839354999999991</v>
      </c>
      <c r="O122" s="2">
        <f t="shared" si="43"/>
        <v>3.7460212500000019</v>
      </c>
    </row>
    <row r="127" spans="1:19">
      <c r="J127" s="2" t="s">
        <v>69</v>
      </c>
      <c r="K127" s="2" t="s">
        <v>70</v>
      </c>
      <c r="L127" s="2" t="s">
        <v>71</v>
      </c>
      <c r="M127" s="2" t="s">
        <v>63</v>
      </c>
      <c r="N127" s="2" t="s">
        <v>72</v>
      </c>
      <c r="O127" s="2" t="s">
        <v>73</v>
      </c>
      <c r="P127" s="2"/>
      <c r="Q127" s="2" t="s">
        <v>75</v>
      </c>
    </row>
    <row r="128" spans="1:19">
      <c r="J128" s="2" t="s">
        <v>60</v>
      </c>
      <c r="K128" s="2" t="s">
        <v>61</v>
      </c>
      <c r="L128" s="2" t="s">
        <v>62</v>
      </c>
      <c r="M128" s="2" t="s">
        <v>63</v>
      </c>
      <c r="N128" s="2" t="s">
        <v>64</v>
      </c>
      <c r="O128" s="2" t="s">
        <v>65</v>
      </c>
      <c r="P128" s="2" t="s">
        <v>66</v>
      </c>
      <c r="Q128" s="2" t="s">
        <v>74</v>
      </c>
      <c r="R128" s="2" t="s">
        <v>67</v>
      </c>
      <c r="S128" s="2" t="s">
        <v>68</v>
      </c>
    </row>
    <row r="129" spans="1:19" ht="13">
      <c r="A129" t="s">
        <v>18</v>
      </c>
      <c r="B129" s="2">
        <v>55.269734</v>
      </c>
      <c r="C129" s="2">
        <v>81.750600000000006</v>
      </c>
      <c r="D129" s="2">
        <v>118.90790200000001</v>
      </c>
      <c r="E129" s="2">
        <v>119.285352</v>
      </c>
      <c r="F129" s="2">
        <v>41.003971</v>
      </c>
      <c r="G129" s="2">
        <v>37.821624</v>
      </c>
      <c r="H129" s="2">
        <v>40.932899999999997</v>
      </c>
      <c r="I129" s="2">
        <v>87.160842000000002</v>
      </c>
      <c r="J129" s="6">
        <f>MAX(B129:I129)</f>
        <v>119.285352</v>
      </c>
      <c r="K129" s="2">
        <f>MIN(B129:I129)</f>
        <v>37.821624</v>
      </c>
      <c r="L129" s="2">
        <f>AVERAGE(B129:I129)</f>
        <v>72.766615625</v>
      </c>
      <c r="M129" s="2">
        <f>QUARTILE(B129:I129,1)</f>
        <v>40.986203250000003</v>
      </c>
      <c r="N129" s="2">
        <f>MEDIAN(B129:I129)</f>
        <v>68.510166999999996</v>
      </c>
      <c r="O129" s="2">
        <f>N129-M129</f>
        <v>27.523963749999993</v>
      </c>
      <c r="P129" s="2">
        <f>QUARTILE(B129:I129,3)</f>
        <v>95.097607000000011</v>
      </c>
      <c r="Q129" s="2">
        <f>P129-N129</f>
        <v>26.587440000000015</v>
      </c>
      <c r="R129" s="2">
        <f t="shared" ref="R129" si="52">M129-K129</f>
        <v>3.1645792500000027</v>
      </c>
      <c r="S129" s="2">
        <f t="shared" ref="S129" si="53">J129-P129</f>
        <v>24.187744999999993</v>
      </c>
    </row>
    <row r="130" spans="1:19" ht="13">
      <c r="A130" t="s">
        <v>17</v>
      </c>
      <c r="B130" s="2">
        <v>36.744399999999999</v>
      </c>
      <c r="C130" s="2">
        <v>42.288294</v>
      </c>
      <c r="D130" s="2">
        <v>41.190908</v>
      </c>
      <c r="E130" s="2">
        <v>61.143321</v>
      </c>
      <c r="F130" s="2">
        <v>38.878704999999997</v>
      </c>
      <c r="G130" s="2">
        <v>86.565374000000006</v>
      </c>
      <c r="H130" s="2">
        <v>14.3461</v>
      </c>
      <c r="I130" s="2">
        <v>73.640224000000003</v>
      </c>
      <c r="J130" s="6">
        <f>MAX(B130:I130)</f>
        <v>86.565374000000006</v>
      </c>
      <c r="K130" s="2">
        <f>MIN(B130:I130)</f>
        <v>14.3461</v>
      </c>
      <c r="L130" s="2">
        <f>AVERAGE(B130:I130)</f>
        <v>49.349665749999993</v>
      </c>
      <c r="M130" s="2">
        <f>QUARTILE(B130:I130,1)</f>
        <v>38.345128750000001</v>
      </c>
      <c r="N130" s="2">
        <f>MEDIAN(B130:I130)</f>
        <v>41.739601</v>
      </c>
      <c r="O130" s="2">
        <f>N130-M130</f>
        <v>3.3944722499999997</v>
      </c>
      <c r="P130" s="2">
        <f>QUARTILE(B130:I130,3)</f>
        <v>64.267546750000008</v>
      </c>
      <c r="Q130" s="2">
        <f>P130-N130</f>
        <v>22.527945750000008</v>
      </c>
      <c r="R130" s="2">
        <f t="shared" ref="R130" si="54">M130-K130</f>
        <v>23.999028750000001</v>
      </c>
      <c r="S130" s="2">
        <f t="shared" ref="S130" si="55">J130-P130</f>
        <v>22.297827249999997</v>
      </c>
    </row>
    <row r="131" spans="1:19">
      <c r="A131" s="2" t="s">
        <v>22</v>
      </c>
      <c r="M131" s="2">
        <v>131.19823749</v>
      </c>
    </row>
    <row r="132" spans="1:19">
      <c r="A132" s="2" t="s">
        <v>20</v>
      </c>
      <c r="M132" s="2">
        <v>131.19823749</v>
      </c>
    </row>
    <row r="133" spans="1:19">
      <c r="A133" s="2" t="s">
        <v>77</v>
      </c>
      <c r="M133" s="2">
        <v>67.306700000000006</v>
      </c>
    </row>
    <row r="134" spans="1:19">
      <c r="A134" s="2" t="s">
        <v>78</v>
      </c>
      <c r="M134" s="2">
        <v>51.27</v>
      </c>
    </row>
    <row r="135" spans="1:19">
      <c r="A135" s="2" t="s">
        <v>76</v>
      </c>
      <c r="M135" s="2">
        <v>131.19823749</v>
      </c>
    </row>
    <row r="136" spans="1:19">
      <c r="A136" s="2" t="s">
        <v>76</v>
      </c>
      <c r="M136" s="2">
        <v>131.19823749</v>
      </c>
    </row>
  </sheetData>
  <sortState ref="T100:Y100">
    <sortCondition descending="1" ref="Y10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G90" sqref="G90"/>
    </sheetView>
  </sheetViews>
  <sheetFormatPr baseColWidth="10" defaultRowHeight="12" x14ac:dyDescent="0"/>
  <cols>
    <col min="8" max="8" width="11.1640625" bestFit="1" customWidth="1"/>
    <col min="12" max="12" width="11.1640625" bestFit="1" customWidth="1"/>
  </cols>
  <sheetData>
    <row r="1" spans="1:15">
      <c r="A1" t="s">
        <v>42</v>
      </c>
    </row>
    <row r="2" spans="1:15">
      <c r="F2" s="2" t="s">
        <v>69</v>
      </c>
      <c r="G2" s="2" t="s">
        <v>70</v>
      </c>
      <c r="H2" s="2" t="s">
        <v>71</v>
      </c>
      <c r="I2" s="2" t="s">
        <v>63</v>
      </c>
      <c r="J2" s="2" t="s">
        <v>72</v>
      </c>
      <c r="K2" s="2" t="s">
        <v>73</v>
      </c>
      <c r="L2" s="2"/>
      <c r="M2" s="2" t="s">
        <v>75</v>
      </c>
      <c r="N2" s="2"/>
      <c r="O2" s="2"/>
    </row>
    <row r="3" spans="1:15">
      <c r="B3" t="s">
        <v>43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74</v>
      </c>
      <c r="N3" s="2" t="s">
        <v>67</v>
      </c>
      <c r="O3" s="2" t="s">
        <v>68</v>
      </c>
    </row>
    <row r="4" spans="1:15" ht="13">
      <c r="A4">
        <v>1</v>
      </c>
      <c r="B4">
        <v>2.6999999999999999E-5</v>
      </c>
      <c r="C4">
        <v>7.6000000000000004E-5</v>
      </c>
      <c r="D4">
        <v>4.1E-5</v>
      </c>
      <c r="E4">
        <v>4.1E-5</v>
      </c>
      <c r="F4" s="6">
        <f>MAX(B4:E4)</f>
        <v>7.6000000000000004E-5</v>
      </c>
      <c r="G4" s="2">
        <f>MIN(B4:E4)</f>
        <v>2.6999999999999999E-5</v>
      </c>
      <c r="H4" s="2">
        <f>AVERAGE(B4:E4)</f>
        <v>4.6249999999999999E-5</v>
      </c>
      <c r="I4" s="2">
        <f>QUARTILE(B4:E4,1)</f>
        <v>3.7500000000000003E-5</v>
      </c>
      <c r="J4" s="2">
        <f>MEDIAN(B4:E4)</f>
        <v>4.1E-5</v>
      </c>
      <c r="K4" s="2">
        <f>J4-I4</f>
        <v>3.499999999999997E-6</v>
      </c>
      <c r="L4" s="2">
        <f>QUARTILE(B4:E4,3)</f>
        <v>4.9750000000000003E-5</v>
      </c>
      <c r="M4" s="2">
        <f>L4-J4</f>
        <v>8.7500000000000026E-6</v>
      </c>
      <c r="N4" s="2">
        <f t="shared" ref="N4" si="0">I4-G4</f>
        <v>1.0500000000000005E-5</v>
      </c>
      <c r="O4" s="2">
        <f t="shared" ref="O4" si="1">F4-L4</f>
        <v>2.6250000000000001E-5</v>
      </c>
    </row>
    <row r="5" spans="1:15" ht="13">
      <c r="A5">
        <v>10</v>
      </c>
      <c r="B5">
        <v>4.2099999999999999E-4</v>
      </c>
      <c r="C5">
        <v>7.5679999999999996E-4</v>
      </c>
      <c r="D5">
        <v>7.54E-4</v>
      </c>
      <c r="E5">
        <v>4.0700000000000003E-4</v>
      </c>
      <c r="F5" s="6">
        <f t="shared" ref="F5:F12" si="2">MAX(B5:E5)</f>
        <v>7.5679999999999996E-4</v>
      </c>
      <c r="G5" s="2">
        <f t="shared" ref="G5:G12" si="3">MIN(B5:E5)</f>
        <v>4.0700000000000003E-4</v>
      </c>
      <c r="H5" s="2">
        <f t="shared" ref="H5:H12" si="4">AVERAGE(B5:E5)</f>
        <v>5.8470000000000006E-4</v>
      </c>
      <c r="I5" s="2">
        <f t="shared" ref="I5:I12" si="5">QUARTILE(B5:E5,1)</f>
        <v>4.1750000000000001E-4</v>
      </c>
      <c r="J5" s="2">
        <f t="shared" ref="J5:J12" si="6">MEDIAN(B5:E5)</f>
        <v>5.8750000000000002E-4</v>
      </c>
      <c r="K5" s="2">
        <f t="shared" ref="K5:K12" si="7">J5-I5</f>
        <v>1.7000000000000001E-4</v>
      </c>
      <c r="L5" s="2">
        <f t="shared" ref="L5:L12" si="8">QUARTILE(B5:E5,3)</f>
        <v>7.5469999999999997E-4</v>
      </c>
      <c r="M5" s="2">
        <f t="shared" ref="M5:M12" si="9">L5-J5</f>
        <v>1.6719999999999994E-4</v>
      </c>
      <c r="N5" s="2">
        <f t="shared" ref="N5:N12" si="10">I5-G5</f>
        <v>1.0499999999999984E-5</v>
      </c>
      <c r="O5" s="2">
        <f t="shared" ref="O5:O12" si="11">F5-L5</f>
        <v>2.0999999999999968E-6</v>
      </c>
    </row>
    <row r="6" spans="1:15" ht="13">
      <c r="A6">
        <v>100</v>
      </c>
      <c r="B6">
        <v>4.1809999999999998E-3</v>
      </c>
      <c r="C6">
        <v>7.1989999999999997E-3</v>
      </c>
      <c r="D6">
        <v>4.0730000000000002E-3</v>
      </c>
      <c r="E6">
        <v>7.8250000000000004E-3</v>
      </c>
      <c r="F6" s="6">
        <f t="shared" si="2"/>
        <v>7.8250000000000004E-3</v>
      </c>
      <c r="G6" s="2">
        <f t="shared" si="3"/>
        <v>4.0730000000000002E-3</v>
      </c>
      <c r="H6" s="2">
        <f t="shared" si="4"/>
        <v>5.8195E-3</v>
      </c>
      <c r="I6" s="2">
        <f t="shared" si="5"/>
        <v>4.1539999999999997E-3</v>
      </c>
      <c r="J6" s="2">
        <f t="shared" si="6"/>
        <v>5.6899999999999997E-3</v>
      </c>
      <c r="K6" s="2">
        <f t="shared" si="7"/>
        <v>1.536E-3</v>
      </c>
      <c r="L6" s="2">
        <f t="shared" si="8"/>
        <v>7.3555000000000001E-3</v>
      </c>
      <c r="M6" s="2">
        <f t="shared" si="9"/>
        <v>1.6655000000000003E-3</v>
      </c>
      <c r="N6" s="2">
        <f t="shared" si="10"/>
        <v>8.0999999999999475E-5</v>
      </c>
      <c r="O6" s="2">
        <f t="shared" si="11"/>
        <v>4.695000000000003E-4</v>
      </c>
    </row>
    <row r="7" spans="1:15" ht="13">
      <c r="A7" t="s">
        <v>48</v>
      </c>
      <c r="B7">
        <v>4.1862000000000003E-2</v>
      </c>
      <c r="C7">
        <v>4.0809999999999999E-2</v>
      </c>
      <c r="D7">
        <v>4.0890000000000003E-2</v>
      </c>
      <c r="E7">
        <v>7.7598E-2</v>
      </c>
      <c r="F7" s="6">
        <f t="shared" si="2"/>
        <v>7.7598E-2</v>
      </c>
      <c r="G7" s="2">
        <f t="shared" si="3"/>
        <v>4.0809999999999999E-2</v>
      </c>
      <c r="H7" s="2">
        <f t="shared" si="4"/>
        <v>5.0290000000000001E-2</v>
      </c>
      <c r="I7" s="2">
        <f t="shared" si="5"/>
        <v>4.0870000000000004E-2</v>
      </c>
      <c r="J7" s="2">
        <f t="shared" si="6"/>
        <v>4.1376000000000003E-2</v>
      </c>
      <c r="K7" s="2">
        <f t="shared" si="7"/>
        <v>5.0599999999999951E-4</v>
      </c>
      <c r="L7" s="2">
        <f t="shared" si="8"/>
        <v>5.0796000000000001E-2</v>
      </c>
      <c r="M7" s="2">
        <f t="shared" si="9"/>
        <v>9.4199999999999978E-3</v>
      </c>
      <c r="N7" s="2">
        <f t="shared" si="10"/>
        <v>6.0000000000004494E-5</v>
      </c>
      <c r="O7" s="2">
        <f t="shared" si="11"/>
        <v>2.6801999999999999E-2</v>
      </c>
    </row>
    <row r="8" spans="1:15" ht="13">
      <c r="A8" t="s">
        <v>49</v>
      </c>
      <c r="B8">
        <v>0.423406</v>
      </c>
      <c r="C8">
        <v>0.40453099999999997</v>
      </c>
      <c r="D8">
        <v>0.397978</v>
      </c>
      <c r="E8">
        <v>0.77089099999999999</v>
      </c>
      <c r="F8" s="6">
        <f t="shared" si="2"/>
        <v>0.77089099999999999</v>
      </c>
      <c r="G8" s="2">
        <f t="shared" si="3"/>
        <v>0.397978</v>
      </c>
      <c r="H8" s="2">
        <f t="shared" si="4"/>
        <v>0.49920149999999996</v>
      </c>
      <c r="I8" s="2">
        <f t="shared" si="5"/>
        <v>0.40289274999999997</v>
      </c>
      <c r="J8" s="2">
        <f t="shared" si="6"/>
        <v>0.41396849999999996</v>
      </c>
      <c r="K8" s="2">
        <f t="shared" si="7"/>
        <v>1.1075749999999995E-2</v>
      </c>
      <c r="L8" s="2">
        <f t="shared" si="8"/>
        <v>0.51027725000000002</v>
      </c>
      <c r="M8" s="2">
        <f t="shared" si="9"/>
        <v>9.6308750000000054E-2</v>
      </c>
      <c r="N8" s="2">
        <f t="shared" si="10"/>
        <v>4.9147499999999678E-3</v>
      </c>
      <c r="O8" s="2">
        <f t="shared" si="11"/>
        <v>0.26061374999999998</v>
      </c>
    </row>
    <row r="9" spans="1:15" ht="13">
      <c r="A9" t="s">
        <v>50</v>
      </c>
      <c r="B9">
        <v>7.8883020000000004</v>
      </c>
      <c r="C9">
        <v>4.5656600000000003</v>
      </c>
      <c r="D9">
        <v>3.987241</v>
      </c>
      <c r="E9">
        <v>3.9934509999999999</v>
      </c>
      <c r="F9" s="6">
        <f t="shared" si="2"/>
        <v>7.8883020000000004</v>
      </c>
      <c r="G9" s="2">
        <f t="shared" si="3"/>
        <v>3.987241</v>
      </c>
      <c r="H9" s="2">
        <f t="shared" si="4"/>
        <v>5.1086635000000005</v>
      </c>
      <c r="I9" s="2">
        <f t="shared" si="5"/>
        <v>3.9918985</v>
      </c>
      <c r="J9" s="2">
        <f t="shared" si="6"/>
        <v>4.2795554999999998</v>
      </c>
      <c r="K9" s="2">
        <f t="shared" si="7"/>
        <v>0.28765699999999983</v>
      </c>
      <c r="L9" s="2">
        <f t="shared" si="8"/>
        <v>5.3963204999999999</v>
      </c>
      <c r="M9" s="2">
        <f t="shared" si="9"/>
        <v>1.116765</v>
      </c>
      <c r="N9" s="2">
        <f t="shared" si="10"/>
        <v>4.6574999999999811E-3</v>
      </c>
      <c r="O9" s="2">
        <f t="shared" si="11"/>
        <v>2.4919815000000005</v>
      </c>
    </row>
    <row r="10" spans="1:15" ht="13">
      <c r="A10" t="s">
        <v>45</v>
      </c>
      <c r="B10">
        <v>57.703404999999997</v>
      </c>
      <c r="C10">
        <v>36.655548000000003</v>
      </c>
      <c r="D10">
        <v>56.186087999999998</v>
      </c>
      <c r="E10">
        <v>35.239806999999999</v>
      </c>
      <c r="F10" s="6">
        <f t="shared" si="2"/>
        <v>57.703404999999997</v>
      </c>
      <c r="G10" s="2">
        <f t="shared" si="3"/>
        <v>35.239806999999999</v>
      </c>
      <c r="H10" s="2">
        <f t="shared" si="4"/>
        <v>46.446212000000003</v>
      </c>
      <c r="I10" s="2">
        <f t="shared" si="5"/>
        <v>36.301612750000004</v>
      </c>
      <c r="J10" s="2">
        <f t="shared" si="6"/>
        <v>46.420817999999997</v>
      </c>
      <c r="K10" s="2">
        <f t="shared" si="7"/>
        <v>10.119205249999993</v>
      </c>
      <c r="L10" s="2">
        <f t="shared" si="8"/>
        <v>56.565417249999996</v>
      </c>
      <c r="M10" s="2">
        <f t="shared" si="9"/>
        <v>10.144599249999999</v>
      </c>
      <c r="N10" s="2">
        <f t="shared" si="10"/>
        <v>1.0618057500000049</v>
      </c>
      <c r="O10" s="2">
        <f t="shared" si="11"/>
        <v>1.1379877500000006</v>
      </c>
    </row>
    <row r="11" spans="1:15" ht="13">
      <c r="A11" t="s">
        <v>46</v>
      </c>
      <c r="B11">
        <v>249.07840999999999</v>
      </c>
      <c r="C11">
        <v>325.70107200000001</v>
      </c>
      <c r="D11">
        <v>310.44331299999999</v>
      </c>
      <c r="E11">
        <v>218.269126</v>
      </c>
      <c r="F11" s="6">
        <f t="shared" si="2"/>
        <v>325.70107200000001</v>
      </c>
      <c r="G11" s="2">
        <f t="shared" si="3"/>
        <v>218.269126</v>
      </c>
      <c r="H11" s="2">
        <f t="shared" si="4"/>
        <v>275.87298025000001</v>
      </c>
      <c r="I11" s="2">
        <f t="shared" si="5"/>
        <v>241.37608899999998</v>
      </c>
      <c r="J11" s="2">
        <f t="shared" si="6"/>
        <v>279.76086149999998</v>
      </c>
      <c r="K11" s="2">
        <f t="shared" si="7"/>
        <v>38.384772499999997</v>
      </c>
      <c r="L11" s="2">
        <f t="shared" si="8"/>
        <v>314.25775275000001</v>
      </c>
      <c r="M11" s="2">
        <f t="shared" si="9"/>
        <v>34.496891250000033</v>
      </c>
      <c r="N11" s="2">
        <f t="shared" si="10"/>
        <v>23.106962999999979</v>
      </c>
      <c r="O11" s="2">
        <f t="shared" si="11"/>
        <v>11.443319250000002</v>
      </c>
    </row>
    <row r="12" spans="1:15" ht="13">
      <c r="A12" t="s">
        <v>47</v>
      </c>
      <c r="B12">
        <v>634.31652399999996</v>
      </c>
      <c r="C12">
        <v>429.24165900000003</v>
      </c>
      <c r="D12">
        <v>616.49620500000003</v>
      </c>
      <c r="E12">
        <v>487.66690399999999</v>
      </c>
      <c r="F12" s="6">
        <f t="shared" si="2"/>
        <v>634.31652399999996</v>
      </c>
      <c r="G12" s="2">
        <f t="shared" si="3"/>
        <v>429.24165900000003</v>
      </c>
      <c r="H12" s="2">
        <f t="shared" si="4"/>
        <v>541.93032300000004</v>
      </c>
      <c r="I12" s="2">
        <f t="shared" si="5"/>
        <v>473.06059275000001</v>
      </c>
      <c r="J12" s="2">
        <f t="shared" si="6"/>
        <v>552.08155450000004</v>
      </c>
      <c r="K12" s="2">
        <f t="shared" si="7"/>
        <v>79.020961750000026</v>
      </c>
      <c r="L12" s="2">
        <f t="shared" si="8"/>
        <v>620.95128475000001</v>
      </c>
      <c r="M12" s="2">
        <f t="shared" si="9"/>
        <v>68.869730249999975</v>
      </c>
      <c r="N12" s="2">
        <f t="shared" si="10"/>
        <v>43.818933749999985</v>
      </c>
      <c r="O12" s="2">
        <f t="shared" si="11"/>
        <v>13.365239249999945</v>
      </c>
    </row>
    <row r="13" spans="1:15">
      <c r="A13" t="s">
        <v>53</v>
      </c>
      <c r="B13">
        <v>280.13244700000001</v>
      </c>
    </row>
    <row r="14" spans="1:15">
      <c r="A14" t="s">
        <v>54</v>
      </c>
      <c r="B14">
        <v>196.18306200000001</v>
      </c>
    </row>
    <row r="15" spans="1:15">
      <c r="A15" t="s">
        <v>55</v>
      </c>
      <c r="B15">
        <v>171.268215</v>
      </c>
    </row>
    <row r="16" spans="1:15">
      <c r="A16" t="s">
        <v>29</v>
      </c>
      <c r="B16">
        <v>159.685228</v>
      </c>
    </row>
    <row r="17" spans="1:5">
      <c r="A17" t="s">
        <v>56</v>
      </c>
      <c r="B17">
        <v>151.73547400000001</v>
      </c>
    </row>
    <row r="18" spans="1:5">
      <c r="A18" t="s">
        <v>57</v>
      </c>
      <c r="B18">
        <v>147.04455200000001</v>
      </c>
    </row>
    <row r="19" spans="1:5">
      <c r="A19" t="s">
        <v>58</v>
      </c>
      <c r="B19">
        <v>143.66386700000001</v>
      </c>
    </row>
    <row r="20" spans="1:5">
      <c r="A20" t="s">
        <v>59</v>
      </c>
      <c r="B20">
        <v>141.173968</v>
      </c>
    </row>
    <row r="21" spans="1:5">
      <c r="A21" t="s">
        <v>51</v>
      </c>
      <c r="B21">
        <v>139.18380400000001</v>
      </c>
    </row>
    <row r="22" spans="1:5">
      <c r="A22" t="s">
        <v>52</v>
      </c>
      <c r="B22">
        <v>125.044572</v>
      </c>
    </row>
    <row r="29" spans="1:5">
      <c r="D29" s="2">
        <v>1</v>
      </c>
      <c r="E29" s="2">
        <v>4.1862000000000003E-2</v>
      </c>
    </row>
    <row r="30" spans="1:5">
      <c r="D30" s="2">
        <v>10</v>
      </c>
      <c r="E30" s="2">
        <v>0.423406</v>
      </c>
    </row>
    <row r="31" spans="1:5">
      <c r="D31" s="2">
        <v>100</v>
      </c>
      <c r="E31" s="2">
        <v>7.8883020000000004</v>
      </c>
    </row>
    <row r="32" spans="1:5">
      <c r="D32" s="2">
        <v>1000</v>
      </c>
      <c r="E32" s="2">
        <v>57.703404999999997</v>
      </c>
    </row>
    <row r="33" spans="4:8">
      <c r="D33" s="2">
        <v>10000</v>
      </c>
      <c r="E33" s="2">
        <v>249.07840999999999</v>
      </c>
      <c r="H33" t="s">
        <v>44</v>
      </c>
    </row>
    <row r="34" spans="4:8">
      <c r="D34">
        <v>100000</v>
      </c>
      <c r="E34" s="2">
        <v>634.31652399999996</v>
      </c>
      <c r="H34">
        <v>23721</v>
      </c>
    </row>
    <row r="35" spans="4:8">
      <c r="D35">
        <v>1000000</v>
      </c>
      <c r="E35" s="2">
        <v>139.18380400000001</v>
      </c>
      <c r="H35">
        <v>23767</v>
      </c>
    </row>
    <row r="36" spans="4:8">
      <c r="H36">
        <v>23915</v>
      </c>
    </row>
    <row r="37" spans="4:8">
      <c r="H37">
        <v>23888</v>
      </c>
    </row>
    <row r="38" spans="4:8">
      <c r="H38">
        <v>23618</v>
      </c>
    </row>
    <row r="39" spans="4:8">
      <c r="H39">
        <v>12577</v>
      </c>
    </row>
    <row r="40" spans="4:8">
      <c r="H40">
        <v>17330</v>
      </c>
    </row>
    <row r="41" spans="4:8">
      <c r="H41">
        <v>43113</v>
      </c>
    </row>
    <row r="42" spans="4:8">
      <c r="H42">
        <v>157650</v>
      </c>
    </row>
    <row r="51" spans="8:8">
      <c r="H51">
        <v>7184744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L1" workbookViewId="0">
      <selection activeCell="S19" sqref="S19"/>
    </sheetView>
  </sheetViews>
  <sheetFormatPr baseColWidth="10" defaultRowHeight="12" x14ac:dyDescent="0"/>
  <cols>
    <col min="1" max="1" width="11.1640625" bestFit="1" customWidth="1"/>
    <col min="10" max="10" width="18.6640625" customWidth="1"/>
  </cols>
  <sheetData>
    <row r="1" spans="1:24" ht="14">
      <c r="A1" t="s">
        <v>79</v>
      </c>
      <c r="B1" t="s">
        <v>80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74</v>
      </c>
      <c r="P1" s="2" t="s">
        <v>67</v>
      </c>
      <c r="Q1" s="2" t="s">
        <v>68</v>
      </c>
    </row>
    <row r="3" spans="1:24" ht="13">
      <c r="A3">
        <v>1</v>
      </c>
      <c r="B3" s="2">
        <v>9.9999999999999995E-7</v>
      </c>
      <c r="C3" s="2">
        <v>9.9999999999999995E-7</v>
      </c>
      <c r="D3" s="2">
        <v>9.9999999999999995E-7</v>
      </c>
      <c r="E3" s="2">
        <v>9.9999999999999995E-7</v>
      </c>
      <c r="F3" s="2">
        <v>9.9999999999999995E-7</v>
      </c>
      <c r="G3" s="2">
        <v>9.9999999999999995E-7</v>
      </c>
      <c r="H3" s="6">
        <f t="shared" ref="H3:H12" si="0">MAX(B3:G3)</f>
        <v>9.9999999999999995E-7</v>
      </c>
      <c r="I3" s="2">
        <f t="shared" ref="I3:I12" si="1">MIN(B3:G3)</f>
        <v>9.9999999999999995E-7</v>
      </c>
      <c r="J3" s="2">
        <f t="shared" ref="J3:J12" si="2">AVERAGE(B3:G3)</f>
        <v>9.9999999999999995E-7</v>
      </c>
      <c r="K3" s="2">
        <f t="shared" ref="K3:K12" si="3">QUARTILE(B3:G3,1)</f>
        <v>9.9999999999999995E-7</v>
      </c>
      <c r="L3" s="2">
        <f t="shared" ref="L3:L12" si="4">MEDIAN(B3:G3)</f>
        <v>9.9999999999999995E-7</v>
      </c>
      <c r="M3" s="2">
        <f>L3-K3</f>
        <v>0</v>
      </c>
      <c r="N3" s="2">
        <f t="shared" ref="N3:N12" si="5">QUARTILE(B3:G3,3)</f>
        <v>9.9999999999999995E-7</v>
      </c>
      <c r="O3" s="2">
        <f>N3-L3</f>
        <v>0</v>
      </c>
      <c r="P3" s="2">
        <f t="shared" ref="P3:P12" si="6">K3-I3</f>
        <v>0</v>
      </c>
      <c r="Q3" s="2">
        <f t="shared" ref="Q3:Q12" si="7">H3-N3</f>
        <v>0</v>
      </c>
      <c r="R3">
        <v>1</v>
      </c>
      <c r="S3" s="2"/>
    </row>
    <row r="4" spans="1:24" ht="14">
      <c r="A4" s="7">
        <v>10</v>
      </c>
      <c r="B4">
        <v>9.9999999999999995E-7</v>
      </c>
      <c r="C4" s="2">
        <v>9.9999999999999995E-7</v>
      </c>
      <c r="D4">
        <v>9.9999999999999995E-7</v>
      </c>
      <c r="E4">
        <v>9.9999999999999995E-7</v>
      </c>
      <c r="F4">
        <v>9.9999999999999995E-7</v>
      </c>
      <c r="G4">
        <v>9.9999999999999995E-7</v>
      </c>
      <c r="H4" s="6">
        <f t="shared" si="0"/>
        <v>9.9999999999999995E-7</v>
      </c>
      <c r="I4" s="2">
        <f t="shared" si="1"/>
        <v>9.9999999999999995E-7</v>
      </c>
      <c r="J4" s="2">
        <f t="shared" si="2"/>
        <v>9.9999999999999995E-7</v>
      </c>
      <c r="K4" s="2">
        <f t="shared" si="3"/>
        <v>9.9999999999999995E-7</v>
      </c>
      <c r="L4" s="2">
        <f t="shared" si="4"/>
        <v>9.9999999999999995E-7</v>
      </c>
      <c r="M4" s="2">
        <f>L4-K4</f>
        <v>0</v>
      </c>
      <c r="N4" s="2">
        <f t="shared" si="5"/>
        <v>9.9999999999999995E-7</v>
      </c>
      <c r="O4" s="2">
        <f>N4-L4</f>
        <v>0</v>
      </c>
      <c r="P4" s="2">
        <f t="shared" si="6"/>
        <v>0</v>
      </c>
      <c r="Q4" s="2">
        <f t="shared" si="7"/>
        <v>0</v>
      </c>
      <c r="R4">
        <v>10</v>
      </c>
      <c r="S4" s="2"/>
    </row>
    <row r="5" spans="1:24" ht="13">
      <c r="A5">
        <v>100</v>
      </c>
      <c r="B5">
        <v>1.627E-3</v>
      </c>
      <c r="C5">
        <v>1.0059999999999999E-3</v>
      </c>
      <c r="D5">
        <v>3.7330000000000002E-3</v>
      </c>
      <c r="E5">
        <v>1.3649999999999999E-3</v>
      </c>
      <c r="F5">
        <v>1.243E-3</v>
      </c>
      <c r="G5">
        <v>2.2260000000000001E-3</v>
      </c>
      <c r="H5" s="6">
        <f t="shared" si="0"/>
        <v>3.7330000000000002E-3</v>
      </c>
      <c r="I5" s="2">
        <f t="shared" si="1"/>
        <v>1.0059999999999999E-3</v>
      </c>
      <c r="J5" s="2">
        <f t="shared" si="2"/>
        <v>1.8666666666666666E-3</v>
      </c>
      <c r="K5" s="2">
        <f t="shared" si="3"/>
        <v>1.2734999999999999E-3</v>
      </c>
      <c r="L5" s="2">
        <f t="shared" si="4"/>
        <v>1.4959999999999999E-3</v>
      </c>
      <c r="M5" s="2">
        <f t="shared" ref="M5:M12" si="8">L5-K5</f>
        <v>2.2250000000000004E-4</v>
      </c>
      <c r="N5" s="2">
        <f t="shared" si="5"/>
        <v>2.07625E-3</v>
      </c>
      <c r="O5" s="2">
        <f t="shared" ref="O5:O12" si="9">N5-L5</f>
        <v>5.8025000000000004E-4</v>
      </c>
      <c r="P5" s="2">
        <f t="shared" si="6"/>
        <v>2.6749999999999994E-4</v>
      </c>
      <c r="Q5" s="2">
        <f t="shared" si="7"/>
        <v>1.6567500000000002E-3</v>
      </c>
      <c r="R5">
        <v>100</v>
      </c>
      <c r="S5" s="2"/>
    </row>
    <row r="6" spans="1:24" ht="13">
      <c r="A6">
        <v>1000</v>
      </c>
      <c r="B6">
        <v>3.2238999999999997E-2</v>
      </c>
      <c r="C6">
        <v>3.7449999999999997E-2</v>
      </c>
      <c r="D6">
        <v>1.6052E-2</v>
      </c>
      <c r="E6">
        <v>1.7075E-2</v>
      </c>
      <c r="F6">
        <v>1.9227999999999999E-2</v>
      </c>
      <c r="G6">
        <v>1.4173E-2</v>
      </c>
      <c r="H6" s="6">
        <f t="shared" si="0"/>
        <v>3.7449999999999997E-2</v>
      </c>
      <c r="I6" s="2">
        <f t="shared" si="1"/>
        <v>1.4173E-2</v>
      </c>
      <c r="J6" s="2">
        <f t="shared" si="2"/>
        <v>2.2702833333333328E-2</v>
      </c>
      <c r="K6" s="2">
        <f t="shared" si="3"/>
        <v>1.6307749999999999E-2</v>
      </c>
      <c r="L6" s="2">
        <f t="shared" si="4"/>
        <v>1.8151500000000001E-2</v>
      </c>
      <c r="M6" s="2">
        <f t="shared" si="8"/>
        <v>1.8437500000000016E-3</v>
      </c>
      <c r="N6" s="2">
        <f t="shared" si="5"/>
        <v>2.8986249999999998E-2</v>
      </c>
      <c r="O6" s="2">
        <f t="shared" si="9"/>
        <v>1.0834749999999997E-2</v>
      </c>
      <c r="P6" s="2">
        <f t="shared" si="6"/>
        <v>2.1347499999999995E-3</v>
      </c>
      <c r="Q6" s="2">
        <f t="shared" si="7"/>
        <v>8.4637499999999991E-3</v>
      </c>
      <c r="R6" t="s">
        <v>48</v>
      </c>
      <c r="S6" s="2"/>
    </row>
    <row r="7" spans="1:24" ht="13">
      <c r="A7">
        <v>10000</v>
      </c>
      <c r="B7">
        <v>0.37654900000000002</v>
      </c>
      <c r="C7">
        <v>0.214142</v>
      </c>
      <c r="D7">
        <v>0.23314399999999999</v>
      </c>
      <c r="E7">
        <v>0.31635600000000003</v>
      </c>
      <c r="F7">
        <v>0.117909</v>
      </c>
      <c r="G7">
        <v>0.17335500000000001</v>
      </c>
      <c r="H7" s="6">
        <f t="shared" si="0"/>
        <v>0.37654900000000002</v>
      </c>
      <c r="I7" s="2">
        <f t="shared" si="1"/>
        <v>0.117909</v>
      </c>
      <c r="J7" s="2">
        <f t="shared" si="2"/>
        <v>0.23857583333333335</v>
      </c>
      <c r="K7" s="2">
        <f t="shared" si="3"/>
        <v>0.18355175000000001</v>
      </c>
      <c r="L7" s="2">
        <f t="shared" si="4"/>
        <v>0.22364299999999998</v>
      </c>
      <c r="M7" s="2">
        <f t="shared" si="8"/>
        <v>4.0091249999999967E-2</v>
      </c>
      <c r="N7" s="2">
        <f t="shared" si="5"/>
        <v>0.29555300000000001</v>
      </c>
      <c r="O7" s="2">
        <f t="shared" si="9"/>
        <v>7.1910000000000029E-2</v>
      </c>
      <c r="P7" s="2">
        <f t="shared" si="6"/>
        <v>6.5642750000000014E-2</v>
      </c>
      <c r="Q7" s="2">
        <f t="shared" si="7"/>
        <v>8.0996000000000012E-2</v>
      </c>
      <c r="R7" t="s">
        <v>49</v>
      </c>
      <c r="S7" s="2"/>
    </row>
    <row r="8" spans="1:24" ht="13">
      <c r="A8">
        <v>100000</v>
      </c>
      <c r="B8">
        <v>0.64995000000000003</v>
      </c>
      <c r="C8">
        <v>1.7869269999999999</v>
      </c>
      <c r="D8">
        <v>1.620404</v>
      </c>
      <c r="E8">
        <v>0.68049899999999997</v>
      </c>
      <c r="F8">
        <v>0.64364100000000002</v>
      </c>
      <c r="G8">
        <v>1.1826760000000001</v>
      </c>
      <c r="H8" s="6">
        <f t="shared" si="0"/>
        <v>1.7869269999999999</v>
      </c>
      <c r="I8" s="2">
        <f t="shared" si="1"/>
        <v>0.64364100000000002</v>
      </c>
      <c r="J8" s="2">
        <f t="shared" si="2"/>
        <v>1.0940161666666666</v>
      </c>
      <c r="K8" s="2">
        <f t="shared" si="3"/>
        <v>0.65758724999999996</v>
      </c>
      <c r="L8" s="2">
        <f t="shared" si="4"/>
        <v>0.93158750000000001</v>
      </c>
      <c r="M8" s="2">
        <f t="shared" si="8"/>
        <v>0.27400025000000006</v>
      </c>
      <c r="N8" s="2">
        <f t="shared" si="5"/>
        <v>1.510972</v>
      </c>
      <c r="O8" s="2">
        <f t="shared" si="9"/>
        <v>0.57938449999999997</v>
      </c>
      <c r="P8" s="2">
        <f t="shared" si="6"/>
        <v>1.3946249999999938E-2</v>
      </c>
      <c r="Q8" s="2">
        <f t="shared" si="7"/>
        <v>0.27595499999999995</v>
      </c>
      <c r="R8" t="s">
        <v>50</v>
      </c>
      <c r="S8" s="2"/>
    </row>
    <row r="9" spans="1:24" ht="13">
      <c r="A9">
        <v>1000000</v>
      </c>
      <c r="B9">
        <v>12.45392</v>
      </c>
      <c r="C9">
        <v>6.6715590000000002</v>
      </c>
      <c r="D9">
        <v>4.5578640000000004</v>
      </c>
      <c r="E9">
        <v>4.4663389999999996</v>
      </c>
      <c r="F9">
        <v>4.4982030000000002</v>
      </c>
      <c r="G9">
        <v>7.9421179999999998</v>
      </c>
      <c r="H9" s="6">
        <f t="shared" si="0"/>
        <v>12.45392</v>
      </c>
      <c r="I9" s="2">
        <f t="shared" si="1"/>
        <v>4.4663389999999996</v>
      </c>
      <c r="J9" s="2">
        <f t="shared" si="2"/>
        <v>6.7650005000000002</v>
      </c>
      <c r="K9" s="2">
        <f t="shared" si="3"/>
        <v>4.5131182499999998</v>
      </c>
      <c r="L9" s="2">
        <f t="shared" si="4"/>
        <v>5.6147115000000003</v>
      </c>
      <c r="M9" s="2">
        <f t="shared" si="8"/>
        <v>1.1015932500000005</v>
      </c>
      <c r="N9" s="2">
        <f t="shared" si="5"/>
        <v>7.6244782500000001</v>
      </c>
      <c r="O9" s="2">
        <f t="shared" si="9"/>
        <v>2.0097667499999998</v>
      </c>
      <c r="P9" s="2">
        <f t="shared" si="6"/>
        <v>4.6779250000000161E-2</v>
      </c>
      <c r="Q9" s="2">
        <f t="shared" si="7"/>
        <v>4.82944175</v>
      </c>
      <c r="R9" t="s">
        <v>45</v>
      </c>
      <c r="S9" s="2"/>
    </row>
    <row r="10" spans="1:24" ht="13">
      <c r="A10">
        <v>10000000</v>
      </c>
      <c r="B10">
        <v>21.776482000000001</v>
      </c>
      <c r="C10">
        <v>17.047363000000001</v>
      </c>
      <c r="D10">
        <v>24.596737000000001</v>
      </c>
      <c r="E10">
        <v>25.482057000000001</v>
      </c>
      <c r="F10">
        <v>18.644577000000002</v>
      </c>
      <c r="G10">
        <v>16.204566</v>
      </c>
      <c r="H10" s="6">
        <f t="shared" si="0"/>
        <v>25.482057000000001</v>
      </c>
      <c r="I10" s="2">
        <f t="shared" si="1"/>
        <v>16.204566</v>
      </c>
      <c r="J10" s="2">
        <f t="shared" si="2"/>
        <v>20.625297</v>
      </c>
      <c r="K10" s="2">
        <f t="shared" si="3"/>
        <v>17.446666499999999</v>
      </c>
      <c r="L10" s="2">
        <f t="shared" si="4"/>
        <v>20.2105295</v>
      </c>
      <c r="M10" s="2">
        <f t="shared" si="8"/>
        <v>2.7638630000000006</v>
      </c>
      <c r="N10" s="2">
        <f t="shared" si="5"/>
        <v>23.89167325</v>
      </c>
      <c r="O10" s="2">
        <f t="shared" si="9"/>
        <v>3.6811437500000004</v>
      </c>
      <c r="P10" s="2">
        <f t="shared" si="6"/>
        <v>1.2421004999999994</v>
      </c>
      <c r="Q10" s="2">
        <f t="shared" si="7"/>
        <v>1.5903837500000009</v>
      </c>
      <c r="R10" t="s">
        <v>46</v>
      </c>
      <c r="S10" s="2"/>
    </row>
    <row r="11" spans="1:24" ht="13">
      <c r="A11" s="2">
        <v>100000000</v>
      </c>
      <c r="B11">
        <v>22.792956</v>
      </c>
      <c r="C11">
        <v>59.375160000000001</v>
      </c>
      <c r="D11">
        <v>58.199866</v>
      </c>
      <c r="E11">
        <v>77.499554000000003</v>
      </c>
      <c r="F11">
        <v>79.912097000000003</v>
      </c>
      <c r="G11">
        <v>67.779653999999994</v>
      </c>
      <c r="H11" s="6">
        <f t="shared" si="0"/>
        <v>79.912097000000003</v>
      </c>
      <c r="I11" s="2">
        <f t="shared" si="1"/>
        <v>22.792956</v>
      </c>
      <c r="J11" s="2">
        <f t="shared" si="2"/>
        <v>60.926547833333331</v>
      </c>
      <c r="K11" s="2">
        <f t="shared" si="3"/>
        <v>58.493689500000002</v>
      </c>
      <c r="L11" s="2">
        <f t="shared" si="4"/>
        <v>63.577406999999994</v>
      </c>
      <c r="M11" s="2">
        <f t="shared" si="8"/>
        <v>5.0837174999999917</v>
      </c>
      <c r="N11" s="2">
        <f t="shared" si="5"/>
        <v>75.069579000000004</v>
      </c>
      <c r="O11" s="2">
        <f t="shared" si="9"/>
        <v>11.492172000000011</v>
      </c>
      <c r="P11" s="2">
        <f t="shared" si="6"/>
        <v>35.700733499999998</v>
      </c>
      <c r="Q11" s="2">
        <f t="shared" si="7"/>
        <v>4.8425179999999983</v>
      </c>
      <c r="R11" t="s">
        <v>47</v>
      </c>
    </row>
    <row r="12" spans="1:24" ht="13">
      <c r="A12">
        <v>1000000000</v>
      </c>
      <c r="B12">
        <v>66.600070099999996</v>
      </c>
      <c r="C12">
        <v>62.281008</v>
      </c>
      <c r="D12">
        <v>73.310822000000002</v>
      </c>
      <c r="E12">
        <v>65.593535000000003</v>
      </c>
      <c r="F12">
        <v>61.017294999999997</v>
      </c>
      <c r="G12">
        <v>54.829675000000002</v>
      </c>
      <c r="H12" s="6">
        <f t="shared" si="0"/>
        <v>73.310822000000002</v>
      </c>
      <c r="I12" s="2">
        <f t="shared" si="1"/>
        <v>54.829675000000002</v>
      </c>
      <c r="J12" s="2">
        <f t="shared" si="2"/>
        <v>63.938734183333331</v>
      </c>
      <c r="K12" s="2">
        <f t="shared" si="3"/>
        <v>61.333223249999996</v>
      </c>
      <c r="L12" s="2">
        <f t="shared" si="4"/>
        <v>63.937271500000001</v>
      </c>
      <c r="M12" s="2">
        <f t="shared" si="8"/>
        <v>2.6040482500000053</v>
      </c>
      <c r="N12" s="2">
        <f t="shared" si="5"/>
        <v>66.348436324999994</v>
      </c>
      <c r="O12" s="2">
        <f t="shared" si="9"/>
        <v>2.4111648249999931</v>
      </c>
      <c r="P12" s="2">
        <f t="shared" si="6"/>
        <v>6.5035482499999944</v>
      </c>
      <c r="Q12" s="2">
        <f t="shared" si="7"/>
        <v>6.9623856750000073</v>
      </c>
      <c r="R12" t="s">
        <v>51</v>
      </c>
    </row>
    <row r="14" spans="1:24">
      <c r="H14" s="2" t="s">
        <v>69</v>
      </c>
      <c r="I14" s="2" t="s">
        <v>70</v>
      </c>
      <c r="J14" s="2" t="s">
        <v>71</v>
      </c>
      <c r="K14" s="2" t="s">
        <v>63</v>
      </c>
      <c r="L14" s="2" t="s">
        <v>72</v>
      </c>
      <c r="M14" s="2" t="s">
        <v>73</v>
      </c>
      <c r="N14" s="2"/>
      <c r="O14" s="2" t="s">
        <v>75</v>
      </c>
      <c r="P14" s="2"/>
      <c r="Q14" s="2"/>
    </row>
    <row r="15" spans="1:24" ht="14">
      <c r="A15" s="2" t="s">
        <v>79</v>
      </c>
      <c r="B15" s="2" t="s">
        <v>81</v>
      </c>
      <c r="H15" s="2" t="s">
        <v>60</v>
      </c>
      <c r="I15" s="2" t="s">
        <v>61</v>
      </c>
      <c r="J15" s="2" t="s">
        <v>62</v>
      </c>
      <c r="K15" s="2" t="s">
        <v>63</v>
      </c>
      <c r="L15" s="2" t="s">
        <v>64</v>
      </c>
      <c r="M15" s="2" t="s">
        <v>65</v>
      </c>
      <c r="N15" s="2" t="s">
        <v>66</v>
      </c>
      <c r="O15" s="2" t="s">
        <v>74</v>
      </c>
      <c r="P15" s="2" t="s">
        <v>67</v>
      </c>
      <c r="Q15" s="2" t="s">
        <v>68</v>
      </c>
    </row>
    <row r="16" spans="1:24" ht="13">
      <c r="A16">
        <v>1</v>
      </c>
      <c r="B16" s="2">
        <v>9.9999999999999995E-7</v>
      </c>
      <c r="C16" s="2">
        <v>9.9999999999999995E-7</v>
      </c>
      <c r="D16" s="2">
        <v>9.9999999999999995E-7</v>
      </c>
      <c r="E16" s="2">
        <v>9.9999999999999995E-7</v>
      </c>
      <c r="F16" s="2">
        <v>9.9999999999999995E-7</v>
      </c>
      <c r="G16" s="2">
        <v>9.9999999999999995E-7</v>
      </c>
      <c r="H16" s="6">
        <f>MAX(B16:G16)</f>
        <v>9.9999999999999995E-7</v>
      </c>
      <c r="I16" s="2">
        <f>MIN(B16:G16)</f>
        <v>9.9999999999999995E-7</v>
      </c>
      <c r="J16" s="2">
        <f>AVERAGE(B16:G16)</f>
        <v>9.9999999999999995E-7</v>
      </c>
      <c r="K16" s="2">
        <f>QUARTILE(B16:G16,1)</f>
        <v>9.9999999999999995E-7</v>
      </c>
      <c r="L16" s="2">
        <f>MEDIAN(B16:G16)</f>
        <v>9.9999999999999995E-7</v>
      </c>
      <c r="M16" s="2">
        <f>L16-K16</f>
        <v>0</v>
      </c>
      <c r="N16" s="2">
        <f>QUARTILE(B16:G16,3)</f>
        <v>9.9999999999999995E-7</v>
      </c>
      <c r="O16" s="2">
        <f>N16-L16</f>
        <v>0</v>
      </c>
      <c r="P16" s="2">
        <f t="shared" ref="P16" si="10">K16-I16</f>
        <v>0</v>
      </c>
      <c r="Q16" s="2">
        <f t="shared" ref="Q16" si="11">H16-N16</f>
        <v>0</v>
      </c>
      <c r="S16" t="s">
        <v>110</v>
      </c>
      <c r="T16">
        <v>61.333223249999996</v>
      </c>
      <c r="U16">
        <v>2.6040482500000053</v>
      </c>
      <c r="V16">
        <v>2.4111648249999931</v>
      </c>
      <c r="W16">
        <v>6.5035482499999944</v>
      </c>
      <c r="X16">
        <v>6.9623856750000073</v>
      </c>
    </row>
    <row r="17" spans="1:29" ht="14">
      <c r="A17" s="7">
        <v>10</v>
      </c>
      <c r="B17" s="2">
        <v>9.9999999999999995E-7</v>
      </c>
      <c r="C17">
        <v>9.9999999999999995E-7</v>
      </c>
      <c r="D17">
        <v>9.9999999999999995E-7</v>
      </c>
      <c r="E17">
        <v>9.9999999999999995E-7</v>
      </c>
      <c r="F17">
        <v>9.9999999999999995E-7</v>
      </c>
      <c r="G17">
        <v>9.9999999999999995E-7</v>
      </c>
      <c r="H17" s="6">
        <f>MAX(B17:G17)</f>
        <v>9.9999999999999995E-7</v>
      </c>
      <c r="I17" s="2">
        <f>MIN(B17:G17)</f>
        <v>9.9999999999999995E-7</v>
      </c>
      <c r="J17" s="2">
        <f t="shared" ref="J17:J25" si="12">AVERAGE(B17:G17)</f>
        <v>9.9999999999999995E-7</v>
      </c>
      <c r="K17" s="2">
        <f>QUARTILE(B17:G17,1)</f>
        <v>9.9999999999999995E-7</v>
      </c>
      <c r="L17" s="2">
        <f>MEDIAN(B17:G17)</f>
        <v>9.9999999999999995E-7</v>
      </c>
      <c r="M17" s="2">
        <f>L17-K17</f>
        <v>0</v>
      </c>
      <c r="N17" s="2">
        <f>QUARTILE(B17:G17,3)</f>
        <v>9.9999999999999995E-7</v>
      </c>
      <c r="O17" s="2">
        <f>N17-L17</f>
        <v>0</v>
      </c>
      <c r="P17" s="2">
        <f t="shared" ref="P17" si="13">K17-I17</f>
        <v>0</v>
      </c>
      <c r="Q17" s="2">
        <f t="shared" ref="Q17" si="14">H17-N17</f>
        <v>0</v>
      </c>
      <c r="S17" t="s">
        <v>111</v>
      </c>
      <c r="T17">
        <v>91.414762749999994</v>
      </c>
      <c r="U17">
        <v>16.805895250000006</v>
      </c>
      <c r="V17">
        <v>8.0790062500000062</v>
      </c>
      <c r="W17">
        <v>11.318326749999997</v>
      </c>
      <c r="X17">
        <v>2.7830837499999888</v>
      </c>
    </row>
    <row r="18" spans="1:29" ht="13">
      <c r="A18" s="2">
        <v>100</v>
      </c>
      <c r="B18" s="2">
        <v>1.2999999999999999E-5</v>
      </c>
      <c r="C18">
        <v>1.2999999999999999E-5</v>
      </c>
      <c r="D18">
        <v>1.2999999999999999E-5</v>
      </c>
      <c r="E18">
        <v>5.0000000000000004E-6</v>
      </c>
      <c r="F18">
        <v>1.1E-5</v>
      </c>
      <c r="G18">
        <v>1.1E-5</v>
      </c>
      <c r="H18" s="6">
        <f t="shared" ref="H18:H25" si="15">MAX(B18:G18)</f>
        <v>1.2999999999999999E-5</v>
      </c>
      <c r="I18" s="2">
        <f t="shared" ref="I18:I25" si="16">MIN(B18:G18)</f>
        <v>5.0000000000000004E-6</v>
      </c>
      <c r="J18" s="2">
        <f t="shared" si="12"/>
        <v>1.0999999999999998E-5</v>
      </c>
      <c r="K18" s="2">
        <f t="shared" ref="K18:K25" si="17">QUARTILE(B18:G18,1)</f>
        <v>1.1E-5</v>
      </c>
      <c r="L18" s="2">
        <f t="shared" ref="L18:L25" si="18">MEDIAN(B18:G18)</f>
        <v>1.2E-5</v>
      </c>
      <c r="M18" s="2">
        <f t="shared" ref="M18:M25" si="19">L18-K18</f>
        <v>1.0000000000000006E-6</v>
      </c>
      <c r="N18" s="2">
        <f t="shared" ref="N18:N25" si="20">QUARTILE(B18:G18,3)</f>
        <v>1.2999999999999999E-5</v>
      </c>
      <c r="O18" s="2">
        <f t="shared" ref="O18:O25" si="21">N18-L18</f>
        <v>9.999999999999989E-7</v>
      </c>
      <c r="P18" s="2">
        <f t="shared" ref="P18:P25" si="22">K18-I18</f>
        <v>5.9999999999999993E-6</v>
      </c>
      <c r="Q18" s="2">
        <f t="shared" ref="Q18:Q25" si="23">H18-N18</f>
        <v>0</v>
      </c>
      <c r="S18" t="s">
        <v>112</v>
      </c>
      <c r="T18" s="2">
        <v>473.06059275000001</v>
      </c>
      <c r="U18" s="2">
        <v>79.020961750000026</v>
      </c>
      <c r="V18" s="2">
        <v>68.869730249999975</v>
      </c>
      <c r="W18" s="2">
        <v>43.818933749999985</v>
      </c>
      <c r="X18" s="2">
        <v>13.365239249999945</v>
      </c>
    </row>
    <row r="19" spans="1:29" ht="13">
      <c r="A19" s="2">
        <v>1000</v>
      </c>
      <c r="B19" s="2">
        <v>9.5000000000000005E-5</v>
      </c>
      <c r="C19">
        <v>6.8999999999999997E-5</v>
      </c>
      <c r="D19">
        <v>8.2000000000000001E-5</v>
      </c>
      <c r="E19">
        <v>4.8999999999999998E-5</v>
      </c>
      <c r="F19">
        <v>1.25E-4</v>
      </c>
      <c r="G19">
        <v>1.3300000000000001E-4</v>
      </c>
      <c r="H19" s="6">
        <f t="shared" si="15"/>
        <v>1.3300000000000001E-4</v>
      </c>
      <c r="I19" s="2">
        <f t="shared" si="16"/>
        <v>4.8999999999999998E-5</v>
      </c>
      <c r="J19" s="2">
        <f t="shared" si="12"/>
        <v>9.2166666666666666E-5</v>
      </c>
      <c r="K19" s="2">
        <f t="shared" si="17"/>
        <v>7.2249999999999994E-5</v>
      </c>
      <c r="L19" s="2">
        <f t="shared" si="18"/>
        <v>8.850000000000001E-5</v>
      </c>
      <c r="M19" s="2">
        <f t="shared" si="19"/>
        <v>1.6250000000000016E-5</v>
      </c>
      <c r="N19" s="2">
        <f t="shared" si="20"/>
        <v>1.1750000000000001E-4</v>
      </c>
      <c r="O19" s="2">
        <f t="shared" si="21"/>
        <v>2.9E-5</v>
      </c>
      <c r="P19" s="2">
        <f t="shared" si="22"/>
        <v>2.3249999999999996E-5</v>
      </c>
      <c r="Q19" s="2">
        <f t="shared" si="23"/>
        <v>1.5499999999999997E-5</v>
      </c>
    </row>
    <row r="20" spans="1:29" ht="13">
      <c r="A20" s="2">
        <v>10000</v>
      </c>
      <c r="B20" s="2">
        <v>7.6099999999999996E-4</v>
      </c>
      <c r="C20">
        <v>1.2819999999999999E-3</v>
      </c>
      <c r="D20">
        <v>9.3300000000000002E-4</v>
      </c>
      <c r="E20">
        <v>1.3270000000000001E-3</v>
      </c>
      <c r="F20">
        <v>7.1599999999999995E-4</v>
      </c>
      <c r="G20">
        <v>1.0330000000000001E-3</v>
      </c>
      <c r="H20" s="6">
        <f t="shared" si="15"/>
        <v>1.3270000000000001E-3</v>
      </c>
      <c r="I20" s="2">
        <f t="shared" si="16"/>
        <v>7.1599999999999995E-4</v>
      </c>
      <c r="J20" s="2">
        <f t="shared" si="12"/>
        <v>1.0086666666666666E-3</v>
      </c>
      <c r="K20" s="2">
        <f t="shared" si="17"/>
        <v>8.0400000000000003E-4</v>
      </c>
      <c r="L20" s="2">
        <f t="shared" si="18"/>
        <v>9.8299999999999993E-4</v>
      </c>
      <c r="M20" s="2">
        <f t="shared" si="19"/>
        <v>1.7899999999999991E-4</v>
      </c>
      <c r="N20" s="2">
        <f t="shared" si="20"/>
        <v>1.2197499999999999E-3</v>
      </c>
      <c r="O20" s="2">
        <f t="shared" si="21"/>
        <v>2.3674999999999998E-4</v>
      </c>
      <c r="P20" s="2">
        <f t="shared" si="22"/>
        <v>8.8000000000000079E-5</v>
      </c>
      <c r="Q20" s="2">
        <f t="shared" si="23"/>
        <v>1.0725000000000014E-4</v>
      </c>
    </row>
    <row r="21" spans="1:29" ht="13">
      <c r="A21" s="2">
        <v>100000</v>
      </c>
      <c r="B21" s="2">
        <v>8.4829999999999992E-3</v>
      </c>
      <c r="C21">
        <v>9.1990000000000006E-3</v>
      </c>
      <c r="D21">
        <v>1.3369000000000001E-2</v>
      </c>
      <c r="E21">
        <v>8.2260000000000007E-3</v>
      </c>
      <c r="F21">
        <v>1.3303000000000001E-2</v>
      </c>
      <c r="G21">
        <v>7.5240000000000003E-3</v>
      </c>
      <c r="H21" s="6">
        <f t="shared" si="15"/>
        <v>1.3369000000000001E-2</v>
      </c>
      <c r="I21" s="2">
        <f t="shared" si="16"/>
        <v>7.5240000000000003E-3</v>
      </c>
      <c r="J21" s="2">
        <f t="shared" si="12"/>
        <v>1.0017333333333335E-2</v>
      </c>
      <c r="K21" s="2">
        <f t="shared" si="17"/>
        <v>8.2902500000000007E-3</v>
      </c>
      <c r="L21" s="2">
        <f t="shared" si="18"/>
        <v>8.8409999999999999E-3</v>
      </c>
      <c r="M21" s="2">
        <f t="shared" si="19"/>
        <v>5.5074999999999916E-4</v>
      </c>
      <c r="N21" s="2">
        <f t="shared" si="20"/>
        <v>1.2277E-2</v>
      </c>
      <c r="O21" s="2">
        <f t="shared" si="21"/>
        <v>3.4359999999999998E-3</v>
      </c>
      <c r="P21" s="2">
        <f t="shared" si="22"/>
        <v>7.6625000000000044E-4</v>
      </c>
      <c r="Q21" s="2">
        <f t="shared" si="23"/>
        <v>1.092000000000001E-3</v>
      </c>
    </row>
    <row r="22" spans="1:29" ht="13">
      <c r="A22" s="2">
        <v>1000000</v>
      </c>
      <c r="B22" s="2">
        <v>8.4314E-2</v>
      </c>
      <c r="C22">
        <v>9.9085000000000006E-2</v>
      </c>
      <c r="D22">
        <v>7.6545000000000002E-2</v>
      </c>
      <c r="E22">
        <v>0.103475</v>
      </c>
      <c r="F22">
        <v>0.13317100000000001</v>
      </c>
      <c r="G22">
        <v>0.13017699999999999</v>
      </c>
      <c r="H22" s="6">
        <f t="shared" si="15"/>
        <v>0.13317100000000001</v>
      </c>
      <c r="I22" s="2">
        <f t="shared" si="16"/>
        <v>7.6545000000000002E-2</v>
      </c>
      <c r="J22" s="2">
        <f t="shared" si="12"/>
        <v>0.10446116666666666</v>
      </c>
      <c r="K22" s="2">
        <f t="shared" si="17"/>
        <v>8.8006749999999995E-2</v>
      </c>
      <c r="L22" s="2">
        <f t="shared" si="18"/>
        <v>0.10128000000000001</v>
      </c>
      <c r="M22" s="2">
        <f t="shared" si="19"/>
        <v>1.3273250000000014E-2</v>
      </c>
      <c r="N22" s="2">
        <f t="shared" si="20"/>
        <v>0.12350149999999999</v>
      </c>
      <c r="O22" s="2">
        <f t="shared" si="21"/>
        <v>2.2221499999999977E-2</v>
      </c>
      <c r="P22" s="2">
        <f t="shared" si="22"/>
        <v>1.1461749999999993E-2</v>
      </c>
      <c r="Q22" s="2">
        <f t="shared" si="23"/>
        <v>9.6695000000000253E-3</v>
      </c>
    </row>
    <row r="23" spans="1:29" ht="13">
      <c r="A23" s="2">
        <v>10000000</v>
      </c>
      <c r="B23" s="2">
        <v>0.89969299999999996</v>
      </c>
      <c r="C23">
        <v>1.327056</v>
      </c>
      <c r="D23">
        <v>1.1362490000000001</v>
      </c>
      <c r="E23">
        <v>1.0343260000000001</v>
      </c>
      <c r="F23">
        <v>1.296592</v>
      </c>
      <c r="G23">
        <v>0.81773300000000004</v>
      </c>
      <c r="H23" s="6">
        <f t="shared" si="15"/>
        <v>1.327056</v>
      </c>
      <c r="I23" s="2">
        <f t="shared" si="16"/>
        <v>0.81773300000000004</v>
      </c>
      <c r="J23" s="2">
        <f t="shared" si="12"/>
        <v>1.0852748333333333</v>
      </c>
      <c r="K23" s="2">
        <f t="shared" si="17"/>
        <v>0.93335124999999997</v>
      </c>
      <c r="L23" s="2">
        <f t="shared" si="18"/>
        <v>1.0852875000000002</v>
      </c>
      <c r="M23" s="2">
        <f t="shared" si="19"/>
        <v>0.15193625000000022</v>
      </c>
      <c r="N23" s="2">
        <f t="shared" si="20"/>
        <v>1.2565062499999999</v>
      </c>
      <c r="O23" s="2">
        <f t="shared" si="21"/>
        <v>0.17121874999999975</v>
      </c>
      <c r="P23" s="2">
        <f t="shared" si="22"/>
        <v>0.11561824999999992</v>
      </c>
      <c r="Q23" s="2">
        <f t="shared" si="23"/>
        <v>7.0549750000000078E-2</v>
      </c>
    </row>
    <row r="24" spans="1:29" ht="13">
      <c r="A24" s="2">
        <v>100000000</v>
      </c>
      <c r="B24" s="2">
        <v>11.609988</v>
      </c>
      <c r="C24">
        <v>9.5362740000000006</v>
      </c>
      <c r="D24">
        <v>9.5313130000000008</v>
      </c>
      <c r="E24">
        <v>13.065428000000001</v>
      </c>
      <c r="F24">
        <v>13.166377000000001</v>
      </c>
      <c r="G24">
        <v>8.2007399999999997</v>
      </c>
      <c r="H24" s="6">
        <f t="shared" si="15"/>
        <v>13.166377000000001</v>
      </c>
      <c r="I24" s="2">
        <f t="shared" si="16"/>
        <v>8.2007399999999997</v>
      </c>
      <c r="J24" s="2">
        <f t="shared" si="12"/>
        <v>10.851686666666666</v>
      </c>
      <c r="K24" s="2">
        <f t="shared" si="17"/>
        <v>9.5325532500000012</v>
      </c>
      <c r="L24" s="2">
        <f t="shared" si="18"/>
        <v>10.573131</v>
      </c>
      <c r="M24" s="2">
        <f t="shared" si="19"/>
        <v>1.0405777499999989</v>
      </c>
      <c r="N24" s="2">
        <f t="shared" si="20"/>
        <v>12.701568</v>
      </c>
      <c r="O24" s="2">
        <f t="shared" si="21"/>
        <v>2.1284369999999999</v>
      </c>
      <c r="P24" s="2">
        <f t="shared" si="22"/>
        <v>1.3318132500000015</v>
      </c>
      <c r="Q24" s="2">
        <f t="shared" si="23"/>
        <v>0.46480900000000069</v>
      </c>
    </row>
    <row r="25" spans="1:29" ht="13">
      <c r="A25" s="2">
        <v>1000000000</v>
      </c>
      <c r="B25" s="2">
        <v>85.917636000000002</v>
      </c>
      <c r="C25">
        <v>119.082748</v>
      </c>
      <c r="D25">
        <v>108.535173</v>
      </c>
      <c r="E25">
        <v>80.096435999999997</v>
      </c>
      <c r="F25">
        <v>107.906143</v>
      </c>
      <c r="G25">
        <v>118.887828</v>
      </c>
      <c r="H25" s="6">
        <f t="shared" si="15"/>
        <v>119.082748</v>
      </c>
      <c r="I25" s="2">
        <f t="shared" si="16"/>
        <v>80.096435999999997</v>
      </c>
      <c r="J25" s="2">
        <f t="shared" si="12"/>
        <v>103.40432733333331</v>
      </c>
      <c r="K25" s="2">
        <f t="shared" si="17"/>
        <v>91.414762749999994</v>
      </c>
      <c r="L25" s="2">
        <f t="shared" si="18"/>
        <v>108.220658</v>
      </c>
      <c r="M25" s="2">
        <f t="shared" si="19"/>
        <v>16.805895250000006</v>
      </c>
      <c r="N25" s="2">
        <f t="shared" si="20"/>
        <v>116.29966425000001</v>
      </c>
      <c r="O25" s="2">
        <f t="shared" si="21"/>
        <v>8.0790062500000062</v>
      </c>
      <c r="P25" s="2">
        <f t="shared" si="22"/>
        <v>11.318326749999997</v>
      </c>
      <c r="Q25" s="2">
        <f t="shared" si="23"/>
        <v>2.7830837499999888</v>
      </c>
    </row>
    <row r="26" spans="1:29">
      <c r="T26" s="2" t="s">
        <v>69</v>
      </c>
      <c r="U26" s="2" t="s">
        <v>70</v>
      </c>
      <c r="V26" s="2" t="s">
        <v>71</v>
      </c>
      <c r="W26" s="2" t="s">
        <v>63</v>
      </c>
      <c r="X26" s="2" t="s">
        <v>72</v>
      </c>
      <c r="Y26" s="2" t="s">
        <v>73</v>
      </c>
      <c r="Z26" s="2"/>
      <c r="AA26" s="2" t="s">
        <v>75</v>
      </c>
    </row>
    <row r="27" spans="1:29">
      <c r="T27" s="2" t="s">
        <v>60</v>
      </c>
      <c r="U27" s="2" t="s">
        <v>61</v>
      </c>
      <c r="V27" s="2" t="s">
        <v>62</v>
      </c>
      <c r="W27" s="2" t="s">
        <v>63</v>
      </c>
      <c r="X27" s="2" t="s">
        <v>64</v>
      </c>
      <c r="Y27" s="2" t="s">
        <v>65</v>
      </c>
      <c r="Z27" s="2" t="s">
        <v>66</v>
      </c>
      <c r="AA27" s="2" t="s">
        <v>74</v>
      </c>
      <c r="AB27" s="2" t="s">
        <v>67</v>
      </c>
      <c r="AC27" s="2" t="s">
        <v>68</v>
      </c>
    </row>
    <row r="28" spans="1:29">
      <c r="T28">
        <v>634.31652399999996</v>
      </c>
      <c r="U28">
        <v>429.24165900000003</v>
      </c>
      <c r="V28">
        <v>541.93032300000004</v>
      </c>
      <c r="W28">
        <v>473.06059275000001</v>
      </c>
      <c r="X28">
        <v>552.08155450000004</v>
      </c>
      <c r="Y28">
        <v>79.020961750000026</v>
      </c>
      <c r="Z28">
        <v>620.95128475000001</v>
      </c>
      <c r="AA28">
        <v>68.869730249999975</v>
      </c>
      <c r="AB28">
        <v>43.818933749999985</v>
      </c>
      <c r="AC28">
        <v>13.365239249999945</v>
      </c>
    </row>
    <row r="31" spans="1:29">
      <c r="F31">
        <f>1000/103.4</f>
        <v>9.6711798839458414</v>
      </c>
      <c r="H31">
        <f>A19/J19</f>
        <v>10849909.5840868</v>
      </c>
      <c r="I31">
        <f>H31/1000000</f>
        <v>10.849909584086801</v>
      </c>
    </row>
    <row r="32" spans="1:29">
      <c r="C32" s="2">
        <f>1000000000/1000000</f>
        <v>1000</v>
      </c>
      <c r="H32" s="2">
        <f t="shared" ref="H32:H35" si="24">A20/J20</f>
        <v>9914077.9907468613</v>
      </c>
      <c r="I32" s="2">
        <f t="shared" ref="I32:I35" si="25">H32/1000000</f>
        <v>9.9140779907468612</v>
      </c>
    </row>
    <row r="33" spans="8:9">
      <c r="H33" s="2">
        <f t="shared" si="24"/>
        <v>9982696.6591241825</v>
      </c>
      <c r="I33" s="2">
        <f t="shared" si="25"/>
        <v>9.9826966591241817</v>
      </c>
    </row>
    <row r="34" spans="8:9">
      <c r="H34" s="2">
        <f t="shared" si="24"/>
        <v>9572935.3970454745</v>
      </c>
      <c r="I34" s="2">
        <f t="shared" si="25"/>
        <v>9.5729353970454749</v>
      </c>
    </row>
    <row r="35" spans="8:9">
      <c r="H35" s="2">
        <f t="shared" si="24"/>
        <v>9214255.866678318</v>
      </c>
      <c r="I35" s="2">
        <f t="shared" si="25"/>
        <v>9.2142558666783181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6" workbookViewId="0">
      <selection activeCell="F62" sqref="F62"/>
    </sheetView>
  </sheetViews>
  <sheetFormatPr baseColWidth="10" defaultRowHeight="12" x14ac:dyDescent="0"/>
  <cols>
    <col min="1" max="1" width="10.83203125" style="9"/>
    <col min="2" max="2" width="21.1640625" customWidth="1"/>
  </cols>
  <sheetData>
    <row r="1" spans="1:7">
      <c r="A1" s="9" t="s">
        <v>82</v>
      </c>
    </row>
    <row r="3" spans="1:7" ht="15">
      <c r="A3" s="9">
        <v>1</v>
      </c>
      <c r="B3" s="10">
        <f>POISSON(A3,2,FALSE)</f>
        <v>0.27067056647322535</v>
      </c>
      <c r="C3" s="10">
        <v>0.27067056647322535</v>
      </c>
      <c r="D3" s="10">
        <v>1.9094925324389769E-4</v>
      </c>
      <c r="G3">
        <f>B3*A3</f>
        <v>0.27067056647322535</v>
      </c>
    </row>
    <row r="4" spans="1:7" ht="15">
      <c r="A4" s="9">
        <v>2</v>
      </c>
      <c r="B4" s="10">
        <f t="shared" ref="B4:B11" si="0">POISSON(A4,2,FALSE)</f>
        <v>0.27067056647322546</v>
      </c>
      <c r="C4" s="10">
        <v>0.27067056647322546</v>
      </c>
      <c r="D4" s="10">
        <v>8.5927163959754148E-4</v>
      </c>
      <c r="G4" s="2">
        <f t="shared" ref="G4:G11" si="1">B4*A4</f>
        <v>0.54134113294645092</v>
      </c>
    </row>
    <row r="5" spans="1:7" ht="15">
      <c r="A5" s="9">
        <v>3</v>
      </c>
      <c r="B5" s="10">
        <f t="shared" si="0"/>
        <v>0.18044704431548364</v>
      </c>
      <c r="C5" s="10">
        <v>0.18044704431548364</v>
      </c>
      <c r="D5" s="10">
        <v>3.4370865583901629E-3</v>
      </c>
      <c r="G5" s="2">
        <f t="shared" si="1"/>
        <v>0.54134113294645092</v>
      </c>
    </row>
    <row r="6" spans="1:7" ht="15">
      <c r="A6" s="9">
        <v>4</v>
      </c>
      <c r="B6" s="10">
        <f t="shared" si="0"/>
        <v>9.022352215774182E-2</v>
      </c>
      <c r="C6" s="10">
        <v>9.022352215774182E-2</v>
      </c>
      <c r="D6" s="10">
        <v>1.2029802954365572E-2</v>
      </c>
      <c r="G6" s="2">
        <f t="shared" si="1"/>
        <v>0.36089408863096728</v>
      </c>
    </row>
    <row r="7" spans="1:7" ht="15">
      <c r="A7" s="9">
        <v>5</v>
      </c>
      <c r="B7" s="10">
        <f t="shared" si="0"/>
        <v>3.6089408863096716E-2</v>
      </c>
      <c r="C7" s="10">
        <v>3.6089408863096716E-2</v>
      </c>
      <c r="D7" s="10">
        <v>3.6089408863096716E-2</v>
      </c>
      <c r="G7" s="2">
        <f t="shared" si="1"/>
        <v>0.18044704431548358</v>
      </c>
    </row>
    <row r="8" spans="1:7" ht="15">
      <c r="A8" s="9">
        <v>6</v>
      </c>
      <c r="B8" s="10">
        <f t="shared" si="0"/>
        <v>1.2029802954365572E-2</v>
      </c>
      <c r="C8" s="10">
        <v>1.2029802954365572E-2</v>
      </c>
      <c r="D8" s="10">
        <v>9.022352215774182E-2</v>
      </c>
      <c r="G8" s="2">
        <f t="shared" si="1"/>
        <v>7.2178817726193431E-2</v>
      </c>
    </row>
    <row r="9" spans="1:7" ht="15">
      <c r="A9" s="9">
        <v>7</v>
      </c>
      <c r="B9" s="10">
        <f t="shared" si="0"/>
        <v>3.4370865583901629E-3</v>
      </c>
      <c r="C9" s="10">
        <v>3.4370865583901629E-3</v>
      </c>
      <c r="D9" s="10">
        <v>0.18044704431548364</v>
      </c>
      <c r="G9" s="2">
        <f t="shared" si="1"/>
        <v>2.405960590873114E-2</v>
      </c>
    </row>
    <row r="10" spans="1:7" ht="15">
      <c r="A10" s="9">
        <v>8</v>
      </c>
      <c r="B10" s="10">
        <f t="shared" si="0"/>
        <v>8.5927163959754148E-4</v>
      </c>
      <c r="C10" s="10">
        <v>8.5927163959754148E-4</v>
      </c>
      <c r="D10" s="10">
        <v>0.27067056647322546</v>
      </c>
      <c r="G10" s="2">
        <f t="shared" si="1"/>
        <v>6.8741731167803318E-3</v>
      </c>
    </row>
    <row r="11" spans="1:7" ht="15">
      <c r="A11" s="9">
        <v>9</v>
      </c>
      <c r="B11" s="10">
        <f t="shared" si="0"/>
        <v>1.9094925324389769E-4</v>
      </c>
      <c r="C11" s="10">
        <v>1.9094925324389769E-4</v>
      </c>
      <c r="D11">
        <v>0.27067056647322535</v>
      </c>
      <c r="G11" s="2">
        <f t="shared" si="1"/>
        <v>1.7185432791950793E-3</v>
      </c>
    </row>
    <row r="12" spans="1:7">
      <c r="G12">
        <f>SUM(G3:G11)</f>
        <v>1.9995251053434782</v>
      </c>
    </row>
    <row r="13" spans="1:7" ht="15">
      <c r="B13" s="10">
        <f>SUM(B3:B11)</f>
        <v>0.86461821868837019</v>
      </c>
    </row>
    <row r="17" spans="1:3" ht="15">
      <c r="A17" s="9">
        <v>1</v>
      </c>
      <c r="B17" s="10">
        <f>NORMDIST(A17,5,1,FALSE)</f>
        <v>1.3383022576488537E-4</v>
      </c>
      <c r="C17" s="8">
        <v>0.1</v>
      </c>
    </row>
    <row r="18" spans="1:3" ht="15">
      <c r="A18" s="9">
        <v>2</v>
      </c>
      <c r="B18" s="10">
        <f t="shared" ref="B18:B25" si="2">NORMDIST(A18,5,1,FALSE)</f>
        <v>4.4318484119380075E-3</v>
      </c>
      <c r="C18" s="8">
        <v>0.2</v>
      </c>
    </row>
    <row r="19" spans="1:3" ht="15">
      <c r="A19" s="9">
        <v>3</v>
      </c>
      <c r="B19" s="10">
        <f t="shared" si="2"/>
        <v>5.3990966513188063E-2</v>
      </c>
      <c r="C19" s="8">
        <v>0.3</v>
      </c>
    </row>
    <row r="20" spans="1:3" ht="15">
      <c r="A20" s="9">
        <v>4</v>
      </c>
      <c r="B20" s="10">
        <f t="shared" si="2"/>
        <v>0.24197072451914337</v>
      </c>
      <c r="C20" s="8">
        <v>0.4</v>
      </c>
    </row>
    <row r="21" spans="1:3" ht="15">
      <c r="A21" s="9">
        <v>5</v>
      </c>
      <c r="B21" s="10">
        <f t="shared" si="2"/>
        <v>0.3989422804014327</v>
      </c>
      <c r="C21" s="8">
        <v>0.5</v>
      </c>
    </row>
    <row r="22" spans="1:3" ht="15">
      <c r="A22" s="9">
        <v>6</v>
      </c>
      <c r="B22" s="10">
        <f t="shared" si="2"/>
        <v>0.24197072451914337</v>
      </c>
      <c r="C22" s="8">
        <v>0.6</v>
      </c>
    </row>
    <row r="23" spans="1:3" ht="15">
      <c r="A23" s="9">
        <v>7</v>
      </c>
      <c r="B23" s="10">
        <f t="shared" si="2"/>
        <v>5.3990966513188063E-2</v>
      </c>
      <c r="C23" s="8">
        <v>0.7</v>
      </c>
    </row>
    <row r="24" spans="1:3" ht="15">
      <c r="A24" s="9">
        <v>8</v>
      </c>
      <c r="B24" s="10">
        <f t="shared" si="2"/>
        <v>4.4318484119380075E-3</v>
      </c>
      <c r="C24" s="8">
        <v>0.8</v>
      </c>
    </row>
    <row r="25" spans="1:3" ht="15">
      <c r="A25" s="9">
        <v>9</v>
      </c>
      <c r="B25" s="10">
        <f t="shared" si="2"/>
        <v>1.3383022576488537E-4</v>
      </c>
      <c r="C25" s="8">
        <v>0.9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P82" workbookViewId="0">
      <selection activeCell="C12" sqref="C12"/>
    </sheetView>
  </sheetViews>
  <sheetFormatPr baseColWidth="10" defaultRowHeight="12" x14ac:dyDescent="0"/>
  <sheetData>
    <row r="1" spans="2:14">
      <c r="F1" t="s">
        <v>93</v>
      </c>
      <c r="G1" t="s">
        <v>103</v>
      </c>
      <c r="H1" t="s">
        <v>94</v>
      </c>
      <c r="I1" t="s">
        <v>95</v>
      </c>
      <c r="J1" t="s">
        <v>98</v>
      </c>
    </row>
    <row r="2" spans="2:14">
      <c r="C2" s="2" t="s">
        <v>91</v>
      </c>
      <c r="D2" s="2" t="s">
        <v>92</v>
      </c>
      <c r="F2">
        <v>88.612796369999998</v>
      </c>
      <c r="G2">
        <v>15.872299999999999</v>
      </c>
      <c r="H2">
        <v>13.7425</v>
      </c>
      <c r="I2">
        <v>12.99</v>
      </c>
      <c r="L2" t="s">
        <v>100</v>
      </c>
      <c r="M2" t="s">
        <v>101</v>
      </c>
      <c r="N2" t="s">
        <v>102</v>
      </c>
    </row>
    <row r="3" spans="2:14">
      <c r="B3" s="2" t="s">
        <v>86</v>
      </c>
      <c r="C3">
        <v>57.974581999999998</v>
      </c>
      <c r="D3">
        <v>2074.4629260000002</v>
      </c>
      <c r="K3" s="2" t="s">
        <v>86</v>
      </c>
      <c r="L3" s="2">
        <v>574.35521300000005</v>
      </c>
      <c r="M3" s="2">
        <v>1558.0822949999999</v>
      </c>
    </row>
    <row r="4" spans="2:14">
      <c r="B4" s="2" t="s">
        <v>87</v>
      </c>
      <c r="C4">
        <v>2.9260009999999999</v>
      </c>
      <c r="D4">
        <v>745.99037699999997</v>
      </c>
      <c r="F4" t="s">
        <v>96</v>
      </c>
      <c r="G4" t="s">
        <v>104</v>
      </c>
      <c r="H4" t="s">
        <v>97</v>
      </c>
      <c r="I4" s="2" t="s">
        <v>99</v>
      </c>
      <c r="K4" s="2" t="s">
        <v>87</v>
      </c>
      <c r="L4" s="2">
        <v>67.835149999999999</v>
      </c>
      <c r="M4" s="2">
        <v>681.08122800000001</v>
      </c>
    </row>
    <row r="5" spans="2:14">
      <c r="B5" s="2" t="s">
        <v>88</v>
      </c>
      <c r="C5">
        <v>853.83508700000004</v>
      </c>
      <c r="D5">
        <v>4349.3797949999998</v>
      </c>
      <c r="F5">
        <v>135</v>
      </c>
      <c r="G5">
        <v>18.6342</v>
      </c>
      <c r="H5">
        <v>17.14</v>
      </c>
      <c r="I5">
        <v>76.099999999999994</v>
      </c>
      <c r="K5" s="2" t="s">
        <v>88</v>
      </c>
      <c r="L5" s="2">
        <v>1919.4912859999999</v>
      </c>
      <c r="M5" s="2">
        <v>3283.7235959999998</v>
      </c>
    </row>
    <row r="9" spans="2:14">
      <c r="B9" s="2" t="s">
        <v>84</v>
      </c>
      <c r="C9" s="2"/>
      <c r="D9" s="2"/>
      <c r="E9" s="2"/>
      <c r="F9" s="2" t="s">
        <v>90</v>
      </c>
      <c r="G9" s="2"/>
      <c r="H9" s="2"/>
    </row>
    <row r="10" spans="2:14">
      <c r="B10" s="2"/>
      <c r="C10" s="2"/>
      <c r="D10" s="2"/>
      <c r="E10" s="2"/>
      <c r="F10" s="2"/>
      <c r="G10" s="2"/>
      <c r="H10" s="2"/>
    </row>
    <row r="11" spans="2:14">
      <c r="B11" s="1"/>
      <c r="C11" s="2" t="s">
        <v>83</v>
      </c>
      <c r="D11" s="2" t="s">
        <v>85</v>
      </c>
      <c r="E11" s="2"/>
      <c r="F11" s="2"/>
      <c r="G11" s="2" t="s">
        <v>83</v>
      </c>
      <c r="H11" s="2" t="s">
        <v>85</v>
      </c>
    </row>
    <row r="12" spans="2:14">
      <c r="B12" s="2" t="s">
        <v>86</v>
      </c>
      <c r="C12" s="2" t="e">
        <f>#REF!/#REF!+#REF!/#REF!+#REF!</f>
        <v>#REF!</v>
      </c>
      <c r="D12" s="2" t="e">
        <f>#REF!/#REF!+#REF!/#REF!+#REF!</f>
        <v>#REF!</v>
      </c>
      <c r="E12" s="2"/>
      <c r="F12" s="2" t="s">
        <v>86</v>
      </c>
      <c r="G12" s="2" t="e">
        <f>C12/60/60*0.405</f>
        <v>#REF!</v>
      </c>
      <c r="H12" s="2" t="e">
        <f>D12/3600*0.405+D12/3600*9/8*0.405</f>
        <v>#REF!</v>
      </c>
    </row>
    <row r="13" spans="2:14">
      <c r="B13" s="2" t="s">
        <v>87</v>
      </c>
      <c r="C13" s="2" t="e">
        <f>#REF!/#REF!+#REF!/#REF!+#REF!</f>
        <v>#REF!</v>
      </c>
      <c r="D13" s="2" t="e">
        <f>#REF!/#REF!+#REF!/#REF!+#REF!</f>
        <v>#REF!</v>
      </c>
      <c r="E13" s="2"/>
      <c r="F13" s="2" t="s">
        <v>87</v>
      </c>
      <c r="G13" s="2" t="e">
        <f t="shared" ref="G13:G14" si="0">C13/60/60*0.405</f>
        <v>#REF!</v>
      </c>
      <c r="H13" s="2" t="e">
        <f>D13/3600*0.405+D13/3600*9/8*0.405</f>
        <v>#REF!</v>
      </c>
    </row>
    <row r="14" spans="2:14">
      <c r="B14" s="2" t="s">
        <v>88</v>
      </c>
      <c r="C14" s="2" t="e">
        <f>#REF!/#REF!+#REF!/#REF!+#REF!</f>
        <v>#REF!</v>
      </c>
      <c r="D14" s="2" t="e">
        <f>#REF!/#REF!+#REF!/#REF!+#REF!</f>
        <v>#REF!</v>
      </c>
      <c r="E14" s="2"/>
      <c r="F14" s="2" t="s">
        <v>88</v>
      </c>
      <c r="G14" s="2" t="e">
        <f t="shared" si="0"/>
        <v>#REF!</v>
      </c>
      <c r="H14" s="2" t="e">
        <f>D14/3600*0.405+D14/3600*9/8*0.405</f>
        <v>#REF!</v>
      </c>
    </row>
    <row r="15" spans="2:14">
      <c r="B15" s="2"/>
      <c r="C15" s="2"/>
      <c r="D15" s="2"/>
      <c r="E15" s="2"/>
      <c r="F15" s="2"/>
      <c r="G15" s="2"/>
      <c r="H15" s="2"/>
    </row>
    <row r="16" spans="2:14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 t="s">
        <v>89</v>
      </c>
      <c r="C22" s="2"/>
      <c r="D22" s="2"/>
      <c r="E22" s="2"/>
      <c r="F22" s="2"/>
      <c r="G22" s="2"/>
      <c r="H22" s="2"/>
    </row>
    <row r="23" spans="2:8">
      <c r="B23" s="2"/>
      <c r="C23" s="2" t="s">
        <v>83</v>
      </c>
      <c r="D23" s="2" t="s">
        <v>85</v>
      </c>
      <c r="E23" s="2"/>
      <c r="F23" s="2"/>
      <c r="G23" s="2" t="s">
        <v>83</v>
      </c>
      <c r="H23" s="2" t="s">
        <v>85</v>
      </c>
    </row>
    <row r="24" spans="2:8">
      <c r="B24" s="2" t="s">
        <v>86</v>
      </c>
      <c r="C24" s="2" t="e">
        <f>#REF!/#REF!+L3/#REF!+#REF!</f>
        <v>#REF!</v>
      </c>
      <c r="D24" s="2" t="e">
        <f>#REF!/#REF!+#REF!/#REF!+#REF!</f>
        <v>#REF!</v>
      </c>
      <c r="E24" s="2"/>
      <c r="F24" s="2" t="s">
        <v>86</v>
      </c>
      <c r="G24" s="2" t="e">
        <f>C24/3600*0.405</f>
        <v>#REF!</v>
      </c>
      <c r="H24" s="2" t="e">
        <f>D24/3600*0.405+D24/3600*2*0.405</f>
        <v>#REF!</v>
      </c>
    </row>
    <row r="25" spans="2:8">
      <c r="B25" s="2" t="s">
        <v>87</v>
      </c>
      <c r="C25" s="2" t="e">
        <f>#REF!/#REF!+L4/#REF!+#REF!</f>
        <v>#REF!</v>
      </c>
      <c r="D25" s="2" t="e">
        <f>#REF!/#REF!+#REF!/#REF!+#REF!</f>
        <v>#REF!</v>
      </c>
      <c r="E25" s="2"/>
      <c r="F25" s="2" t="s">
        <v>87</v>
      </c>
      <c r="G25" s="2" t="e">
        <f t="shared" ref="G25:G26" si="1">C25/3600*0.405</f>
        <v>#REF!</v>
      </c>
      <c r="H25" s="2" t="e">
        <f t="shared" ref="H25:H26" si="2">D25/3600*0.405+D25/3600*2*0.405</f>
        <v>#REF!</v>
      </c>
    </row>
    <row r="26" spans="2:8">
      <c r="B26" s="2" t="s">
        <v>88</v>
      </c>
      <c r="C26" s="2" t="e">
        <f>#REF!/#REF!+L5/#REF!+#REF!</f>
        <v>#REF!</v>
      </c>
      <c r="D26" s="2" t="e">
        <f>#REF!/#REF!+#REF!/#REF!+#REF!</f>
        <v>#REF!</v>
      </c>
      <c r="E26" s="2"/>
      <c r="F26" s="2" t="s">
        <v>88</v>
      </c>
      <c r="G26" s="2" t="e">
        <f t="shared" si="1"/>
        <v>#REF!</v>
      </c>
      <c r="H26" s="2" t="e">
        <f t="shared" si="2"/>
        <v>#REF!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C29" workbookViewId="0">
      <selection activeCell="P37" sqref="P37"/>
    </sheetView>
  </sheetViews>
  <sheetFormatPr baseColWidth="10" defaultRowHeight="12" x14ac:dyDescent="0"/>
  <sheetData>
    <row r="1" spans="1:18">
      <c r="A1" t="s">
        <v>17</v>
      </c>
      <c r="G1" t="s">
        <v>18</v>
      </c>
    </row>
    <row r="2" spans="1:18">
      <c r="D2" t="s">
        <v>69</v>
      </c>
      <c r="E2" t="s">
        <v>70</v>
      </c>
      <c r="H2" t="s">
        <v>60</v>
      </c>
      <c r="I2" t="s">
        <v>61</v>
      </c>
    </row>
    <row r="3" spans="1:18">
      <c r="D3">
        <v>86.565374000000006</v>
      </c>
      <c r="E3">
        <v>14.3461</v>
      </c>
      <c r="H3">
        <v>119.285352</v>
      </c>
      <c r="I3">
        <v>55.269734</v>
      </c>
    </row>
    <row r="4" spans="1:18">
      <c r="D4">
        <v>114.4666</v>
      </c>
      <c r="E4">
        <v>26.650355000000001</v>
      </c>
      <c r="H4">
        <v>230.96640500000001</v>
      </c>
      <c r="I4">
        <v>63.730490000000003</v>
      </c>
    </row>
    <row r="5" spans="1:18">
      <c r="D5">
        <v>169.115973</v>
      </c>
      <c r="E5">
        <v>110.59578399999999</v>
      </c>
      <c r="H5">
        <v>279.93399499999998</v>
      </c>
      <c r="I5">
        <v>88.164479999999998</v>
      </c>
    </row>
    <row r="6" spans="1:18">
      <c r="D6">
        <v>168.10127800000001</v>
      </c>
      <c r="E6">
        <v>69.356492000000003</v>
      </c>
      <c r="H6">
        <v>329.21117099999998</v>
      </c>
      <c r="I6">
        <v>33.04909</v>
      </c>
    </row>
    <row r="7" spans="1:18">
      <c r="D7">
        <v>92.492025999999996</v>
      </c>
      <c r="E7">
        <v>71.312799999999996</v>
      </c>
      <c r="H7">
        <v>346.841949</v>
      </c>
      <c r="I7">
        <v>65.910719999999998</v>
      </c>
    </row>
    <row r="8" spans="1:18">
      <c r="D8">
        <v>272.58239500000002</v>
      </c>
      <c r="E8">
        <v>88.01473</v>
      </c>
      <c r="H8">
        <v>436.19068299999998</v>
      </c>
      <c r="I8">
        <v>124.036964</v>
      </c>
    </row>
    <row r="9" spans="1:18">
      <c r="D9">
        <v>218.9366</v>
      </c>
      <c r="E9">
        <v>118.350092</v>
      </c>
      <c r="H9">
        <v>486.640468</v>
      </c>
      <c r="I9">
        <v>203.92740000000001</v>
      </c>
    </row>
    <row r="10" spans="1:18">
      <c r="D10">
        <v>257.64456000000001</v>
      </c>
      <c r="E10">
        <v>95.010265000000004</v>
      </c>
      <c r="H10">
        <v>335.83623699999998</v>
      </c>
      <c r="I10">
        <v>162.19226</v>
      </c>
    </row>
    <row r="14" spans="1:18">
      <c r="A14" s="2" t="s">
        <v>106</v>
      </c>
      <c r="F14" s="2"/>
      <c r="G14" s="2"/>
      <c r="H14" s="2"/>
      <c r="I14" s="2"/>
      <c r="J14" s="2"/>
      <c r="K14" s="2"/>
      <c r="L14" s="2" t="s">
        <v>107</v>
      </c>
      <c r="M14" s="2"/>
      <c r="N14" s="2"/>
      <c r="O14" s="2"/>
      <c r="P14" s="2"/>
    </row>
    <row r="15" spans="1:18" ht="14">
      <c r="D15" t="s">
        <v>113</v>
      </c>
      <c r="E15" s="2" t="s">
        <v>63</v>
      </c>
      <c r="F15" s="2" t="s">
        <v>72</v>
      </c>
      <c r="G15" s="2" t="s">
        <v>66</v>
      </c>
      <c r="H15" s="2" t="s">
        <v>73</v>
      </c>
      <c r="I15" s="2" t="s">
        <v>75</v>
      </c>
      <c r="J15" s="2" t="s">
        <v>114</v>
      </c>
      <c r="K15" s="7" t="s">
        <v>109</v>
      </c>
      <c r="L15" s="2" t="s">
        <v>63</v>
      </c>
      <c r="M15" s="2" t="s">
        <v>72</v>
      </c>
      <c r="N15" s="2" t="s">
        <v>66</v>
      </c>
      <c r="O15" s="2" t="s">
        <v>73</v>
      </c>
      <c r="P15" s="2" t="s">
        <v>75</v>
      </c>
      <c r="Q15" t="s">
        <v>68</v>
      </c>
      <c r="R15" t="s">
        <v>67</v>
      </c>
    </row>
    <row r="16" spans="1:18">
      <c r="D16">
        <f>E16-E3</f>
        <v>18.399453749999999</v>
      </c>
      <c r="E16" s="2">
        <v>32.745553749999999</v>
      </c>
      <c r="F16" s="2">
        <v>56.2594645</v>
      </c>
      <c r="G16" s="2">
        <v>76.871511499999997</v>
      </c>
      <c r="H16" s="2">
        <v>23.513910750000001</v>
      </c>
      <c r="I16" s="2">
        <v>20.612046999999997</v>
      </c>
      <c r="J16" s="2">
        <f>G16-F16</f>
        <v>20.612046999999997</v>
      </c>
      <c r="K16" s="2">
        <v>0</v>
      </c>
      <c r="L16" s="2">
        <v>75.130383500000008</v>
      </c>
      <c r="M16" s="2">
        <v>100.329251</v>
      </c>
      <c r="N16" s="2">
        <v>119.00226450000001</v>
      </c>
      <c r="O16" s="2">
        <v>25.198867499999992</v>
      </c>
      <c r="P16" s="2">
        <v>18.67301350000001</v>
      </c>
      <c r="Q16">
        <f>H3-N16</f>
        <v>0.2830874999999935</v>
      </c>
      <c r="R16">
        <f>L16-I3</f>
        <v>19.860649500000008</v>
      </c>
    </row>
    <row r="17" spans="4:18">
      <c r="D17" s="2">
        <f t="shared" ref="D17:D23" si="0">E17-E4</f>
        <v>13.991568750000003</v>
      </c>
      <c r="E17" s="2">
        <v>40.641923750000004</v>
      </c>
      <c r="F17" s="2">
        <v>68.915008</v>
      </c>
      <c r="G17" s="2">
        <v>98.009827000000001</v>
      </c>
      <c r="H17" s="2">
        <v>28.273084249999997</v>
      </c>
      <c r="I17" s="2">
        <v>29.094819000000001</v>
      </c>
      <c r="J17" s="2">
        <f t="shared" ref="J17:J23" si="1">G17-F17</f>
        <v>29.094819000000001</v>
      </c>
      <c r="K17" s="2">
        <v>22.777021749999989</v>
      </c>
      <c r="L17" s="2">
        <v>120.78684874999999</v>
      </c>
      <c r="M17" s="2">
        <v>150.17240749999999</v>
      </c>
      <c r="N17" s="2">
        <v>178.14598624999999</v>
      </c>
      <c r="O17" s="2">
        <v>29.385558750000001</v>
      </c>
      <c r="P17" s="2">
        <v>27.973578750000001</v>
      </c>
      <c r="Q17" s="2">
        <f t="shared" ref="Q17:Q23" si="2">H4-N17</f>
        <v>52.820418750000016</v>
      </c>
      <c r="R17" s="2">
        <f t="shared" ref="R17:R23" si="3">L17-I4</f>
        <v>57.056358749999987</v>
      </c>
    </row>
    <row r="18" spans="4:18">
      <c r="D18" s="2">
        <f t="shared" si="0"/>
        <v>0.12231975000000261</v>
      </c>
      <c r="E18" s="2">
        <v>110.71810375</v>
      </c>
      <c r="F18" s="2">
        <v>138.882994</v>
      </c>
      <c r="G18" s="2">
        <v>167.53432650000002</v>
      </c>
      <c r="H18" s="2">
        <v>28.164890249999999</v>
      </c>
      <c r="I18" s="2">
        <v>28.651332500000024</v>
      </c>
      <c r="J18" s="2">
        <f t="shared" si="1"/>
        <v>28.651332500000024</v>
      </c>
      <c r="K18" s="2">
        <v>8.3267062499999724</v>
      </c>
      <c r="L18" s="2">
        <v>175.86103274999999</v>
      </c>
      <c r="M18" s="2">
        <v>219.85048699999999</v>
      </c>
      <c r="N18" s="2">
        <v>245.93931649999999</v>
      </c>
      <c r="O18" s="2">
        <v>43.989454249999994</v>
      </c>
      <c r="P18" s="2">
        <v>26.088829500000003</v>
      </c>
      <c r="Q18" s="2">
        <f t="shared" si="2"/>
        <v>33.994678499999992</v>
      </c>
      <c r="R18" s="2">
        <f t="shared" si="3"/>
        <v>87.696552749999995</v>
      </c>
    </row>
    <row r="19" spans="4:18">
      <c r="D19" s="2">
        <f t="shared" si="0"/>
        <v>42.132226250000002</v>
      </c>
      <c r="E19" s="2">
        <v>111.48871825000001</v>
      </c>
      <c r="F19" s="2">
        <v>150.08245549999998</v>
      </c>
      <c r="G19" s="2">
        <v>155.14329025000001</v>
      </c>
      <c r="H19" s="2">
        <v>38.593737249999975</v>
      </c>
      <c r="I19" s="2">
        <v>5.0608347500000264</v>
      </c>
      <c r="J19" s="2">
        <f t="shared" si="1"/>
        <v>5.0608347500000264</v>
      </c>
      <c r="K19" s="2">
        <v>0</v>
      </c>
      <c r="L19" s="2">
        <v>129.34483549999999</v>
      </c>
      <c r="M19" s="2">
        <v>150.679239</v>
      </c>
      <c r="N19" s="2">
        <v>205.09520549999999</v>
      </c>
      <c r="O19" s="2">
        <v>21.334403500000008</v>
      </c>
      <c r="P19" s="2">
        <v>54.415966499999996</v>
      </c>
      <c r="Q19" s="2">
        <f t="shared" si="2"/>
        <v>124.11596549999999</v>
      </c>
      <c r="R19" s="2">
        <f t="shared" si="3"/>
        <v>96.295745499999981</v>
      </c>
    </row>
    <row r="20" spans="4:18">
      <c r="D20" s="2">
        <f t="shared" si="0"/>
        <v>4.8971557500000102</v>
      </c>
      <c r="E20" s="2">
        <v>76.209955750000006</v>
      </c>
      <c r="F20" s="2">
        <v>79.090298500000003</v>
      </c>
      <c r="G20" s="2">
        <v>83.376698500000003</v>
      </c>
      <c r="H20" s="2">
        <v>2.880342749999997</v>
      </c>
      <c r="I20" s="2">
        <v>4.2864000000000004</v>
      </c>
      <c r="J20" s="2">
        <f t="shared" si="1"/>
        <v>4.2864000000000004</v>
      </c>
      <c r="K20" s="2">
        <v>0.37080049999998721</v>
      </c>
      <c r="L20" s="2">
        <v>83.747498999999991</v>
      </c>
      <c r="M20" s="2">
        <v>176.620901</v>
      </c>
      <c r="N20" s="2">
        <v>284.37201975000005</v>
      </c>
      <c r="O20" s="2">
        <v>92.873402000000013</v>
      </c>
      <c r="P20" s="2">
        <v>107.75111875000005</v>
      </c>
      <c r="Q20" s="2">
        <f t="shared" si="2"/>
        <v>62.46992924999995</v>
      </c>
      <c r="R20" s="2">
        <f t="shared" si="3"/>
        <v>17.836778999999993</v>
      </c>
    </row>
    <row r="21" spans="4:18">
      <c r="D21" s="2">
        <f t="shared" si="0"/>
        <v>0.75917550000001199</v>
      </c>
      <c r="E21" s="2">
        <v>88.773905500000012</v>
      </c>
      <c r="F21" s="2">
        <v>121.61784500000002</v>
      </c>
      <c r="G21" s="2">
        <v>183.80214325000003</v>
      </c>
      <c r="H21" s="2">
        <v>32.843939500000005</v>
      </c>
      <c r="I21" s="2">
        <v>62.184298250000012</v>
      </c>
      <c r="J21" s="2">
        <f t="shared" si="1"/>
        <v>62.184298250000012</v>
      </c>
      <c r="K21" s="2">
        <v>24.421297749999951</v>
      </c>
      <c r="L21" s="2">
        <v>208.22344099999998</v>
      </c>
      <c r="M21" s="2">
        <v>265.94186500000001</v>
      </c>
      <c r="N21" s="2">
        <v>330.74626825000001</v>
      </c>
      <c r="O21" s="2">
        <v>57.718424000000027</v>
      </c>
      <c r="P21" s="2">
        <v>64.804403250000007</v>
      </c>
      <c r="Q21" s="2">
        <f t="shared" si="2"/>
        <v>105.44441474999996</v>
      </c>
      <c r="R21" s="2">
        <f t="shared" si="3"/>
        <v>84.186476999999982</v>
      </c>
    </row>
    <row r="22" spans="4:18">
      <c r="D22" s="2">
        <f t="shared" si="0"/>
        <v>40.028032500000009</v>
      </c>
      <c r="E22" s="2">
        <v>158.37812450000001</v>
      </c>
      <c r="F22" s="2">
        <v>171.90609949999998</v>
      </c>
      <c r="G22" s="2">
        <v>183.80269774999999</v>
      </c>
      <c r="H22" s="2">
        <v>13.527974999999969</v>
      </c>
      <c r="I22" s="2">
        <v>11.896598250000011</v>
      </c>
      <c r="J22" s="2">
        <f t="shared" si="1"/>
        <v>11.896598250000011</v>
      </c>
      <c r="K22" s="2">
        <v>183.84191050000004</v>
      </c>
      <c r="L22" s="2">
        <v>367.64460825000003</v>
      </c>
      <c r="M22" s="2">
        <v>446.18185149999999</v>
      </c>
      <c r="N22" s="2">
        <v>474.27013599999998</v>
      </c>
      <c r="O22" s="2">
        <v>78.53724324999996</v>
      </c>
      <c r="P22" s="2">
        <v>28.088284499999986</v>
      </c>
      <c r="Q22" s="2">
        <f t="shared" si="2"/>
        <v>12.370332000000019</v>
      </c>
      <c r="R22" s="2">
        <f t="shared" si="3"/>
        <v>163.71720825000003</v>
      </c>
    </row>
    <row r="23" spans="4:18">
      <c r="D23" s="2">
        <f t="shared" si="0"/>
        <v>1.9530824999999936</v>
      </c>
      <c r="E23" s="2">
        <v>96.963347499999998</v>
      </c>
      <c r="F23" s="2">
        <v>118.5404585</v>
      </c>
      <c r="G23" s="2">
        <v>169.01104650000002</v>
      </c>
      <c r="H23" s="2">
        <v>21.577111000000002</v>
      </c>
      <c r="I23" s="2">
        <v>50.470588000000021</v>
      </c>
      <c r="J23" s="2">
        <f t="shared" si="1"/>
        <v>50.470588000000021</v>
      </c>
      <c r="K23" s="2">
        <v>0</v>
      </c>
      <c r="L23" s="2">
        <v>167.21398549999998</v>
      </c>
      <c r="M23" s="2">
        <v>226.7225545</v>
      </c>
      <c r="N23" s="2">
        <v>297.37697049999997</v>
      </c>
      <c r="O23" s="2">
        <v>59.508569000000023</v>
      </c>
      <c r="P23" s="2">
        <v>70.654415999999969</v>
      </c>
      <c r="Q23" s="2">
        <f t="shared" si="2"/>
        <v>38.459266500000012</v>
      </c>
      <c r="R23" s="2">
        <f t="shared" si="3"/>
        <v>5.0217254999999739</v>
      </c>
    </row>
    <row r="24" spans="4:18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8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4:18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4:18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4:18">
      <c r="E28" s="2" t="s">
        <v>106</v>
      </c>
      <c r="F28" s="2"/>
      <c r="G28" s="2"/>
      <c r="H28" s="2" t="s">
        <v>108</v>
      </c>
      <c r="I28" s="2" t="s">
        <v>72</v>
      </c>
      <c r="J28" s="2" t="s">
        <v>66</v>
      </c>
      <c r="K28" s="2" t="s">
        <v>63</v>
      </c>
      <c r="L28" s="2" t="s">
        <v>72</v>
      </c>
      <c r="M28" s="2" t="s">
        <v>66</v>
      </c>
      <c r="N28" s="2"/>
      <c r="O28" s="2"/>
      <c r="P28" s="2"/>
    </row>
    <row r="29" spans="4:18">
      <c r="E29" s="2" t="s">
        <v>108</v>
      </c>
      <c r="F29" s="2" t="s">
        <v>73</v>
      </c>
      <c r="G29" s="2"/>
      <c r="H29" s="2">
        <v>32.745553749999999</v>
      </c>
      <c r="I29" s="2">
        <v>56.2594645</v>
      </c>
      <c r="J29" s="2">
        <v>76.871511499999997</v>
      </c>
      <c r="K29" s="2">
        <v>75.130383500000008</v>
      </c>
      <c r="L29" s="2">
        <v>100.329251</v>
      </c>
      <c r="M29" s="2">
        <v>119.00226450000001</v>
      </c>
      <c r="N29" s="2"/>
      <c r="O29" s="2"/>
      <c r="P29" s="2"/>
    </row>
    <row r="30" spans="4:18">
      <c r="E30" s="2">
        <v>32.745553749999999</v>
      </c>
      <c r="F30" s="2"/>
      <c r="G30" s="2"/>
      <c r="H30" s="2">
        <v>40.641923750000004</v>
      </c>
      <c r="I30" s="2">
        <v>68.915008</v>
      </c>
      <c r="J30" s="2">
        <v>98.009827000000001</v>
      </c>
      <c r="K30" s="2">
        <v>120.78684874999999</v>
      </c>
      <c r="L30" s="2">
        <v>150.17240749999999</v>
      </c>
      <c r="M30" s="2">
        <v>178.14598624999999</v>
      </c>
      <c r="N30" s="2"/>
      <c r="O30" s="2"/>
      <c r="P30" s="2"/>
    </row>
    <row r="31" spans="4:18">
      <c r="E31" s="2">
        <v>40.641923750000004</v>
      </c>
      <c r="F31" s="2"/>
      <c r="G31" s="2"/>
      <c r="H31" s="2">
        <v>110.71810375</v>
      </c>
      <c r="I31" s="2">
        <v>138.882994</v>
      </c>
      <c r="J31" s="2">
        <v>167.53432650000002</v>
      </c>
      <c r="K31" s="2">
        <v>175.86103274999999</v>
      </c>
      <c r="L31" s="2">
        <v>219.85048699999999</v>
      </c>
      <c r="M31" s="2">
        <v>245.93931649999999</v>
      </c>
      <c r="N31" s="2"/>
      <c r="O31" s="2"/>
      <c r="P31" s="2"/>
    </row>
    <row r="32" spans="4:18">
      <c r="E32" s="2">
        <v>110.71810375</v>
      </c>
      <c r="F32" s="2"/>
      <c r="G32" s="2"/>
      <c r="H32" s="2">
        <v>111.48871825000001</v>
      </c>
      <c r="I32" s="2">
        <v>150.08245549999998</v>
      </c>
      <c r="J32" s="2">
        <v>155.14329025000001</v>
      </c>
      <c r="K32" s="2">
        <v>129.34483549999999</v>
      </c>
      <c r="L32" s="2">
        <v>150.679239</v>
      </c>
      <c r="M32" s="2">
        <v>205.09520549999999</v>
      </c>
      <c r="N32" s="2"/>
      <c r="O32" s="2"/>
      <c r="P32" s="2"/>
    </row>
    <row r="33" spans="5:16">
      <c r="E33" s="2">
        <v>111.48871825000001</v>
      </c>
      <c r="F33" s="2"/>
      <c r="G33" s="2"/>
      <c r="H33" s="2">
        <v>76.209955750000006</v>
      </c>
      <c r="I33" s="2">
        <v>79.090298500000003</v>
      </c>
      <c r="J33" s="2">
        <v>83.376698500000003</v>
      </c>
      <c r="K33" s="2">
        <v>83.747498999999991</v>
      </c>
      <c r="L33" s="2">
        <v>176.620901</v>
      </c>
      <c r="M33" s="2">
        <v>284.37201975000005</v>
      </c>
      <c r="N33" s="2"/>
      <c r="O33" s="2"/>
      <c r="P33" s="2"/>
    </row>
    <row r="34" spans="5:16">
      <c r="E34" s="2">
        <v>76.209955750000006</v>
      </c>
      <c r="F34" s="2"/>
      <c r="G34" s="2"/>
      <c r="H34" s="2">
        <v>88.773905500000012</v>
      </c>
      <c r="I34" s="2">
        <v>121.61784500000002</v>
      </c>
      <c r="J34" s="2">
        <v>183.80214325000003</v>
      </c>
      <c r="K34" s="2">
        <v>208.22344099999998</v>
      </c>
      <c r="L34" s="2">
        <v>265.94186500000001</v>
      </c>
      <c r="M34" s="2">
        <v>330.74626825000001</v>
      </c>
      <c r="N34" s="2"/>
      <c r="O34" s="2"/>
      <c r="P34" s="2"/>
    </row>
    <row r="35" spans="5:16">
      <c r="E35" s="2">
        <v>88.773905500000012</v>
      </c>
      <c r="F35" s="2"/>
      <c r="G35" s="2"/>
      <c r="H35" s="2">
        <v>158.37812450000001</v>
      </c>
      <c r="I35" s="2">
        <v>171.90609949999998</v>
      </c>
      <c r="J35" s="2">
        <v>183.80269774999999</v>
      </c>
      <c r="K35" s="2">
        <v>367.64460825000003</v>
      </c>
      <c r="L35" s="2">
        <v>446.18185149999999</v>
      </c>
      <c r="M35" s="2">
        <v>474.27013599999998</v>
      </c>
      <c r="N35" s="2"/>
      <c r="O35" s="2"/>
      <c r="P35" s="2"/>
    </row>
    <row r="36" spans="5:16">
      <c r="E36" s="2">
        <v>158.37812450000001</v>
      </c>
      <c r="F36" s="2"/>
      <c r="G36" s="2"/>
      <c r="H36" s="2">
        <v>96.963347499999998</v>
      </c>
      <c r="I36" s="2">
        <v>118.5404585</v>
      </c>
      <c r="J36" s="2">
        <v>169.01104650000002</v>
      </c>
      <c r="K36" s="2">
        <v>167.21398549999998</v>
      </c>
      <c r="L36" s="2">
        <v>226.7225545</v>
      </c>
      <c r="M36" s="2">
        <v>297.37697049999997</v>
      </c>
      <c r="N36" s="2"/>
      <c r="O36" s="2"/>
      <c r="P36" s="2"/>
    </row>
    <row r="37" spans="5:16">
      <c r="E37" s="2">
        <v>96.963347499999998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Sato, Kento</cp:lastModifiedBy>
  <dcterms:created xsi:type="dcterms:W3CDTF">2014-11-01T06:57:20Z</dcterms:created>
  <dcterms:modified xsi:type="dcterms:W3CDTF">2014-11-04T10:48:05Z</dcterms:modified>
</cp:coreProperties>
</file>