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CCB4DBCC_73E8_4594_91F4_98805FE91AA9_.wvu.FilterData">Data!$B$1:$E$2590</definedName>
    <definedName hidden="1" localSheetId="2" name="Z_D1335182_5A62_4F77_9AC6_26EF4592DA0A_.wvu.FilterData">Data!$B$1:$E$2</definedName>
  </definedNames>
  <calcPr/>
  <customWorkbookViews>
    <customWorkbookView activeSheetId="0" maximized="1" windowHeight="0" windowWidth="0" guid="{CCB4DBCC-73E8-4594-91F4-98805FE91AA9}" name="Filter 2"/>
    <customWorkbookView activeSheetId="0" maximized="1" windowHeight="0" windowWidth="0" guid="{D1335182-5A62-4F77-9AC6-26EF4592DA0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- Wine Method ABV: (OG-FG)/7.36 x 1000
</t>
      </text>
    </comment>
  </commentList>
</comments>
</file>

<file path=xl/sharedStrings.xml><?xml version="1.0" encoding="utf-8"?>
<sst xmlns="http://schemas.openxmlformats.org/spreadsheetml/2006/main" count="5215" uniqueCount="34">
  <si>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</si>
  <si>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</si>
  <si>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</si>
  <si>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</si>
  <si>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</si>
  <si>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</si>
  <si>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</si>
  <si>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</si>
  <si>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</si>
  <si>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</si>
  <si>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</si>
  <si>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</si>
  <si>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</si>
  <si>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</si>
  <si>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</si>
  <si>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</si>
  <si>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</si>
  <si>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</si>
  <si>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</si>
  <si>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</si>
  <si>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</si>
  <si>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</si>
  <si>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</si>
  <si>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</si>
  <si>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</si>
  <si>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BLACK</t>
  </si>
  <si>
    <t>Tap 6 Clone (10/15/2021)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</si>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</sst>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766764234"/>
        <c:axId val="856881844"/>
      </c:lineChart>
      <c:catAx>
        <c:axId val="176676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6881844"/>
      </c:catAx>
      <c:valAx>
        <c:axId val="856881844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6764234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494632363"/>
        <c:axId val="55543722"/>
      </c:lineChart>
      <c:catAx>
        <c:axId val="14946323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543722"/>
      </c:catAx>
      <c:valAx>
        <c:axId val="5554372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4632363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44484.70331</v>
      </c>
      <c r="C2" s="9">
        <f>IFERROR(__xludf.DUMMYFUNCTION("""COMPUTED_VALUE"""),44511.8045134143)</f>
        <v>44511.80451</v>
      </c>
      <c r="D2" s="10">
        <f>IFERROR(__xludf.DUMMYFUNCTION("""COMPUTED_VALUE"""),1.013)</f>
        <v>1.013</v>
      </c>
      <c r="E2" s="11">
        <f>IFERROR(__xludf.DUMMYFUNCTION("""COMPUTED_VALUE"""),65.0)</f>
        <v>65</v>
      </c>
      <c r="F2" s="12" t="str">
        <f>IFERROR(__xludf.DUMMYFUNCTION("""COMPUTED_VALUE"""),"BLACK")</f>
        <v>BLACK</v>
      </c>
      <c r="G2" t="str">
        <f>IFERROR(__xludf.DUMMYFUNCTION("""COMPUTED_VALUE"""),"Tap 6 Clone (10/15/2021)")</f>
        <v>Tap 6 Clone (10/15/2021)</v>
      </c>
    </row>
    <row r="3" ht="1.5" customHeight="1">
      <c r="A3" s="13" t="s">
        <v>2</v>
      </c>
      <c r="B3" s="14">
        <f>max(Data!B:B)</f>
        <v>44511.80451</v>
      </c>
      <c r="C3" s="9">
        <f>IFERROR(__xludf.DUMMYFUNCTION("""COMPUTED_VALUE"""),44511.7940939351)</f>
        <v>44511.79409</v>
      </c>
      <c r="D3" s="15">
        <f>IFERROR(__xludf.DUMMYFUNCTION("""COMPUTED_VALUE"""),1.014)</f>
        <v>1.014</v>
      </c>
      <c r="E3" s="16">
        <f>IFERROR(__xludf.DUMMYFUNCTION("""COMPUTED_VALUE"""),65.0)</f>
        <v>65</v>
      </c>
      <c r="F3" s="12" t="str">
        <f>IFERROR(__xludf.DUMMYFUNCTION("""COMPUTED_VALUE"""),"BLACK")</f>
        <v>BLACK</v>
      </c>
      <c r="G3" t="str">
        <f>IFERROR(__xludf.DUMMYFUNCTION("""COMPUTED_VALUE"""),"Tap 6 Clone (10/15/2021)")</f>
        <v>Tap 6 Clone (10/15/2021)</v>
      </c>
    </row>
    <row r="4">
      <c r="A4" s="17" t="s">
        <v>3</v>
      </c>
      <c r="B4" s="18" t="s">
        <v>4</v>
      </c>
      <c r="C4" s="9">
        <f>IFERROR(__xludf.DUMMYFUNCTION("""COMPUTED_VALUE"""),44511.7836729976)</f>
        <v>44511.78367</v>
      </c>
      <c r="D4" s="15">
        <f>IFERROR(__xludf.DUMMYFUNCTION("""COMPUTED_VALUE"""),1.013)</f>
        <v>1.013</v>
      </c>
      <c r="E4" s="16">
        <f>IFERROR(__xludf.DUMMYFUNCTION("""COMPUTED_VALUE"""),65.0)</f>
        <v>65</v>
      </c>
      <c r="F4" s="19" t="str">
        <f>IFERROR(__xludf.DUMMYFUNCTION("""COMPUTED_VALUE"""),"BLACK")</f>
        <v>BLACK</v>
      </c>
      <c r="G4" s="20" t="str">
        <f>IFERROR(__xludf.DUMMYFUNCTION("""COMPUTED_VALUE"""),"Tap 6 Clone (10/15/2021)")</f>
        <v>Tap 6 Clone (10/15/2021)</v>
      </c>
      <c r="H4" s="19"/>
    </row>
    <row r="5">
      <c r="A5" s="17" t="s">
        <v>5</v>
      </c>
      <c r="B5" s="18" t="s">
        <v>6</v>
      </c>
      <c r="C5" s="9">
        <f>IFERROR(__xludf.DUMMYFUNCTION("""COMPUTED_VALUE"""),44511.7732519791)</f>
        <v>44511.77325</v>
      </c>
      <c r="D5" s="15">
        <f>IFERROR(__xludf.DUMMYFUNCTION("""COMPUTED_VALUE"""),1.013)</f>
        <v>1.013</v>
      </c>
      <c r="E5" s="16">
        <f>IFERROR(__xludf.DUMMYFUNCTION("""COMPUTED_VALUE"""),65.0)</f>
        <v>65</v>
      </c>
      <c r="F5" s="19" t="str">
        <f>IFERROR(__xludf.DUMMYFUNCTION("""COMPUTED_VALUE"""),"BLACK")</f>
        <v>BLACK</v>
      </c>
      <c r="G5" s="20" t="str">
        <f>IFERROR(__xludf.DUMMYFUNCTION("""COMPUTED_VALUE"""),"Tap 6 Clone (10/15/2021)")</f>
        <v>Tap 6 Clone (10/15/2021)</v>
      </c>
      <c r="H5" s="19"/>
    </row>
    <row r="6">
      <c r="A6" s="21" t="s">
        <v>7</v>
      </c>
      <c r="B6" s="22" t="s">
        <v>8</v>
      </c>
      <c r="C6" s="9">
        <f>IFERROR(__xludf.DUMMYFUNCTION("""COMPUTED_VALUE"""),44511.7628320023)</f>
        <v>44511.76283</v>
      </c>
      <c r="D6" s="15">
        <f>IFERROR(__xludf.DUMMYFUNCTION("""COMPUTED_VALUE"""),1.013)</f>
        <v>1.013</v>
      </c>
      <c r="E6" s="16">
        <f>IFERROR(__xludf.DUMMYFUNCTION("""COMPUTED_VALUE"""),65.0)</f>
        <v>65</v>
      </c>
      <c r="F6" s="19" t="str">
        <f>IFERROR(__xludf.DUMMYFUNCTION("""COMPUTED_VALUE"""),"BLACK")</f>
        <v>BLACK</v>
      </c>
      <c r="G6" s="20" t="str">
        <f>IFERROR(__xludf.DUMMYFUNCTION("""COMPUTED_VALUE"""),"Tap 6 Clone (10/15/2021)")</f>
        <v>Tap 6 Clone (10/15/2021)</v>
      </c>
      <c r="H6" s="19"/>
    </row>
    <row r="7">
      <c r="A7" s="23" t="str">
        <f>D1</f>
        <v>SG</v>
      </c>
      <c r="B7" s="24"/>
      <c r="C7" s="9">
        <f>IFERROR(__xludf.DUMMYFUNCTION("""COMPUTED_VALUE"""),44511.7524114699)</f>
        <v>44511.75241</v>
      </c>
      <c r="D7" s="15">
        <f>IFERROR(__xludf.DUMMYFUNCTION("""COMPUTED_VALUE"""),1.013)</f>
        <v>1.013</v>
      </c>
      <c r="E7" s="16">
        <f>IFERROR(__xludf.DUMMYFUNCTION("""COMPUTED_VALUE"""),65.0)</f>
        <v>65</v>
      </c>
      <c r="F7" s="19" t="str">
        <f>IFERROR(__xludf.DUMMYFUNCTION("""COMPUTED_VALUE"""),"BLACK")</f>
        <v>BLACK</v>
      </c>
      <c r="G7" s="20" t="str">
        <f>IFERROR(__xludf.DUMMYFUNCTION("""COMPUTED_VALUE"""),"Tap 6 Clone (10/15/2021)")</f>
        <v>Tap 6 Clone (10/15/2021)</v>
      </c>
      <c r="H7" s="19"/>
    </row>
    <row r="8">
      <c r="A8" s="25" t="s">
        <v>9</v>
      </c>
      <c r="B8" s="26">
        <f>D2</f>
        <v>1.013</v>
      </c>
      <c r="C8" s="9">
        <f>IFERROR(__xludf.DUMMYFUNCTION("""COMPUTED_VALUE"""),44511.7419871527)</f>
        <v>44511.74199</v>
      </c>
      <c r="D8" s="15">
        <f>IFERROR(__xludf.DUMMYFUNCTION("""COMPUTED_VALUE"""),1.013)</f>
        <v>1.013</v>
      </c>
      <c r="E8" s="16">
        <f>IFERROR(__xludf.DUMMYFUNCTION("""COMPUTED_VALUE"""),65.0)</f>
        <v>65</v>
      </c>
      <c r="F8" s="19" t="str">
        <f>IFERROR(__xludf.DUMMYFUNCTION("""COMPUTED_VALUE"""),"BLACK")</f>
        <v>BLACK</v>
      </c>
      <c r="G8" s="20" t="str">
        <f>IFERROR(__xludf.DUMMYFUNCTION("""COMPUTED_VALUE"""),"Tap 6 Clone (10/15/2021)")</f>
        <v>Tap 6 Clone (10/15/2021)</v>
      </c>
      <c r="H8" s="19"/>
    </row>
    <row r="9">
      <c r="A9" s="27" t="s">
        <v>10</v>
      </c>
      <c r="B9" s="26">
        <f>indirect("D"&amp; counta(D:D))</f>
        <v>1.055</v>
      </c>
      <c r="C9" s="9">
        <f>IFERROR(__xludf.DUMMYFUNCTION("""COMPUTED_VALUE"""),44511.7315672569)</f>
        <v>44511.73157</v>
      </c>
      <c r="D9" s="15">
        <f>IFERROR(__xludf.DUMMYFUNCTION("""COMPUTED_VALUE"""),1.012)</f>
        <v>1.012</v>
      </c>
      <c r="E9" s="16">
        <f>IFERROR(__xludf.DUMMYFUNCTION("""COMPUTED_VALUE"""),65.0)</f>
        <v>65</v>
      </c>
      <c r="F9" s="19" t="str">
        <f>IFERROR(__xludf.DUMMYFUNCTION("""COMPUTED_VALUE"""),"BLACK")</f>
        <v>BLACK</v>
      </c>
      <c r="G9" s="20" t="str">
        <f>IFERROR(__xludf.DUMMYFUNCTION("""COMPUTED_VALUE"""),"Tap 6 Clone (10/15/2021)")</f>
        <v>Tap 6 Clone (10/15/2021)</v>
      </c>
      <c r="H9" s="19"/>
    </row>
    <row r="10">
      <c r="A10" s="27" t="s">
        <v>11</v>
      </c>
      <c r="B10" s="26">
        <f>IFERROR(slope(D:D,C:C),"more data needed")</f>
        <v>-0.001434947256</v>
      </c>
      <c r="C10" s="9">
        <f>IFERROR(__xludf.DUMMYFUNCTION("""COMPUTED_VALUE"""),44511.7211344907)</f>
        <v>44511.72113</v>
      </c>
      <c r="D10" s="15">
        <f>IFERROR(__xludf.DUMMYFUNCTION("""COMPUTED_VALUE"""),1.013)</f>
        <v>1.013</v>
      </c>
      <c r="E10" s="16">
        <f>IFERROR(__xludf.DUMMYFUNCTION("""COMPUTED_VALUE"""),65.0)</f>
        <v>65</v>
      </c>
      <c r="F10" s="19" t="str">
        <f>IFERROR(__xludf.DUMMYFUNCTION("""COMPUTED_VALUE"""),"BLACK")</f>
        <v>BLACK</v>
      </c>
      <c r="G10" s="20" t="str">
        <f>IFERROR(__xludf.DUMMYFUNCTION("""COMPUTED_VALUE"""),"Tap 6 Clone (10/15/2021)")</f>
        <v>Tap 6 Clone (10/15/2021)</v>
      </c>
      <c r="H10" s="19"/>
    </row>
    <row r="11">
      <c r="A11" s="25" t="s">
        <v>12</v>
      </c>
      <c r="B11" s="28">
        <f>B3-B2</f>
        <v>27.1012003</v>
      </c>
      <c r="C11" s="9">
        <f>IFERROR(__xludf.DUMMYFUNCTION("""COMPUTED_VALUE"""),44511.7107118981)</f>
        <v>44511.71071</v>
      </c>
      <c r="D11" s="15">
        <f>IFERROR(__xludf.DUMMYFUNCTION("""COMPUTED_VALUE"""),1.013)</f>
        <v>1.013</v>
      </c>
      <c r="E11" s="11">
        <f>IFERROR(__xludf.DUMMYFUNCTION("""COMPUTED_VALUE"""),65.0)</f>
        <v>65</v>
      </c>
      <c r="F11" s="12" t="str">
        <f>IFERROR(__xludf.DUMMYFUNCTION("""COMPUTED_VALUE"""),"BLACK")</f>
        <v>BLACK</v>
      </c>
      <c r="G11" s="29" t="str">
        <f>IFERROR(__xludf.DUMMYFUNCTION("""COMPUTED_VALUE"""),"Tap 6 Clone (10/15/2021)")</f>
        <v>Tap 6 Clone (10/15/2021)</v>
      </c>
      <c r="H11" s="12"/>
    </row>
    <row r="12">
      <c r="A12" s="25" t="s">
        <v>13</v>
      </c>
      <c r="B12" s="26">
        <f>max(D:D)</f>
        <v>1.055</v>
      </c>
      <c r="C12" s="9">
        <f>IFERROR(__xludf.DUMMYFUNCTION("""COMPUTED_VALUE"""),44511.7002805439)</f>
        <v>44511.70028</v>
      </c>
      <c r="D12" s="15">
        <f>IFERROR(__xludf.DUMMYFUNCTION("""COMPUTED_VALUE"""),1.013)</f>
        <v>1.013</v>
      </c>
      <c r="E12" s="11">
        <f>IFERROR(__xludf.DUMMYFUNCTION("""COMPUTED_VALUE"""),65.0)</f>
        <v>65</v>
      </c>
      <c r="F12" s="19" t="str">
        <f>IFERROR(__xludf.DUMMYFUNCTION("""COMPUTED_VALUE"""),"BLACK")</f>
        <v>BLACK</v>
      </c>
      <c r="G12" s="20" t="str">
        <f>IFERROR(__xludf.DUMMYFUNCTION("""COMPUTED_VALUE"""),"Tap 6 Clone (10/15/2021)")</f>
        <v>Tap 6 Clone (10/15/2021)</v>
      </c>
      <c r="H12" s="19"/>
    </row>
    <row r="13">
      <c r="A13" s="30" t="s">
        <v>14</v>
      </c>
      <c r="B13" s="31">
        <f>min(D:D)</f>
        <v>1.012</v>
      </c>
      <c r="C13" s="9">
        <f>IFERROR(__xludf.DUMMYFUNCTION("""COMPUTED_VALUE"""),44511.6898595717)</f>
        <v>44511.68986</v>
      </c>
      <c r="D13" s="15">
        <f>IFERROR(__xludf.DUMMYFUNCTION("""COMPUTED_VALUE"""),1.013)</f>
        <v>1.013</v>
      </c>
      <c r="E13" s="11">
        <f>IFERROR(__xludf.DUMMYFUNCTION("""COMPUTED_VALUE"""),65.0)</f>
        <v>65</v>
      </c>
      <c r="F13" s="19" t="str">
        <f>IFERROR(__xludf.DUMMYFUNCTION("""COMPUTED_VALUE"""),"BLACK")</f>
        <v>BLACK</v>
      </c>
      <c r="G13" s="20" t="str">
        <f>IFERROR(__xludf.DUMMYFUNCTION("""COMPUTED_VALUE"""),"Tap 6 Clone (10/15/2021)")</f>
        <v>Tap 6 Clone (10/15/2021)</v>
      </c>
      <c r="H13" s="19"/>
    </row>
    <row r="14">
      <c r="A14" s="32" t="str">
        <f>E1</f>
        <v>Temp (°F)</v>
      </c>
      <c r="B14" s="24"/>
      <c r="C14" s="9">
        <f>IFERROR(__xludf.DUMMYFUNCTION("""COMPUTED_VALUE"""),44511.67944103)</f>
        <v>44511.67944</v>
      </c>
      <c r="D14" s="15">
        <f>IFERROR(__xludf.DUMMYFUNCTION("""COMPUTED_VALUE"""),1.013)</f>
        <v>1.013</v>
      </c>
      <c r="E14" s="16">
        <f>IFERROR(__xludf.DUMMYFUNCTION("""COMPUTED_VALUE"""),65.0)</f>
        <v>65</v>
      </c>
      <c r="F14" s="19" t="str">
        <f>IFERROR(__xludf.DUMMYFUNCTION("""COMPUTED_VALUE"""),"BLACK")</f>
        <v>BLACK</v>
      </c>
      <c r="G14" s="20" t="str">
        <f>IFERROR(__xludf.DUMMYFUNCTION("""COMPUTED_VALUE"""),"Tap 6 Clone (10/15/2021)")</f>
        <v>Tap 6 Clone (10/15/2021)</v>
      </c>
      <c r="H14" s="19"/>
    </row>
    <row r="15">
      <c r="A15" s="33" t="s">
        <v>9</v>
      </c>
      <c r="B15" s="34">
        <f>E2</f>
        <v>65</v>
      </c>
      <c r="C15" s="9">
        <f>IFERROR(__xludf.DUMMYFUNCTION("""COMPUTED_VALUE"""),44511.6690203703)</f>
        <v>44511.66902</v>
      </c>
      <c r="D15" s="15">
        <f>IFERROR(__xludf.DUMMYFUNCTION("""COMPUTED_VALUE"""),1.013)</f>
        <v>1.013</v>
      </c>
      <c r="E15" s="16">
        <f>IFERROR(__xludf.DUMMYFUNCTION("""COMPUTED_VALUE"""),65.0)</f>
        <v>65</v>
      </c>
      <c r="F15" s="19" t="str">
        <f>IFERROR(__xludf.DUMMYFUNCTION("""COMPUTED_VALUE"""),"BLACK")</f>
        <v>BLACK</v>
      </c>
      <c r="G15" s="20" t="str">
        <f>IFERROR(__xludf.DUMMYFUNCTION("""COMPUTED_VALUE"""),"Tap 6 Clone (10/15/2021)")</f>
        <v>Tap 6 Clone (10/15/2021)</v>
      </c>
      <c r="H15" s="19"/>
    </row>
    <row r="16">
      <c r="A16" s="25" t="s">
        <v>15</v>
      </c>
      <c r="B16" s="35">
        <f>average(E:E)</f>
        <v>64.1568173</v>
      </c>
      <c r="C16" s="9">
        <f>IFERROR(__xludf.DUMMYFUNCTION("""COMPUTED_VALUE"""),44511.6585983217)</f>
        <v>44511.6586</v>
      </c>
      <c r="D16" s="15">
        <f>IFERROR(__xludf.DUMMYFUNCTION("""COMPUTED_VALUE"""),1.012)</f>
        <v>1.012</v>
      </c>
      <c r="E16" s="16">
        <f>IFERROR(__xludf.DUMMYFUNCTION("""COMPUTED_VALUE"""),65.0)</f>
        <v>65</v>
      </c>
      <c r="F16" s="19" t="str">
        <f>IFERROR(__xludf.DUMMYFUNCTION("""COMPUTED_VALUE"""),"BLACK")</f>
        <v>BLACK</v>
      </c>
      <c r="G16" s="20" t="str">
        <f>IFERROR(__xludf.DUMMYFUNCTION("""COMPUTED_VALUE"""),"Tap 6 Clone (10/15/2021)")</f>
        <v>Tap 6 Clone (10/15/2021)</v>
      </c>
      <c r="H16" s="19"/>
    </row>
    <row r="17">
      <c r="A17" s="25" t="s">
        <v>12</v>
      </c>
      <c r="B17" s="28">
        <f>B3-B2</f>
        <v>27.1012003</v>
      </c>
      <c r="C17" s="9">
        <f>IFERROR(__xludf.DUMMYFUNCTION("""COMPUTED_VALUE"""),44511.6481652546)</f>
        <v>44511.64817</v>
      </c>
      <c r="D17" s="15">
        <f>IFERROR(__xludf.DUMMYFUNCTION("""COMPUTED_VALUE"""),1.012)</f>
        <v>1.012</v>
      </c>
      <c r="E17" s="16">
        <f>IFERROR(__xludf.DUMMYFUNCTION("""COMPUTED_VALUE"""),65.0)</f>
        <v>65</v>
      </c>
      <c r="F17" s="19" t="str">
        <f>IFERROR(__xludf.DUMMYFUNCTION("""COMPUTED_VALUE"""),"BLACK")</f>
        <v>BLACK</v>
      </c>
      <c r="G17" s="20" t="str">
        <f>IFERROR(__xludf.DUMMYFUNCTION("""COMPUTED_VALUE"""),"Tap 6 Clone (10/15/2021)")</f>
        <v>Tap 6 Clone (10/15/2021)</v>
      </c>
      <c r="H17" s="19"/>
    </row>
    <row r="18">
      <c r="A18" s="25" t="s">
        <v>13</v>
      </c>
      <c r="B18" s="35">
        <f>max(E:E)</f>
        <v>70</v>
      </c>
      <c r="C18" s="36">
        <f>IFERROR(__xludf.DUMMYFUNCTION("""COMPUTED_VALUE"""),44511.637721331)</f>
        <v>44511.63772</v>
      </c>
      <c r="D18" s="15">
        <f>IFERROR(__xludf.DUMMYFUNCTION("""COMPUTED_VALUE"""),1.013)</f>
        <v>1.013</v>
      </c>
      <c r="E18" s="16">
        <f>IFERROR(__xludf.DUMMYFUNCTION("""COMPUTED_VALUE"""),65.0)</f>
        <v>65</v>
      </c>
      <c r="F18" s="19" t="str">
        <f>IFERROR(__xludf.DUMMYFUNCTION("""COMPUTED_VALUE"""),"BLACK")</f>
        <v>BLACK</v>
      </c>
      <c r="G18" s="20" t="str">
        <f>IFERROR(__xludf.DUMMYFUNCTION("""COMPUTED_VALUE"""),"Tap 6 Clone (10/15/2021)")</f>
        <v>Tap 6 Clone (10/15/2021)</v>
      </c>
      <c r="H18" s="19"/>
    </row>
    <row r="19">
      <c r="A19" s="30" t="s">
        <v>14</v>
      </c>
      <c r="B19" s="37">
        <f>min(E:E)</f>
        <v>61</v>
      </c>
      <c r="C19" s="9">
        <f>IFERROR(__xludf.DUMMYFUNCTION("""COMPUTED_VALUE"""),44511.6272994791)</f>
        <v>44511.6273</v>
      </c>
      <c r="D19" s="15">
        <f>IFERROR(__xludf.DUMMYFUNCTION("""COMPUTED_VALUE"""),1.013)</f>
        <v>1.013</v>
      </c>
      <c r="E19" s="16">
        <f>IFERROR(__xludf.DUMMYFUNCTION("""COMPUTED_VALUE"""),65.0)</f>
        <v>65</v>
      </c>
      <c r="F19" s="19" t="str">
        <f>IFERROR(__xludf.DUMMYFUNCTION("""COMPUTED_VALUE"""),"BLACK")</f>
        <v>BLACK</v>
      </c>
      <c r="G19" s="20" t="str">
        <f>IFERROR(__xludf.DUMMYFUNCTION("""COMPUTED_VALUE"""),"Tap 6 Clone (10/15/2021)")</f>
        <v>Tap 6 Clone (10/15/2021)</v>
      </c>
      <c r="H19" s="19"/>
    </row>
    <row r="20">
      <c r="A20" s="38" t="s">
        <v>16</v>
      </c>
      <c r="B20" s="39"/>
      <c r="C20" s="9">
        <f>IFERROR(__xludf.DUMMYFUNCTION("""COMPUTED_VALUE"""),44511.6168769907)</f>
        <v>44511.61688</v>
      </c>
      <c r="D20" s="15">
        <f>IFERROR(__xludf.DUMMYFUNCTION("""COMPUTED_VALUE"""),1.013)</f>
        <v>1.013</v>
      </c>
      <c r="E20" s="16">
        <f>IFERROR(__xludf.DUMMYFUNCTION("""COMPUTED_VALUE"""),65.0)</f>
        <v>65</v>
      </c>
      <c r="F20" s="19" t="str">
        <f>IFERROR(__xludf.DUMMYFUNCTION("""COMPUTED_VALUE"""),"BLACK")</f>
        <v>BLACK</v>
      </c>
      <c r="G20" s="20" t="str">
        <f>IFERROR(__xludf.DUMMYFUNCTION("""COMPUTED_VALUE"""),"Tap 6 Clone (10/15/2021)")</f>
        <v>Tap 6 Clone (10/15/2021)</v>
      </c>
      <c r="H20" s="19"/>
    </row>
    <row r="21">
      <c r="A21" s="40" t="s">
        <v>17</v>
      </c>
      <c r="B21" s="41">
        <f>IF(D1="SG",(B9-B8)/(B9-1),(B9-B8)/(B9))
</f>
        <v>0.7636363636</v>
      </c>
      <c r="C21" s="9">
        <f>IFERROR(__xludf.DUMMYFUNCTION("""COMPUTED_VALUE"""),44511.606445706)</f>
        <v>44511.60645</v>
      </c>
      <c r="D21" s="15">
        <f>IFERROR(__xludf.DUMMYFUNCTION("""COMPUTED_VALUE"""),1.013)</f>
        <v>1.013</v>
      </c>
      <c r="E21" s="16">
        <f>IFERROR(__xludf.DUMMYFUNCTION("""COMPUTED_VALUE"""),65.0)</f>
        <v>65</v>
      </c>
      <c r="F21" s="19" t="str">
        <f>IFERROR(__xludf.DUMMYFUNCTION("""COMPUTED_VALUE"""),"BLACK")</f>
        <v>BLACK</v>
      </c>
      <c r="G21" s="20" t="str">
        <f>IFERROR(__xludf.DUMMYFUNCTION("""COMPUTED_VALUE"""),"Tap 6 Clone (10/15/2021)")</f>
        <v>Tap 6 Clone (10/15/2021)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SG"),A22="Wine Method ABV:",IF(B6="SG",(B9-B8)/7.36*1000/100,"Must use SG"))</f>
        <v>0.055125</v>
      </c>
      <c r="C22" s="9">
        <f>IFERROR(__xludf.DUMMYFUNCTION("""COMPUTED_VALUE"""),44511.5960245717)</f>
        <v>44511.59602</v>
      </c>
      <c r="D22" s="15">
        <f>IFERROR(__xludf.DUMMYFUNCTION("""COMPUTED_VALUE"""),1.013)</f>
        <v>1.013</v>
      </c>
      <c r="E22" s="16">
        <f>IFERROR(__xludf.DUMMYFUNCTION("""COMPUTED_VALUE"""),65.0)</f>
        <v>65</v>
      </c>
      <c r="F22" s="19" t="str">
        <f>IFERROR(__xludf.DUMMYFUNCTION("""COMPUTED_VALUE"""),"BLACK")</f>
        <v>BLACK</v>
      </c>
      <c r="G22" s="20" t="str">
        <f>IFERROR(__xludf.DUMMYFUNCTION("""COMPUTED_VALUE"""),"Tap 6 Clone (10/15/2021)")</f>
        <v>Tap 6 Clone (10/15/2021)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14.31137698</v>
      </c>
      <c r="C23" s="9">
        <f>IFERROR(__xludf.DUMMYFUNCTION("""COMPUTED_VALUE"""),44511.5856045601)</f>
        <v>44511.5856</v>
      </c>
      <c r="D23" s="15">
        <f>IFERROR(__xludf.DUMMYFUNCTION("""COMPUTED_VALUE"""),1.013)</f>
        <v>1.013</v>
      </c>
      <c r="E23" s="16">
        <f>IFERROR(__xludf.DUMMYFUNCTION("""COMPUTED_VALUE"""),65.0)</f>
        <v>65</v>
      </c>
      <c r="F23" s="19" t="str">
        <f>IFERROR(__xludf.DUMMYFUNCTION("""COMPUTED_VALUE"""),"BLACK")</f>
        <v>BLACK</v>
      </c>
      <c r="G23" s="20" t="str">
        <f>IFERROR(__xludf.DUMMYFUNCTION("""COMPUTED_VALUE"""),"Tap 6 Clone (10/15/2021)")</f>
        <v>Tap 6 Clone (10/15/2021)</v>
      </c>
      <c r="H23" s="19"/>
    </row>
    <row r="24">
      <c r="A24" s="9"/>
      <c r="B24" s="15"/>
      <c r="C24" s="9">
        <f>IFERROR(__xludf.DUMMYFUNCTION("""COMPUTED_VALUE"""),44511.5751837037)</f>
        <v>44511.57518</v>
      </c>
      <c r="D24" s="15">
        <f>IFERROR(__xludf.DUMMYFUNCTION("""COMPUTED_VALUE"""),1.013)</f>
        <v>1.013</v>
      </c>
      <c r="E24" s="16">
        <f>IFERROR(__xludf.DUMMYFUNCTION("""COMPUTED_VALUE"""),65.0)</f>
        <v>65</v>
      </c>
      <c r="F24" s="19" t="str">
        <f>IFERROR(__xludf.DUMMYFUNCTION("""COMPUTED_VALUE"""),"BLACK")</f>
        <v>BLACK</v>
      </c>
      <c r="G24" s="20" t="str">
        <f>IFERROR(__xludf.DUMMYFUNCTION("""COMPUTED_VALUE"""),"Tap 6 Clone (10/15/2021)")</f>
        <v>Tap 6 Clone (10/15/2021)</v>
      </c>
      <c r="H24" s="19"/>
    </row>
    <row r="25">
      <c r="A25" s="9"/>
      <c r="B25" s="15"/>
      <c r="C25" s="9">
        <f>IFERROR(__xludf.DUMMYFUNCTION("""COMPUTED_VALUE"""),44511.5647636342)</f>
        <v>44511.56476</v>
      </c>
      <c r="D25" s="15">
        <f>IFERROR(__xludf.DUMMYFUNCTION("""COMPUTED_VALUE"""),1.013)</f>
        <v>1.013</v>
      </c>
      <c r="E25" s="16">
        <f>IFERROR(__xludf.DUMMYFUNCTION("""COMPUTED_VALUE"""),65.0)</f>
        <v>65</v>
      </c>
      <c r="F25" s="19" t="str">
        <f>IFERROR(__xludf.DUMMYFUNCTION("""COMPUTED_VALUE"""),"BLACK")</f>
        <v>BLACK</v>
      </c>
      <c r="G25" s="20" t="str">
        <f>IFERROR(__xludf.DUMMYFUNCTION("""COMPUTED_VALUE"""),"Tap 6 Clone (10/15/2021)")</f>
        <v>Tap 6 Clone (10/15/2021)</v>
      </c>
      <c r="H25" s="19"/>
    </row>
    <row r="26">
      <c r="A26" s="9"/>
      <c r="B26" s="15"/>
      <c r="C26" s="9">
        <f>IFERROR(__xludf.DUMMYFUNCTION("""COMPUTED_VALUE"""),44511.5543434143)</f>
        <v>44511.55434</v>
      </c>
      <c r="D26" s="15">
        <f>IFERROR(__xludf.DUMMYFUNCTION("""COMPUTED_VALUE"""),1.013)</f>
        <v>1.013</v>
      </c>
      <c r="E26" s="16">
        <f>IFERROR(__xludf.DUMMYFUNCTION("""COMPUTED_VALUE"""),65.0)</f>
        <v>65</v>
      </c>
      <c r="F26" s="19" t="str">
        <f>IFERROR(__xludf.DUMMYFUNCTION("""COMPUTED_VALUE"""),"BLACK")</f>
        <v>BLACK</v>
      </c>
      <c r="G26" s="20" t="str">
        <f>IFERROR(__xludf.DUMMYFUNCTION("""COMPUTED_VALUE"""),"Tap 6 Clone (10/15/2021)")</f>
        <v>Tap 6 Clone (10/15/2021)</v>
      </c>
      <c r="H26" s="19"/>
    </row>
    <row r="27">
      <c r="A27" s="9"/>
      <c r="B27" s="15"/>
      <c r="C27" s="9">
        <f>IFERROR(__xludf.DUMMYFUNCTION("""COMPUTED_VALUE"""),44511.5439127314)</f>
        <v>44511.54391</v>
      </c>
      <c r="D27" s="15">
        <f>IFERROR(__xludf.DUMMYFUNCTION("""COMPUTED_VALUE"""),1.013)</f>
        <v>1.013</v>
      </c>
      <c r="E27" s="16">
        <f>IFERROR(__xludf.DUMMYFUNCTION("""COMPUTED_VALUE"""),65.0)</f>
        <v>65</v>
      </c>
      <c r="F27" s="19" t="str">
        <f>IFERROR(__xludf.DUMMYFUNCTION("""COMPUTED_VALUE"""),"BLACK")</f>
        <v>BLACK</v>
      </c>
      <c r="G27" s="20" t="str">
        <f>IFERROR(__xludf.DUMMYFUNCTION("""COMPUTED_VALUE"""),"Tap 6 Clone (10/15/2021)")</f>
        <v>Tap 6 Clone (10/15/2021)</v>
      </c>
      <c r="H27" s="19"/>
    </row>
    <row r="28">
      <c r="A28" s="9"/>
      <c r="B28" s="15"/>
      <c r="C28" s="9">
        <f>IFERROR(__xludf.DUMMYFUNCTION("""COMPUTED_VALUE"""),44511.5334916319)</f>
        <v>44511.53349</v>
      </c>
      <c r="D28" s="15">
        <f>IFERROR(__xludf.DUMMYFUNCTION("""COMPUTED_VALUE"""),1.012)</f>
        <v>1.012</v>
      </c>
      <c r="E28" s="16">
        <f>IFERROR(__xludf.DUMMYFUNCTION("""COMPUTED_VALUE"""),65.0)</f>
        <v>65</v>
      </c>
      <c r="F28" s="19" t="str">
        <f>IFERROR(__xludf.DUMMYFUNCTION("""COMPUTED_VALUE"""),"BLACK")</f>
        <v>BLACK</v>
      </c>
      <c r="G28" s="20" t="str">
        <f>IFERROR(__xludf.DUMMYFUNCTION("""COMPUTED_VALUE"""),"Tap 6 Clone (10/15/2021)")</f>
        <v>Tap 6 Clone (10/15/2021)</v>
      </c>
      <c r="H28" s="19"/>
    </row>
    <row r="29">
      <c r="A29" s="9"/>
      <c r="B29" s="15"/>
      <c r="C29" s="9">
        <f>IFERROR(__xludf.DUMMYFUNCTION("""COMPUTED_VALUE"""),44511.5230695254)</f>
        <v>44511.52307</v>
      </c>
      <c r="D29" s="15">
        <f>IFERROR(__xludf.DUMMYFUNCTION("""COMPUTED_VALUE"""),1.013)</f>
        <v>1.013</v>
      </c>
      <c r="E29" s="16">
        <f>IFERROR(__xludf.DUMMYFUNCTION("""COMPUTED_VALUE"""),65.0)</f>
        <v>65</v>
      </c>
      <c r="F29" s="19" t="str">
        <f>IFERROR(__xludf.DUMMYFUNCTION("""COMPUTED_VALUE"""),"BLACK")</f>
        <v>BLACK</v>
      </c>
      <c r="G29" s="20" t="str">
        <f>IFERROR(__xludf.DUMMYFUNCTION("""COMPUTED_VALUE"""),"Tap 6 Clone (10/15/2021)")</f>
        <v>Tap 6 Clone (10/15/2021)</v>
      </c>
      <c r="H29" s="19"/>
    </row>
    <row r="30">
      <c r="A30" s="9"/>
      <c r="B30" s="15"/>
      <c r="C30" s="9">
        <f>IFERROR(__xludf.DUMMYFUNCTION("""COMPUTED_VALUE"""),44511.5126492129)</f>
        <v>44511.51265</v>
      </c>
      <c r="D30" s="15">
        <f>IFERROR(__xludf.DUMMYFUNCTION("""COMPUTED_VALUE"""),1.013)</f>
        <v>1.013</v>
      </c>
      <c r="E30" s="16">
        <f>IFERROR(__xludf.DUMMYFUNCTION("""COMPUTED_VALUE"""),65.0)</f>
        <v>65</v>
      </c>
      <c r="F30" s="19" t="str">
        <f>IFERROR(__xludf.DUMMYFUNCTION("""COMPUTED_VALUE"""),"BLACK")</f>
        <v>BLACK</v>
      </c>
      <c r="G30" s="20" t="str">
        <f>IFERROR(__xludf.DUMMYFUNCTION("""COMPUTED_VALUE"""),"Tap 6 Clone (10/15/2021)")</f>
        <v>Tap 6 Clone (10/15/2021)</v>
      </c>
      <c r="H30" s="19"/>
    </row>
    <row r="31">
      <c r="A31" s="9"/>
      <c r="B31" s="15"/>
      <c r="C31" s="9">
        <f>IFERROR(__xludf.DUMMYFUNCTION("""COMPUTED_VALUE"""),44511.5022278587)</f>
        <v>44511.50223</v>
      </c>
      <c r="D31" s="15">
        <f>IFERROR(__xludf.DUMMYFUNCTION("""COMPUTED_VALUE"""),1.013)</f>
        <v>1.013</v>
      </c>
      <c r="E31" s="16">
        <f>IFERROR(__xludf.DUMMYFUNCTION("""COMPUTED_VALUE"""),65.0)</f>
        <v>65</v>
      </c>
      <c r="F31" s="19" t="str">
        <f>IFERROR(__xludf.DUMMYFUNCTION("""COMPUTED_VALUE"""),"BLACK")</f>
        <v>BLACK</v>
      </c>
      <c r="G31" s="20" t="str">
        <f>IFERROR(__xludf.DUMMYFUNCTION("""COMPUTED_VALUE"""),"Tap 6 Clone (10/15/2021)")</f>
        <v>Tap 6 Clone (10/15/2021)</v>
      </c>
      <c r="H31" s="19"/>
    </row>
    <row r="32">
      <c r="A32" s="9"/>
      <c r="B32" s="15"/>
      <c r="C32" s="9">
        <f>IFERROR(__xludf.DUMMYFUNCTION("""COMPUTED_VALUE"""),44511.4918062384)</f>
        <v>44511.49181</v>
      </c>
      <c r="D32" s="15">
        <f>IFERROR(__xludf.DUMMYFUNCTION("""COMPUTED_VALUE"""),1.013)</f>
        <v>1.013</v>
      </c>
      <c r="E32" s="16">
        <f>IFERROR(__xludf.DUMMYFUNCTION("""COMPUTED_VALUE"""),65.0)</f>
        <v>65</v>
      </c>
      <c r="F32" s="19" t="str">
        <f>IFERROR(__xludf.DUMMYFUNCTION("""COMPUTED_VALUE"""),"BLACK")</f>
        <v>BLACK</v>
      </c>
      <c r="G32" s="20" t="str">
        <f>IFERROR(__xludf.DUMMYFUNCTION("""COMPUTED_VALUE"""),"Tap 6 Clone (10/15/2021)")</f>
        <v>Tap 6 Clone (10/15/2021)</v>
      </c>
      <c r="H32" s="19"/>
    </row>
    <row r="33">
      <c r="A33" s="9"/>
      <c r="B33" s="15"/>
      <c r="C33" s="9">
        <f>IFERROR(__xludf.DUMMYFUNCTION("""COMPUTED_VALUE"""),44511.481385324)</f>
        <v>44511.48139</v>
      </c>
      <c r="D33" s="15">
        <f>IFERROR(__xludf.DUMMYFUNCTION("""COMPUTED_VALUE"""),1.013)</f>
        <v>1.013</v>
      </c>
      <c r="E33" s="16">
        <f>IFERROR(__xludf.DUMMYFUNCTION("""COMPUTED_VALUE"""),65.0)</f>
        <v>65</v>
      </c>
      <c r="F33" s="19" t="str">
        <f>IFERROR(__xludf.DUMMYFUNCTION("""COMPUTED_VALUE"""),"BLACK")</f>
        <v>BLACK</v>
      </c>
      <c r="G33" s="20" t="str">
        <f>IFERROR(__xludf.DUMMYFUNCTION("""COMPUTED_VALUE"""),"Tap 6 Clone (10/15/2021)")</f>
        <v>Tap 6 Clone (10/15/2021)</v>
      </c>
      <c r="H33" s="19"/>
    </row>
    <row r="34">
      <c r="A34" s="9"/>
      <c r="B34" s="15"/>
      <c r="C34" s="9">
        <f>IFERROR(__xludf.DUMMYFUNCTION("""COMPUTED_VALUE"""),44511.47096375)</f>
        <v>44511.47096</v>
      </c>
      <c r="D34" s="15">
        <f>IFERROR(__xludf.DUMMYFUNCTION("""COMPUTED_VALUE"""),1.013)</f>
        <v>1.013</v>
      </c>
      <c r="E34" s="16">
        <f>IFERROR(__xludf.DUMMYFUNCTION("""COMPUTED_VALUE"""),65.0)</f>
        <v>65</v>
      </c>
      <c r="F34" s="19" t="str">
        <f>IFERROR(__xludf.DUMMYFUNCTION("""COMPUTED_VALUE"""),"BLACK")</f>
        <v>BLACK</v>
      </c>
      <c r="G34" s="20" t="str">
        <f>IFERROR(__xludf.DUMMYFUNCTION("""COMPUTED_VALUE"""),"Tap 6 Clone (10/15/2021)")</f>
        <v>Tap 6 Clone (10/15/2021)</v>
      </c>
      <c r="H34" s="19"/>
    </row>
    <row r="35">
      <c r="A35" s="9"/>
      <c r="B35" s="15"/>
      <c r="C35" s="9">
        <f>IFERROR(__xludf.DUMMYFUNCTION("""COMPUTED_VALUE"""),44511.4605195138)</f>
        <v>44511.46052</v>
      </c>
      <c r="D35" s="15">
        <f>IFERROR(__xludf.DUMMYFUNCTION("""COMPUTED_VALUE"""),1.013)</f>
        <v>1.013</v>
      </c>
      <c r="E35" s="16">
        <f>IFERROR(__xludf.DUMMYFUNCTION("""COMPUTED_VALUE"""),65.0)</f>
        <v>65</v>
      </c>
      <c r="F35" s="19" t="str">
        <f>IFERROR(__xludf.DUMMYFUNCTION("""COMPUTED_VALUE"""),"BLACK")</f>
        <v>BLACK</v>
      </c>
      <c r="G35" s="20" t="str">
        <f>IFERROR(__xludf.DUMMYFUNCTION("""COMPUTED_VALUE"""),"Tap 6 Clone (10/15/2021)")</f>
        <v>Tap 6 Clone (10/15/2021)</v>
      </c>
      <c r="H35" s="19"/>
    </row>
    <row r="36">
      <c r="A36" s="9"/>
      <c r="B36" s="15"/>
      <c r="C36" s="9">
        <f>IFERROR(__xludf.DUMMYFUNCTION("""COMPUTED_VALUE"""),44511.4500994676)</f>
        <v>44511.4501</v>
      </c>
      <c r="D36" s="15">
        <f>IFERROR(__xludf.DUMMYFUNCTION("""COMPUTED_VALUE"""),1.013)</f>
        <v>1.013</v>
      </c>
      <c r="E36" s="16">
        <f>IFERROR(__xludf.DUMMYFUNCTION("""COMPUTED_VALUE"""),65.0)</f>
        <v>65</v>
      </c>
      <c r="F36" s="19" t="str">
        <f>IFERROR(__xludf.DUMMYFUNCTION("""COMPUTED_VALUE"""),"BLACK")</f>
        <v>BLACK</v>
      </c>
      <c r="G36" s="20" t="str">
        <f>IFERROR(__xludf.DUMMYFUNCTION("""COMPUTED_VALUE"""),"Tap 6 Clone (10/15/2021)")</f>
        <v>Tap 6 Clone (10/15/2021)</v>
      </c>
      <c r="H36" s="19"/>
    </row>
    <row r="37">
      <c r="A37" s="9"/>
      <c r="B37" s="15"/>
      <c r="C37" s="9">
        <f>IFERROR(__xludf.DUMMYFUNCTION("""COMPUTED_VALUE"""),44511.4396772916)</f>
        <v>44511.43968</v>
      </c>
      <c r="D37" s="15">
        <f>IFERROR(__xludf.DUMMYFUNCTION("""COMPUTED_VALUE"""),1.013)</f>
        <v>1.013</v>
      </c>
      <c r="E37" s="16">
        <f>IFERROR(__xludf.DUMMYFUNCTION("""COMPUTED_VALUE"""),65.0)</f>
        <v>65</v>
      </c>
      <c r="F37" s="19" t="str">
        <f>IFERROR(__xludf.DUMMYFUNCTION("""COMPUTED_VALUE"""),"BLACK")</f>
        <v>BLACK</v>
      </c>
      <c r="G37" s="20" t="str">
        <f>IFERROR(__xludf.DUMMYFUNCTION("""COMPUTED_VALUE"""),"Tap 6 Clone (10/15/2021)")</f>
        <v>Tap 6 Clone (10/15/2021)</v>
      </c>
      <c r="H37" s="19"/>
    </row>
    <row r="38">
      <c r="A38" s="9"/>
      <c r="B38" s="15"/>
      <c r="C38" s="9">
        <f>IFERROR(__xludf.DUMMYFUNCTION("""COMPUTED_VALUE"""),44511.4292571412)</f>
        <v>44511.42926</v>
      </c>
      <c r="D38" s="15">
        <f>IFERROR(__xludf.DUMMYFUNCTION("""COMPUTED_VALUE"""),1.013)</f>
        <v>1.013</v>
      </c>
      <c r="E38" s="16">
        <f>IFERROR(__xludf.DUMMYFUNCTION("""COMPUTED_VALUE"""),65.0)</f>
        <v>65</v>
      </c>
      <c r="F38" s="19" t="str">
        <f>IFERROR(__xludf.DUMMYFUNCTION("""COMPUTED_VALUE"""),"BLACK")</f>
        <v>BLACK</v>
      </c>
      <c r="G38" s="20" t="str">
        <f>IFERROR(__xludf.DUMMYFUNCTION("""COMPUTED_VALUE"""),"Tap 6 Clone (10/15/2021)")</f>
        <v>Tap 6 Clone (10/15/2021)</v>
      </c>
      <c r="H38" s="19"/>
    </row>
    <row r="39">
      <c r="A39" s="9"/>
      <c r="B39" s="15"/>
      <c r="C39" s="9">
        <f>IFERROR(__xludf.DUMMYFUNCTION("""COMPUTED_VALUE"""),44511.4188358101)</f>
        <v>44511.41884</v>
      </c>
      <c r="D39" s="15">
        <f>IFERROR(__xludf.DUMMYFUNCTION("""COMPUTED_VALUE"""),1.013)</f>
        <v>1.013</v>
      </c>
      <c r="E39" s="16">
        <f>IFERROR(__xludf.DUMMYFUNCTION("""COMPUTED_VALUE"""),65.0)</f>
        <v>65</v>
      </c>
      <c r="F39" s="19" t="str">
        <f>IFERROR(__xludf.DUMMYFUNCTION("""COMPUTED_VALUE"""),"BLACK")</f>
        <v>BLACK</v>
      </c>
      <c r="G39" s="20" t="str">
        <f>IFERROR(__xludf.DUMMYFUNCTION("""COMPUTED_VALUE"""),"Tap 6 Clone (10/15/2021)")</f>
        <v>Tap 6 Clone (10/15/2021)</v>
      </c>
      <c r="H39" s="19"/>
    </row>
    <row r="40">
      <c r="A40" s="9"/>
      <c r="B40" s="15"/>
      <c r="C40" s="9">
        <f>IFERROR(__xludf.DUMMYFUNCTION("""COMPUTED_VALUE"""),44511.4083916435)</f>
        <v>44511.40839</v>
      </c>
      <c r="D40" s="15">
        <f>IFERROR(__xludf.DUMMYFUNCTION("""COMPUTED_VALUE"""),1.013)</f>
        <v>1.013</v>
      </c>
      <c r="E40" s="16">
        <f>IFERROR(__xludf.DUMMYFUNCTION("""COMPUTED_VALUE"""),65.0)</f>
        <v>65</v>
      </c>
      <c r="F40" s="19" t="str">
        <f>IFERROR(__xludf.DUMMYFUNCTION("""COMPUTED_VALUE"""),"BLACK")</f>
        <v>BLACK</v>
      </c>
      <c r="G40" s="20" t="str">
        <f>IFERROR(__xludf.DUMMYFUNCTION("""COMPUTED_VALUE"""),"Tap 6 Clone (10/15/2021)")</f>
        <v>Tap 6 Clone (10/15/2021)</v>
      </c>
      <c r="H40" s="19"/>
    </row>
    <row r="41">
      <c r="A41" s="9"/>
      <c r="B41" s="15"/>
      <c r="C41" s="9">
        <f>IFERROR(__xludf.DUMMYFUNCTION("""COMPUTED_VALUE"""),44511.3979588541)</f>
        <v>44511.39796</v>
      </c>
      <c r="D41" s="15">
        <f>IFERROR(__xludf.DUMMYFUNCTION("""COMPUTED_VALUE"""),1.013)</f>
        <v>1.013</v>
      </c>
      <c r="E41" s="16">
        <f>IFERROR(__xludf.DUMMYFUNCTION("""COMPUTED_VALUE"""),65.0)</f>
        <v>65</v>
      </c>
      <c r="F41" s="19" t="str">
        <f>IFERROR(__xludf.DUMMYFUNCTION("""COMPUTED_VALUE"""),"BLACK")</f>
        <v>BLACK</v>
      </c>
      <c r="G41" s="20" t="str">
        <f>IFERROR(__xludf.DUMMYFUNCTION("""COMPUTED_VALUE"""),"Tap 6 Clone (10/15/2021)")</f>
        <v>Tap 6 Clone (10/15/2021)</v>
      </c>
      <c r="H41" s="19"/>
    </row>
    <row r="42">
      <c r="A42" s="9"/>
      <c r="B42" s="15"/>
      <c r="C42" s="9">
        <f>IFERROR(__xludf.DUMMYFUNCTION("""COMPUTED_VALUE"""),44511.3875241087)</f>
        <v>44511.38752</v>
      </c>
      <c r="D42" s="15">
        <f>IFERROR(__xludf.DUMMYFUNCTION("""COMPUTED_VALUE"""),1.013)</f>
        <v>1.013</v>
      </c>
      <c r="E42" s="16">
        <f>IFERROR(__xludf.DUMMYFUNCTION("""COMPUTED_VALUE"""),65.0)</f>
        <v>65</v>
      </c>
      <c r="F42" s="19" t="str">
        <f>IFERROR(__xludf.DUMMYFUNCTION("""COMPUTED_VALUE"""),"BLACK")</f>
        <v>BLACK</v>
      </c>
      <c r="G42" s="20" t="str">
        <f>IFERROR(__xludf.DUMMYFUNCTION("""COMPUTED_VALUE"""),"Tap 6 Clone (10/15/2021)")</f>
        <v>Tap 6 Clone (10/15/2021)</v>
      </c>
      <c r="H42" s="19"/>
    </row>
    <row r="43">
      <c r="A43" s="9"/>
      <c r="B43" s="15"/>
      <c r="C43" s="9">
        <f>IFERROR(__xludf.DUMMYFUNCTION("""COMPUTED_VALUE"""),44511.3770913773)</f>
        <v>44511.37709</v>
      </c>
      <c r="D43" s="15">
        <f>IFERROR(__xludf.DUMMYFUNCTION("""COMPUTED_VALUE"""),1.013)</f>
        <v>1.013</v>
      </c>
      <c r="E43" s="16">
        <f>IFERROR(__xludf.DUMMYFUNCTION("""COMPUTED_VALUE"""),65.0)</f>
        <v>65</v>
      </c>
      <c r="F43" s="19" t="str">
        <f>IFERROR(__xludf.DUMMYFUNCTION("""COMPUTED_VALUE"""),"BLACK")</f>
        <v>BLACK</v>
      </c>
      <c r="G43" s="20" t="str">
        <f>IFERROR(__xludf.DUMMYFUNCTION("""COMPUTED_VALUE"""),"Tap 6 Clone (10/15/2021)")</f>
        <v>Tap 6 Clone (10/15/2021)</v>
      </c>
      <c r="H43" s="19"/>
    </row>
    <row r="44">
      <c r="A44" s="9"/>
      <c r="B44" s="15"/>
      <c r="C44" s="9">
        <f>IFERROR(__xludf.DUMMYFUNCTION("""COMPUTED_VALUE"""),44511.3666466435)</f>
        <v>44511.36665</v>
      </c>
      <c r="D44" s="15">
        <f>IFERROR(__xludf.DUMMYFUNCTION("""COMPUTED_VALUE"""),1.013)</f>
        <v>1.013</v>
      </c>
      <c r="E44" s="16">
        <f>IFERROR(__xludf.DUMMYFUNCTION("""COMPUTED_VALUE"""),65.0)</f>
        <v>65</v>
      </c>
      <c r="F44" s="19" t="str">
        <f>IFERROR(__xludf.DUMMYFUNCTION("""COMPUTED_VALUE"""),"BLACK")</f>
        <v>BLACK</v>
      </c>
      <c r="G44" s="20" t="str">
        <f>IFERROR(__xludf.DUMMYFUNCTION("""COMPUTED_VALUE"""),"Tap 6 Clone (10/15/2021)")</f>
        <v>Tap 6 Clone (10/15/2021)</v>
      </c>
      <c r="H44" s="19"/>
    </row>
    <row r="45">
      <c r="A45" s="9"/>
      <c r="B45" s="15"/>
      <c r="C45" s="9">
        <f>IFERROR(__xludf.DUMMYFUNCTION("""COMPUTED_VALUE"""),44511.35622603)</f>
        <v>44511.35623</v>
      </c>
      <c r="D45" s="15">
        <f>IFERROR(__xludf.DUMMYFUNCTION("""COMPUTED_VALUE"""),1.013)</f>
        <v>1.013</v>
      </c>
      <c r="E45" s="16">
        <f>IFERROR(__xludf.DUMMYFUNCTION("""COMPUTED_VALUE"""),65.0)</f>
        <v>65</v>
      </c>
      <c r="F45" s="19" t="str">
        <f>IFERROR(__xludf.DUMMYFUNCTION("""COMPUTED_VALUE"""),"BLACK")</f>
        <v>BLACK</v>
      </c>
      <c r="G45" s="20" t="str">
        <f>IFERROR(__xludf.DUMMYFUNCTION("""COMPUTED_VALUE"""),"Tap 6 Clone (10/15/2021)")</f>
        <v>Tap 6 Clone (10/15/2021)</v>
      </c>
      <c r="H45" s="19"/>
    </row>
    <row r="46">
      <c r="A46" s="9"/>
      <c r="B46" s="15"/>
      <c r="C46" s="9">
        <f>IFERROR(__xludf.DUMMYFUNCTION("""COMPUTED_VALUE"""),44511.3458056597)</f>
        <v>44511.34581</v>
      </c>
      <c r="D46" s="15">
        <f>IFERROR(__xludf.DUMMYFUNCTION("""COMPUTED_VALUE"""),1.013)</f>
        <v>1.013</v>
      </c>
      <c r="E46" s="16">
        <f>IFERROR(__xludf.DUMMYFUNCTION("""COMPUTED_VALUE"""),65.0)</f>
        <v>65</v>
      </c>
      <c r="F46" s="19" t="str">
        <f>IFERROR(__xludf.DUMMYFUNCTION("""COMPUTED_VALUE"""),"BLACK")</f>
        <v>BLACK</v>
      </c>
      <c r="G46" s="20" t="str">
        <f>IFERROR(__xludf.DUMMYFUNCTION("""COMPUTED_VALUE"""),"Tap 6 Clone (10/15/2021)")</f>
        <v>Tap 6 Clone (10/15/2021)</v>
      </c>
      <c r="H46" s="19"/>
    </row>
    <row r="47">
      <c r="A47" s="9"/>
      <c r="B47" s="15"/>
      <c r="C47" s="9">
        <f>IFERROR(__xludf.DUMMYFUNCTION("""COMPUTED_VALUE"""),44511.3353486111)</f>
        <v>44511.33535</v>
      </c>
      <c r="D47" s="15">
        <f>IFERROR(__xludf.DUMMYFUNCTION("""COMPUTED_VALUE"""),1.013)</f>
        <v>1.013</v>
      </c>
      <c r="E47" s="16">
        <f>IFERROR(__xludf.DUMMYFUNCTION("""COMPUTED_VALUE"""),65.0)</f>
        <v>65</v>
      </c>
      <c r="F47" s="19" t="str">
        <f>IFERROR(__xludf.DUMMYFUNCTION("""COMPUTED_VALUE"""),"BLACK")</f>
        <v>BLACK</v>
      </c>
      <c r="G47" s="20" t="str">
        <f>IFERROR(__xludf.DUMMYFUNCTION("""COMPUTED_VALUE"""),"Tap 6 Clone (10/15/2021)")</f>
        <v>Tap 6 Clone (10/15/2021)</v>
      </c>
      <c r="H47" s="19"/>
    </row>
    <row r="48">
      <c r="A48" s="9"/>
      <c r="B48" s="15"/>
      <c r="C48" s="9">
        <f>IFERROR(__xludf.DUMMYFUNCTION("""COMPUTED_VALUE"""),44511.3249155902)</f>
        <v>44511.32492</v>
      </c>
      <c r="D48" s="15">
        <f>IFERROR(__xludf.DUMMYFUNCTION("""COMPUTED_VALUE"""),1.013)</f>
        <v>1.013</v>
      </c>
      <c r="E48" s="16">
        <f>IFERROR(__xludf.DUMMYFUNCTION("""COMPUTED_VALUE"""),65.0)</f>
        <v>65</v>
      </c>
      <c r="F48" s="19" t="str">
        <f>IFERROR(__xludf.DUMMYFUNCTION("""COMPUTED_VALUE"""),"BLACK")</f>
        <v>BLACK</v>
      </c>
      <c r="G48" s="20" t="str">
        <f>IFERROR(__xludf.DUMMYFUNCTION("""COMPUTED_VALUE"""),"Tap 6 Clone (10/15/2021)")</f>
        <v>Tap 6 Clone (10/15/2021)</v>
      </c>
      <c r="H48" s="19"/>
    </row>
    <row r="49">
      <c r="A49" s="9"/>
      <c r="B49" s="15"/>
      <c r="C49" s="9">
        <f>IFERROR(__xludf.DUMMYFUNCTION("""COMPUTED_VALUE"""),44511.3144961458)</f>
        <v>44511.3145</v>
      </c>
      <c r="D49" s="15">
        <f>IFERROR(__xludf.DUMMYFUNCTION("""COMPUTED_VALUE"""),1.013)</f>
        <v>1.013</v>
      </c>
      <c r="E49" s="16">
        <f>IFERROR(__xludf.DUMMYFUNCTION("""COMPUTED_VALUE"""),65.0)</f>
        <v>65</v>
      </c>
      <c r="F49" s="19" t="str">
        <f>IFERROR(__xludf.DUMMYFUNCTION("""COMPUTED_VALUE"""),"BLACK")</f>
        <v>BLACK</v>
      </c>
      <c r="G49" s="20" t="str">
        <f>IFERROR(__xludf.DUMMYFUNCTION("""COMPUTED_VALUE"""),"Tap 6 Clone (10/15/2021)")</f>
        <v>Tap 6 Clone (10/15/2021)</v>
      </c>
      <c r="H49" s="19"/>
    </row>
    <row r="50">
      <c r="A50" s="9"/>
      <c r="B50" s="15"/>
      <c r="C50" s="9">
        <f>IFERROR(__xludf.DUMMYFUNCTION("""COMPUTED_VALUE"""),44511.3040754398)</f>
        <v>44511.30408</v>
      </c>
      <c r="D50" s="15">
        <f>IFERROR(__xludf.DUMMYFUNCTION("""COMPUTED_VALUE"""),1.013)</f>
        <v>1.013</v>
      </c>
      <c r="E50" s="16">
        <f>IFERROR(__xludf.DUMMYFUNCTION("""COMPUTED_VALUE"""),65.0)</f>
        <v>65</v>
      </c>
      <c r="F50" s="19" t="str">
        <f>IFERROR(__xludf.DUMMYFUNCTION("""COMPUTED_VALUE"""),"BLACK")</f>
        <v>BLACK</v>
      </c>
      <c r="G50" s="20" t="str">
        <f>IFERROR(__xludf.DUMMYFUNCTION("""COMPUTED_VALUE"""),"Tap 6 Clone (10/15/2021)")</f>
        <v>Tap 6 Clone (10/15/2021)</v>
      </c>
      <c r="H50" s="19"/>
    </row>
    <row r="51">
      <c r="A51" s="9"/>
      <c r="B51" s="15"/>
      <c r="C51" s="9">
        <f>IFERROR(__xludf.DUMMYFUNCTION("""COMPUTED_VALUE"""),44511.2936411921)</f>
        <v>44511.29364</v>
      </c>
      <c r="D51" s="15">
        <f>IFERROR(__xludf.DUMMYFUNCTION("""COMPUTED_VALUE"""),1.013)</f>
        <v>1.013</v>
      </c>
      <c r="E51" s="16">
        <f>IFERROR(__xludf.DUMMYFUNCTION("""COMPUTED_VALUE"""),65.0)</f>
        <v>65</v>
      </c>
      <c r="F51" s="19" t="str">
        <f>IFERROR(__xludf.DUMMYFUNCTION("""COMPUTED_VALUE"""),"BLACK")</f>
        <v>BLACK</v>
      </c>
      <c r="G51" s="20" t="str">
        <f>IFERROR(__xludf.DUMMYFUNCTION("""COMPUTED_VALUE"""),"Tap 6 Clone (10/15/2021)")</f>
        <v>Tap 6 Clone (10/15/2021)</v>
      </c>
      <c r="H51" s="19"/>
    </row>
    <row r="52">
      <c r="A52" s="9"/>
      <c r="B52" s="15"/>
      <c r="C52" s="9">
        <f>IFERROR(__xludf.DUMMYFUNCTION("""COMPUTED_VALUE"""),44511.2832099537)</f>
        <v>44511.28321</v>
      </c>
      <c r="D52" s="15">
        <f>IFERROR(__xludf.DUMMYFUNCTION("""COMPUTED_VALUE"""),1.013)</f>
        <v>1.013</v>
      </c>
      <c r="E52" s="16">
        <f>IFERROR(__xludf.DUMMYFUNCTION("""COMPUTED_VALUE"""),65.0)</f>
        <v>65</v>
      </c>
      <c r="F52" s="19" t="str">
        <f>IFERROR(__xludf.DUMMYFUNCTION("""COMPUTED_VALUE"""),"BLACK")</f>
        <v>BLACK</v>
      </c>
      <c r="G52" s="20" t="str">
        <f>IFERROR(__xludf.DUMMYFUNCTION("""COMPUTED_VALUE"""),"Tap 6 Clone (10/15/2021)")</f>
        <v>Tap 6 Clone (10/15/2021)</v>
      </c>
      <c r="H52" s="19"/>
    </row>
    <row r="53">
      <c r="A53" s="9"/>
      <c r="B53" s="15"/>
      <c r="C53" s="9">
        <f>IFERROR(__xludf.DUMMYFUNCTION("""COMPUTED_VALUE"""),44511.2727526157)</f>
        <v>44511.27275</v>
      </c>
      <c r="D53" s="15">
        <f>IFERROR(__xludf.DUMMYFUNCTION("""COMPUTED_VALUE"""),1.013)</f>
        <v>1.013</v>
      </c>
      <c r="E53" s="16">
        <f>IFERROR(__xludf.DUMMYFUNCTION("""COMPUTED_VALUE"""),65.0)</f>
        <v>65</v>
      </c>
      <c r="F53" s="19" t="str">
        <f>IFERROR(__xludf.DUMMYFUNCTION("""COMPUTED_VALUE"""),"BLACK")</f>
        <v>BLACK</v>
      </c>
      <c r="G53" s="20" t="str">
        <f>IFERROR(__xludf.DUMMYFUNCTION("""COMPUTED_VALUE"""),"Tap 6 Clone (10/15/2021)")</f>
        <v>Tap 6 Clone (10/15/2021)</v>
      </c>
      <c r="H53" s="19"/>
    </row>
    <row r="54">
      <c r="A54" s="9"/>
      <c r="B54" s="15"/>
      <c r="C54" s="9">
        <f>IFERROR(__xludf.DUMMYFUNCTION("""COMPUTED_VALUE"""),44511.2623308333)</f>
        <v>44511.26233</v>
      </c>
      <c r="D54" s="15">
        <f>IFERROR(__xludf.DUMMYFUNCTION("""COMPUTED_VALUE"""),1.013)</f>
        <v>1.013</v>
      </c>
      <c r="E54" s="16">
        <f>IFERROR(__xludf.DUMMYFUNCTION("""COMPUTED_VALUE"""),65.0)</f>
        <v>65</v>
      </c>
      <c r="F54" s="19" t="str">
        <f>IFERROR(__xludf.DUMMYFUNCTION("""COMPUTED_VALUE"""),"BLACK")</f>
        <v>BLACK</v>
      </c>
      <c r="G54" s="20" t="str">
        <f>IFERROR(__xludf.DUMMYFUNCTION("""COMPUTED_VALUE"""),"Tap 6 Clone (10/15/2021)")</f>
        <v>Tap 6 Clone (10/15/2021)</v>
      </c>
      <c r="H54" s="19"/>
    </row>
    <row r="55">
      <c r="A55" s="9"/>
      <c r="B55" s="15"/>
      <c r="C55" s="9">
        <f>IFERROR(__xludf.DUMMYFUNCTION("""COMPUTED_VALUE"""),44511.251911493)</f>
        <v>44511.25191</v>
      </c>
      <c r="D55" s="15">
        <f>IFERROR(__xludf.DUMMYFUNCTION("""COMPUTED_VALUE"""),1.013)</f>
        <v>1.013</v>
      </c>
      <c r="E55" s="16">
        <f>IFERROR(__xludf.DUMMYFUNCTION("""COMPUTED_VALUE"""),65.0)</f>
        <v>65</v>
      </c>
      <c r="F55" s="19" t="str">
        <f>IFERROR(__xludf.DUMMYFUNCTION("""COMPUTED_VALUE"""),"BLACK")</f>
        <v>BLACK</v>
      </c>
      <c r="G55" s="20" t="str">
        <f>IFERROR(__xludf.DUMMYFUNCTION("""COMPUTED_VALUE"""),"Tap 6 Clone (10/15/2021)")</f>
        <v>Tap 6 Clone (10/15/2021)</v>
      </c>
      <c r="H55" s="19"/>
    </row>
    <row r="56">
      <c r="A56" s="9"/>
      <c r="B56" s="15"/>
      <c r="C56" s="9">
        <f>IFERROR(__xludf.DUMMYFUNCTION("""COMPUTED_VALUE"""),44511.2413850925)</f>
        <v>44511.24139</v>
      </c>
      <c r="D56" s="15">
        <f>IFERROR(__xludf.DUMMYFUNCTION("""COMPUTED_VALUE"""),1.013)</f>
        <v>1.013</v>
      </c>
      <c r="E56" s="16">
        <f>IFERROR(__xludf.DUMMYFUNCTION("""COMPUTED_VALUE"""),65.0)</f>
        <v>65</v>
      </c>
      <c r="F56" s="19" t="str">
        <f>IFERROR(__xludf.DUMMYFUNCTION("""COMPUTED_VALUE"""),"BLACK")</f>
        <v>BLACK</v>
      </c>
      <c r="G56" s="20" t="str">
        <f>IFERROR(__xludf.DUMMYFUNCTION("""COMPUTED_VALUE"""),"Tap 6 Clone (10/15/2021)")</f>
        <v>Tap 6 Clone (10/15/2021)</v>
      </c>
      <c r="H56" s="19"/>
    </row>
    <row r="57">
      <c r="A57" s="9"/>
      <c r="B57" s="15"/>
      <c r="C57" s="9">
        <f>IFERROR(__xludf.DUMMYFUNCTION("""COMPUTED_VALUE"""),44511.2309514236)</f>
        <v>44511.23095</v>
      </c>
      <c r="D57" s="15">
        <f>IFERROR(__xludf.DUMMYFUNCTION("""COMPUTED_VALUE"""),1.013)</f>
        <v>1.013</v>
      </c>
      <c r="E57" s="16">
        <f>IFERROR(__xludf.DUMMYFUNCTION("""COMPUTED_VALUE"""),65.0)</f>
        <v>65</v>
      </c>
      <c r="F57" s="19" t="str">
        <f>IFERROR(__xludf.DUMMYFUNCTION("""COMPUTED_VALUE"""),"BLACK")</f>
        <v>BLACK</v>
      </c>
      <c r="G57" s="20" t="str">
        <f>IFERROR(__xludf.DUMMYFUNCTION("""COMPUTED_VALUE"""),"Tap 6 Clone (10/15/2021)")</f>
        <v>Tap 6 Clone (10/15/2021)</v>
      </c>
      <c r="H57" s="19"/>
    </row>
    <row r="58">
      <c r="A58" s="9"/>
      <c r="B58" s="15"/>
      <c r="C58" s="9">
        <f>IFERROR(__xludf.DUMMYFUNCTION("""COMPUTED_VALUE"""),44511.2205320023)</f>
        <v>44511.22053</v>
      </c>
      <c r="D58" s="15">
        <f>IFERROR(__xludf.DUMMYFUNCTION("""COMPUTED_VALUE"""),1.013)</f>
        <v>1.013</v>
      </c>
      <c r="E58" s="16">
        <f>IFERROR(__xludf.DUMMYFUNCTION("""COMPUTED_VALUE"""),65.0)</f>
        <v>65</v>
      </c>
      <c r="F58" s="19" t="str">
        <f>IFERROR(__xludf.DUMMYFUNCTION("""COMPUTED_VALUE"""),"BLACK")</f>
        <v>BLACK</v>
      </c>
      <c r="G58" s="20" t="str">
        <f>IFERROR(__xludf.DUMMYFUNCTION("""COMPUTED_VALUE"""),"Tap 6 Clone (10/15/2021)")</f>
        <v>Tap 6 Clone (10/15/2021)</v>
      </c>
      <c r="H58" s="19"/>
    </row>
    <row r="59">
      <c r="A59" s="9"/>
      <c r="B59" s="15"/>
      <c r="C59" s="9">
        <f>IFERROR(__xludf.DUMMYFUNCTION("""COMPUTED_VALUE"""),44511.2101109953)</f>
        <v>44511.21011</v>
      </c>
      <c r="D59" s="15">
        <f>IFERROR(__xludf.DUMMYFUNCTION("""COMPUTED_VALUE"""),1.013)</f>
        <v>1.013</v>
      </c>
      <c r="E59" s="16">
        <f>IFERROR(__xludf.DUMMYFUNCTION("""COMPUTED_VALUE"""),65.0)</f>
        <v>65</v>
      </c>
      <c r="F59" s="19" t="str">
        <f>IFERROR(__xludf.DUMMYFUNCTION("""COMPUTED_VALUE"""),"BLACK")</f>
        <v>BLACK</v>
      </c>
      <c r="G59" s="20" t="str">
        <f>IFERROR(__xludf.DUMMYFUNCTION("""COMPUTED_VALUE"""),"Tap 6 Clone (10/15/2021)")</f>
        <v>Tap 6 Clone (10/15/2021)</v>
      </c>
      <c r="H59" s="19"/>
    </row>
    <row r="60">
      <c r="A60" s="9"/>
      <c r="B60" s="15"/>
      <c r="C60" s="9">
        <f>IFERROR(__xludf.DUMMYFUNCTION("""COMPUTED_VALUE"""),44511.1996903819)</f>
        <v>44511.19969</v>
      </c>
      <c r="D60" s="15">
        <f>IFERROR(__xludf.DUMMYFUNCTION("""COMPUTED_VALUE"""),1.013)</f>
        <v>1.013</v>
      </c>
      <c r="E60" s="16">
        <f>IFERROR(__xludf.DUMMYFUNCTION("""COMPUTED_VALUE"""),65.0)</f>
        <v>65</v>
      </c>
      <c r="F60" s="19" t="str">
        <f>IFERROR(__xludf.DUMMYFUNCTION("""COMPUTED_VALUE"""),"BLACK")</f>
        <v>BLACK</v>
      </c>
      <c r="G60" s="20" t="str">
        <f>IFERROR(__xludf.DUMMYFUNCTION("""COMPUTED_VALUE"""),"Tap 6 Clone (10/15/2021)")</f>
        <v>Tap 6 Clone (10/15/2021)</v>
      </c>
      <c r="H60" s="19"/>
    </row>
    <row r="61">
      <c r="A61" s="9"/>
      <c r="B61" s="15"/>
      <c r="C61" s="9">
        <f>IFERROR(__xludf.DUMMYFUNCTION("""COMPUTED_VALUE"""),44511.1892690393)</f>
        <v>44511.18927</v>
      </c>
      <c r="D61" s="15">
        <f>IFERROR(__xludf.DUMMYFUNCTION("""COMPUTED_VALUE"""),1.013)</f>
        <v>1.013</v>
      </c>
      <c r="E61" s="16">
        <f>IFERROR(__xludf.DUMMYFUNCTION("""COMPUTED_VALUE"""),65.0)</f>
        <v>65</v>
      </c>
      <c r="F61" s="19" t="str">
        <f>IFERROR(__xludf.DUMMYFUNCTION("""COMPUTED_VALUE"""),"BLACK")</f>
        <v>BLACK</v>
      </c>
      <c r="G61" s="20" t="str">
        <f>IFERROR(__xludf.DUMMYFUNCTION("""COMPUTED_VALUE"""),"Tap 6 Clone (10/15/2021)")</f>
        <v>Tap 6 Clone (10/15/2021)</v>
      </c>
      <c r="H61" s="19"/>
    </row>
    <row r="62">
      <c r="A62" s="9"/>
      <c r="B62" s="15"/>
      <c r="C62" s="9">
        <f>IFERROR(__xludf.DUMMYFUNCTION("""COMPUTED_VALUE"""),44511.1788464351)</f>
        <v>44511.17885</v>
      </c>
      <c r="D62" s="15">
        <f>IFERROR(__xludf.DUMMYFUNCTION("""COMPUTED_VALUE"""),1.013)</f>
        <v>1.013</v>
      </c>
      <c r="E62" s="16">
        <f>IFERROR(__xludf.DUMMYFUNCTION("""COMPUTED_VALUE"""),65.0)</f>
        <v>65</v>
      </c>
      <c r="F62" s="19" t="str">
        <f>IFERROR(__xludf.DUMMYFUNCTION("""COMPUTED_VALUE"""),"BLACK")</f>
        <v>BLACK</v>
      </c>
      <c r="G62" s="20" t="str">
        <f>IFERROR(__xludf.DUMMYFUNCTION("""COMPUTED_VALUE"""),"Tap 6 Clone (10/15/2021)")</f>
        <v>Tap 6 Clone (10/15/2021)</v>
      </c>
      <c r="H62" s="19"/>
    </row>
    <row r="63">
      <c r="A63" s="9"/>
      <c r="B63" s="15"/>
      <c r="C63" s="9">
        <f>IFERROR(__xludf.DUMMYFUNCTION("""COMPUTED_VALUE"""),44511.1684132175)</f>
        <v>44511.16841</v>
      </c>
      <c r="D63" s="15">
        <f>IFERROR(__xludf.DUMMYFUNCTION("""COMPUTED_VALUE"""),1.012)</f>
        <v>1.012</v>
      </c>
      <c r="E63" s="16">
        <f>IFERROR(__xludf.DUMMYFUNCTION("""COMPUTED_VALUE"""),65.0)</f>
        <v>65</v>
      </c>
      <c r="F63" s="19" t="str">
        <f>IFERROR(__xludf.DUMMYFUNCTION("""COMPUTED_VALUE"""),"BLACK")</f>
        <v>BLACK</v>
      </c>
      <c r="G63" s="20" t="str">
        <f>IFERROR(__xludf.DUMMYFUNCTION("""COMPUTED_VALUE"""),"Tap 6 Clone (10/15/2021)")</f>
        <v>Tap 6 Clone (10/15/2021)</v>
      </c>
      <c r="H63" s="19"/>
    </row>
    <row r="64">
      <c r="A64" s="9"/>
      <c r="B64" s="15"/>
      <c r="C64" s="9">
        <f>IFERROR(__xludf.DUMMYFUNCTION("""COMPUTED_VALUE"""),44511.1579941087)</f>
        <v>44511.15799</v>
      </c>
      <c r="D64" s="15">
        <f>IFERROR(__xludf.DUMMYFUNCTION("""COMPUTED_VALUE"""),1.013)</f>
        <v>1.013</v>
      </c>
      <c r="E64" s="16">
        <f>IFERROR(__xludf.DUMMYFUNCTION("""COMPUTED_VALUE"""),65.0)</f>
        <v>65</v>
      </c>
      <c r="F64" s="19" t="str">
        <f>IFERROR(__xludf.DUMMYFUNCTION("""COMPUTED_VALUE"""),"BLACK")</f>
        <v>BLACK</v>
      </c>
      <c r="G64" s="20" t="str">
        <f>IFERROR(__xludf.DUMMYFUNCTION("""COMPUTED_VALUE"""),"Tap 6 Clone (10/15/2021)")</f>
        <v>Tap 6 Clone (10/15/2021)</v>
      </c>
      <c r="H64" s="19"/>
    </row>
    <row r="65">
      <c r="A65" s="9"/>
      <c r="B65" s="15"/>
      <c r="C65" s="9">
        <f>IFERROR(__xludf.DUMMYFUNCTION("""COMPUTED_VALUE"""),44511.1475714236)</f>
        <v>44511.14757</v>
      </c>
      <c r="D65" s="15">
        <f>IFERROR(__xludf.DUMMYFUNCTION("""COMPUTED_VALUE"""),1.013)</f>
        <v>1.013</v>
      </c>
      <c r="E65" s="16">
        <f>IFERROR(__xludf.DUMMYFUNCTION("""COMPUTED_VALUE"""),65.0)</f>
        <v>65</v>
      </c>
      <c r="F65" s="19" t="str">
        <f>IFERROR(__xludf.DUMMYFUNCTION("""COMPUTED_VALUE"""),"BLACK")</f>
        <v>BLACK</v>
      </c>
      <c r="G65" s="20" t="str">
        <f>IFERROR(__xludf.DUMMYFUNCTION("""COMPUTED_VALUE"""),"Tap 6 Clone (10/15/2021)")</f>
        <v>Tap 6 Clone (10/15/2021)</v>
      </c>
      <c r="H65" s="19"/>
    </row>
    <row r="66">
      <c r="A66" s="9"/>
      <c r="B66" s="15"/>
      <c r="C66" s="9">
        <f>IFERROR(__xludf.DUMMYFUNCTION("""COMPUTED_VALUE"""),44511.1371383912)</f>
        <v>44511.13714</v>
      </c>
      <c r="D66" s="15">
        <f>IFERROR(__xludf.DUMMYFUNCTION("""COMPUTED_VALUE"""),1.013)</f>
        <v>1.013</v>
      </c>
      <c r="E66" s="16">
        <f>IFERROR(__xludf.DUMMYFUNCTION("""COMPUTED_VALUE"""),65.0)</f>
        <v>65</v>
      </c>
      <c r="F66" s="19" t="str">
        <f>IFERROR(__xludf.DUMMYFUNCTION("""COMPUTED_VALUE"""),"BLACK")</f>
        <v>BLACK</v>
      </c>
      <c r="G66" s="20" t="str">
        <f>IFERROR(__xludf.DUMMYFUNCTION("""COMPUTED_VALUE"""),"Tap 6 Clone (10/15/2021)")</f>
        <v>Tap 6 Clone (10/15/2021)</v>
      </c>
      <c r="H66" s="19"/>
    </row>
    <row r="67">
      <c r="A67" s="9"/>
      <c r="B67" s="15"/>
      <c r="C67" s="9">
        <f>IFERROR(__xludf.DUMMYFUNCTION("""COMPUTED_VALUE"""),44511.1267048842)</f>
        <v>44511.1267</v>
      </c>
      <c r="D67" s="15">
        <f>IFERROR(__xludf.DUMMYFUNCTION("""COMPUTED_VALUE"""),1.013)</f>
        <v>1.013</v>
      </c>
      <c r="E67" s="16">
        <f>IFERROR(__xludf.DUMMYFUNCTION("""COMPUTED_VALUE"""),65.0)</f>
        <v>65</v>
      </c>
      <c r="F67" s="19" t="str">
        <f>IFERROR(__xludf.DUMMYFUNCTION("""COMPUTED_VALUE"""),"BLACK")</f>
        <v>BLACK</v>
      </c>
      <c r="G67" s="20" t="str">
        <f>IFERROR(__xludf.DUMMYFUNCTION("""COMPUTED_VALUE"""),"Tap 6 Clone (10/15/2021)")</f>
        <v>Tap 6 Clone (10/15/2021)</v>
      </c>
      <c r="H67" s="19"/>
    </row>
    <row r="68">
      <c r="A68" s="9"/>
      <c r="B68" s="15"/>
      <c r="C68" s="9">
        <f>IFERROR(__xludf.DUMMYFUNCTION("""COMPUTED_VALUE"""),44511.1162743981)</f>
        <v>44511.11627</v>
      </c>
      <c r="D68" s="15">
        <f>IFERROR(__xludf.DUMMYFUNCTION("""COMPUTED_VALUE"""),1.013)</f>
        <v>1.013</v>
      </c>
      <c r="E68" s="16">
        <f>IFERROR(__xludf.DUMMYFUNCTION("""COMPUTED_VALUE"""),65.0)</f>
        <v>65</v>
      </c>
      <c r="F68" s="19" t="str">
        <f>IFERROR(__xludf.DUMMYFUNCTION("""COMPUTED_VALUE"""),"BLACK")</f>
        <v>BLACK</v>
      </c>
      <c r="G68" s="20" t="str">
        <f>IFERROR(__xludf.DUMMYFUNCTION("""COMPUTED_VALUE"""),"Tap 6 Clone (10/15/2021)")</f>
        <v>Tap 6 Clone (10/15/2021)</v>
      </c>
      <c r="H68" s="19"/>
    </row>
    <row r="69">
      <c r="A69" s="9"/>
      <c r="B69" s="15"/>
      <c r="C69" s="9">
        <f>IFERROR(__xludf.DUMMYFUNCTION("""COMPUTED_VALUE"""),44511.1058528819)</f>
        <v>44511.10585</v>
      </c>
      <c r="D69" s="15">
        <f>IFERROR(__xludf.DUMMYFUNCTION("""COMPUTED_VALUE"""),1.013)</f>
        <v>1.013</v>
      </c>
      <c r="E69" s="16">
        <f>IFERROR(__xludf.DUMMYFUNCTION("""COMPUTED_VALUE"""),65.0)</f>
        <v>65</v>
      </c>
      <c r="F69" s="19" t="str">
        <f>IFERROR(__xludf.DUMMYFUNCTION("""COMPUTED_VALUE"""),"BLACK")</f>
        <v>BLACK</v>
      </c>
      <c r="G69" s="20" t="str">
        <f>IFERROR(__xludf.DUMMYFUNCTION("""COMPUTED_VALUE"""),"Tap 6 Clone (10/15/2021)")</f>
        <v>Tap 6 Clone (10/15/2021)</v>
      </c>
      <c r="H69" s="19"/>
    </row>
    <row r="70">
      <c r="A70" s="9"/>
      <c r="B70" s="15"/>
      <c r="C70" s="9">
        <f>IFERROR(__xludf.DUMMYFUNCTION("""COMPUTED_VALUE"""),44511.0954187384)</f>
        <v>44511.09542</v>
      </c>
      <c r="D70" s="15">
        <f>IFERROR(__xludf.DUMMYFUNCTION("""COMPUTED_VALUE"""),1.013)</f>
        <v>1.013</v>
      </c>
      <c r="E70" s="16">
        <f>IFERROR(__xludf.DUMMYFUNCTION("""COMPUTED_VALUE"""),65.0)</f>
        <v>65</v>
      </c>
      <c r="F70" s="19" t="str">
        <f>IFERROR(__xludf.DUMMYFUNCTION("""COMPUTED_VALUE"""),"BLACK")</f>
        <v>BLACK</v>
      </c>
      <c r="G70" s="20" t="str">
        <f>IFERROR(__xludf.DUMMYFUNCTION("""COMPUTED_VALUE"""),"Tap 6 Clone (10/15/2021)")</f>
        <v>Tap 6 Clone (10/15/2021)</v>
      </c>
      <c r="H70" s="19"/>
    </row>
    <row r="71">
      <c r="A71" s="9"/>
      <c r="B71" s="15"/>
      <c r="C71" s="9">
        <f>IFERROR(__xludf.DUMMYFUNCTION("""COMPUTED_VALUE"""),44511.0849867592)</f>
        <v>44511.08499</v>
      </c>
      <c r="D71" s="15">
        <f>IFERROR(__xludf.DUMMYFUNCTION("""COMPUTED_VALUE"""),1.013)</f>
        <v>1.013</v>
      </c>
      <c r="E71" s="16">
        <f>IFERROR(__xludf.DUMMYFUNCTION("""COMPUTED_VALUE"""),65.0)</f>
        <v>65</v>
      </c>
      <c r="F71" s="19" t="str">
        <f>IFERROR(__xludf.DUMMYFUNCTION("""COMPUTED_VALUE"""),"BLACK")</f>
        <v>BLACK</v>
      </c>
      <c r="G71" s="20" t="str">
        <f>IFERROR(__xludf.DUMMYFUNCTION("""COMPUTED_VALUE"""),"Tap 6 Clone (10/15/2021)")</f>
        <v>Tap 6 Clone (10/15/2021)</v>
      </c>
      <c r="H71" s="19"/>
    </row>
    <row r="72">
      <c r="A72" s="9"/>
      <c r="B72" s="15"/>
      <c r="C72" s="9">
        <f>IFERROR(__xludf.DUMMYFUNCTION("""COMPUTED_VALUE"""),44511.0745652662)</f>
        <v>44511.07457</v>
      </c>
      <c r="D72" s="15">
        <f>IFERROR(__xludf.DUMMYFUNCTION("""COMPUTED_VALUE"""),1.013)</f>
        <v>1.013</v>
      </c>
      <c r="E72" s="16">
        <f>IFERROR(__xludf.DUMMYFUNCTION("""COMPUTED_VALUE"""),65.0)</f>
        <v>65</v>
      </c>
      <c r="F72" s="19" t="str">
        <f>IFERROR(__xludf.DUMMYFUNCTION("""COMPUTED_VALUE"""),"BLACK")</f>
        <v>BLACK</v>
      </c>
      <c r="G72" s="20" t="str">
        <f>IFERROR(__xludf.DUMMYFUNCTION("""COMPUTED_VALUE"""),"Tap 6 Clone (10/15/2021)")</f>
        <v>Tap 6 Clone (10/15/2021)</v>
      </c>
      <c r="H72" s="19"/>
    </row>
    <row r="73">
      <c r="A73" s="9"/>
      <c r="B73" s="15"/>
      <c r="C73" s="9">
        <f>IFERROR(__xludf.DUMMYFUNCTION("""COMPUTED_VALUE"""),44511.0641454398)</f>
        <v>44511.06415</v>
      </c>
      <c r="D73" s="15">
        <f>IFERROR(__xludf.DUMMYFUNCTION("""COMPUTED_VALUE"""),1.013)</f>
        <v>1.013</v>
      </c>
      <c r="E73" s="16">
        <f>IFERROR(__xludf.DUMMYFUNCTION("""COMPUTED_VALUE"""),65.0)</f>
        <v>65</v>
      </c>
      <c r="F73" s="19" t="str">
        <f>IFERROR(__xludf.DUMMYFUNCTION("""COMPUTED_VALUE"""),"BLACK")</f>
        <v>BLACK</v>
      </c>
      <c r="G73" s="20" t="str">
        <f>IFERROR(__xludf.DUMMYFUNCTION("""COMPUTED_VALUE"""),"Tap 6 Clone (10/15/2021)")</f>
        <v>Tap 6 Clone (10/15/2021)</v>
      </c>
      <c r="H73" s="19"/>
    </row>
    <row r="74">
      <c r="A74" s="9"/>
      <c r="B74" s="15"/>
      <c r="C74" s="9">
        <f>IFERROR(__xludf.DUMMYFUNCTION("""COMPUTED_VALUE"""),44511.053723287)</f>
        <v>44511.05372</v>
      </c>
      <c r="D74" s="15">
        <f>IFERROR(__xludf.DUMMYFUNCTION("""COMPUTED_VALUE"""),1.013)</f>
        <v>1.013</v>
      </c>
      <c r="E74" s="16">
        <f>IFERROR(__xludf.DUMMYFUNCTION("""COMPUTED_VALUE"""),65.0)</f>
        <v>65</v>
      </c>
      <c r="F74" s="19" t="str">
        <f>IFERROR(__xludf.DUMMYFUNCTION("""COMPUTED_VALUE"""),"BLACK")</f>
        <v>BLACK</v>
      </c>
      <c r="G74" s="20" t="str">
        <f>IFERROR(__xludf.DUMMYFUNCTION("""COMPUTED_VALUE"""),"Tap 6 Clone (10/15/2021)")</f>
        <v>Tap 6 Clone (10/15/2021)</v>
      </c>
      <c r="H74" s="19"/>
    </row>
    <row r="75">
      <c r="A75" s="9"/>
      <c r="B75" s="15"/>
      <c r="C75" s="9">
        <f>IFERROR(__xludf.DUMMYFUNCTION("""COMPUTED_VALUE"""),44511.0433002661)</f>
        <v>44511.0433</v>
      </c>
      <c r="D75" s="15">
        <f>IFERROR(__xludf.DUMMYFUNCTION("""COMPUTED_VALUE"""),1.013)</f>
        <v>1.013</v>
      </c>
      <c r="E75" s="16">
        <f>IFERROR(__xludf.DUMMYFUNCTION("""COMPUTED_VALUE"""),65.0)</f>
        <v>65</v>
      </c>
      <c r="F75" s="19" t="str">
        <f>IFERROR(__xludf.DUMMYFUNCTION("""COMPUTED_VALUE"""),"BLACK")</f>
        <v>BLACK</v>
      </c>
      <c r="G75" s="20" t="str">
        <f>IFERROR(__xludf.DUMMYFUNCTION("""COMPUTED_VALUE"""),"Tap 6 Clone (10/15/2021)")</f>
        <v>Tap 6 Clone (10/15/2021)</v>
      </c>
      <c r="H75" s="19"/>
    </row>
    <row r="76">
      <c r="A76" s="9"/>
      <c r="B76" s="15"/>
      <c r="C76" s="9">
        <f>IFERROR(__xludf.DUMMYFUNCTION("""COMPUTED_VALUE"""),44511.0328675925)</f>
        <v>44511.03287</v>
      </c>
      <c r="D76" s="15">
        <f>IFERROR(__xludf.DUMMYFUNCTION("""COMPUTED_VALUE"""),1.013)</f>
        <v>1.013</v>
      </c>
      <c r="E76" s="16">
        <f>IFERROR(__xludf.DUMMYFUNCTION("""COMPUTED_VALUE"""),65.0)</f>
        <v>65</v>
      </c>
      <c r="F76" s="19" t="str">
        <f>IFERROR(__xludf.DUMMYFUNCTION("""COMPUTED_VALUE"""),"BLACK")</f>
        <v>BLACK</v>
      </c>
      <c r="G76" s="20" t="str">
        <f>IFERROR(__xludf.DUMMYFUNCTION("""COMPUTED_VALUE"""),"Tap 6 Clone (10/15/2021)")</f>
        <v>Tap 6 Clone (10/15/2021)</v>
      </c>
      <c r="H76" s="19"/>
    </row>
    <row r="77">
      <c r="A77" s="9"/>
      <c r="B77" s="15"/>
      <c r="C77" s="9">
        <f>IFERROR(__xludf.DUMMYFUNCTION("""COMPUTED_VALUE"""),44511.022446875)</f>
        <v>44511.02245</v>
      </c>
      <c r="D77" s="15">
        <f>IFERROR(__xludf.DUMMYFUNCTION("""COMPUTED_VALUE"""),1.013)</f>
        <v>1.013</v>
      </c>
      <c r="E77" s="16">
        <f>IFERROR(__xludf.DUMMYFUNCTION("""COMPUTED_VALUE"""),65.0)</f>
        <v>65</v>
      </c>
      <c r="F77" s="19" t="str">
        <f>IFERROR(__xludf.DUMMYFUNCTION("""COMPUTED_VALUE"""),"BLACK")</f>
        <v>BLACK</v>
      </c>
      <c r="G77" s="20" t="str">
        <f>IFERROR(__xludf.DUMMYFUNCTION("""COMPUTED_VALUE"""),"Tap 6 Clone (10/15/2021)")</f>
        <v>Tap 6 Clone (10/15/2021)</v>
      </c>
      <c r="H77" s="19"/>
    </row>
    <row r="78">
      <c r="A78" s="9"/>
      <c r="B78" s="15"/>
      <c r="C78" s="9">
        <f>IFERROR(__xludf.DUMMYFUNCTION("""COMPUTED_VALUE"""),44511.0120255787)</f>
        <v>44511.01203</v>
      </c>
      <c r="D78" s="15">
        <f>IFERROR(__xludf.DUMMYFUNCTION("""COMPUTED_VALUE"""),1.013)</f>
        <v>1.013</v>
      </c>
      <c r="E78" s="16">
        <f>IFERROR(__xludf.DUMMYFUNCTION("""COMPUTED_VALUE"""),65.0)</f>
        <v>65</v>
      </c>
      <c r="F78" s="19" t="str">
        <f>IFERROR(__xludf.DUMMYFUNCTION("""COMPUTED_VALUE"""),"BLACK")</f>
        <v>BLACK</v>
      </c>
      <c r="G78" s="20" t="str">
        <f>IFERROR(__xludf.DUMMYFUNCTION("""COMPUTED_VALUE"""),"Tap 6 Clone (10/15/2021)")</f>
        <v>Tap 6 Clone (10/15/2021)</v>
      </c>
      <c r="H78" s="19"/>
    </row>
    <row r="79">
      <c r="A79" s="9"/>
      <c r="B79" s="15"/>
      <c r="C79" s="9">
        <f>IFERROR(__xludf.DUMMYFUNCTION("""COMPUTED_VALUE"""),44511.00160603)</f>
        <v>44511.00161</v>
      </c>
      <c r="D79" s="15">
        <f>IFERROR(__xludf.DUMMYFUNCTION("""COMPUTED_VALUE"""),1.013)</f>
        <v>1.013</v>
      </c>
      <c r="E79" s="16">
        <f>IFERROR(__xludf.DUMMYFUNCTION("""COMPUTED_VALUE"""),65.0)</f>
        <v>65</v>
      </c>
      <c r="F79" s="19" t="str">
        <f>IFERROR(__xludf.DUMMYFUNCTION("""COMPUTED_VALUE"""),"BLACK")</f>
        <v>BLACK</v>
      </c>
      <c r="G79" s="20" t="str">
        <f>IFERROR(__xludf.DUMMYFUNCTION("""COMPUTED_VALUE"""),"Tap 6 Clone (10/15/2021)")</f>
        <v>Tap 6 Clone (10/15/2021)</v>
      </c>
      <c r="H79" s="19"/>
    </row>
    <row r="80">
      <c r="A80" s="9"/>
      <c r="B80" s="15"/>
      <c r="C80" s="9">
        <f>IFERROR(__xludf.DUMMYFUNCTION("""COMPUTED_VALUE"""),44510.9911849305)</f>
        <v>44510.99118</v>
      </c>
      <c r="D80" s="15">
        <f>IFERROR(__xludf.DUMMYFUNCTION("""COMPUTED_VALUE"""),1.013)</f>
        <v>1.013</v>
      </c>
      <c r="E80" s="16">
        <f>IFERROR(__xludf.DUMMYFUNCTION("""COMPUTED_VALUE"""),65.0)</f>
        <v>65</v>
      </c>
      <c r="F80" s="19" t="str">
        <f>IFERROR(__xludf.DUMMYFUNCTION("""COMPUTED_VALUE"""),"BLACK")</f>
        <v>BLACK</v>
      </c>
      <c r="G80" s="20" t="str">
        <f>IFERROR(__xludf.DUMMYFUNCTION("""COMPUTED_VALUE"""),"Tap 6 Clone (10/15/2021)")</f>
        <v>Tap 6 Clone (10/15/2021)</v>
      </c>
      <c r="H80" s="19"/>
    </row>
    <row r="81">
      <c r="A81" s="9"/>
      <c r="B81" s="15"/>
      <c r="C81" s="9">
        <f>IFERROR(__xludf.DUMMYFUNCTION("""COMPUTED_VALUE"""),44510.9807618402)</f>
        <v>44510.98076</v>
      </c>
      <c r="D81" s="15">
        <f>IFERROR(__xludf.DUMMYFUNCTION("""COMPUTED_VALUE"""),1.013)</f>
        <v>1.013</v>
      </c>
      <c r="E81" s="16">
        <f>IFERROR(__xludf.DUMMYFUNCTION("""COMPUTED_VALUE"""),65.0)</f>
        <v>65</v>
      </c>
      <c r="F81" s="19" t="str">
        <f>IFERROR(__xludf.DUMMYFUNCTION("""COMPUTED_VALUE"""),"BLACK")</f>
        <v>BLACK</v>
      </c>
      <c r="G81" s="20" t="str">
        <f>IFERROR(__xludf.DUMMYFUNCTION("""COMPUTED_VALUE"""),"Tap 6 Clone (10/15/2021)")</f>
        <v>Tap 6 Clone (10/15/2021)</v>
      </c>
      <c r="H81" s="19"/>
    </row>
    <row r="82">
      <c r="A82" s="9"/>
      <c r="B82" s="15"/>
      <c r="C82" s="9">
        <f>IFERROR(__xludf.DUMMYFUNCTION("""COMPUTED_VALUE"""),44510.9703275925)</f>
        <v>44510.97033</v>
      </c>
      <c r="D82" s="15">
        <f>IFERROR(__xludf.DUMMYFUNCTION("""COMPUTED_VALUE"""),1.013)</f>
        <v>1.013</v>
      </c>
      <c r="E82" s="16">
        <f>IFERROR(__xludf.DUMMYFUNCTION("""COMPUTED_VALUE"""),65.0)</f>
        <v>65</v>
      </c>
      <c r="F82" s="19" t="str">
        <f>IFERROR(__xludf.DUMMYFUNCTION("""COMPUTED_VALUE"""),"BLACK")</f>
        <v>BLACK</v>
      </c>
      <c r="G82" s="20" t="str">
        <f>IFERROR(__xludf.DUMMYFUNCTION("""COMPUTED_VALUE"""),"Tap 6 Clone (10/15/2021)")</f>
        <v>Tap 6 Clone (10/15/2021)</v>
      </c>
      <c r="H82" s="19"/>
    </row>
    <row r="83">
      <c r="A83" s="9"/>
      <c r="B83" s="15"/>
      <c r="C83" s="9">
        <f>IFERROR(__xludf.DUMMYFUNCTION("""COMPUTED_VALUE"""),44510.9599050231)</f>
        <v>44510.95991</v>
      </c>
      <c r="D83" s="15">
        <f>IFERROR(__xludf.DUMMYFUNCTION("""COMPUTED_VALUE"""),1.013)</f>
        <v>1.013</v>
      </c>
      <c r="E83" s="16">
        <f>IFERROR(__xludf.DUMMYFUNCTION("""COMPUTED_VALUE"""),65.0)</f>
        <v>65</v>
      </c>
      <c r="F83" s="19" t="str">
        <f>IFERROR(__xludf.DUMMYFUNCTION("""COMPUTED_VALUE"""),"BLACK")</f>
        <v>BLACK</v>
      </c>
      <c r="G83" s="20" t="str">
        <f>IFERROR(__xludf.DUMMYFUNCTION("""COMPUTED_VALUE"""),"Tap 6 Clone (10/15/2021)")</f>
        <v>Tap 6 Clone (10/15/2021)</v>
      </c>
      <c r="H83" s="19"/>
    </row>
    <row r="84">
      <c r="A84" s="9"/>
      <c r="B84" s="15"/>
      <c r="C84" s="9">
        <f>IFERROR(__xludf.DUMMYFUNCTION("""COMPUTED_VALUE"""),44510.9494380208)</f>
        <v>44510.94944</v>
      </c>
      <c r="D84" s="15">
        <f>IFERROR(__xludf.DUMMYFUNCTION("""COMPUTED_VALUE"""),1.013)</f>
        <v>1.013</v>
      </c>
      <c r="E84" s="16">
        <f>IFERROR(__xludf.DUMMYFUNCTION("""COMPUTED_VALUE"""),65.0)</f>
        <v>65</v>
      </c>
      <c r="F84" s="19" t="str">
        <f>IFERROR(__xludf.DUMMYFUNCTION("""COMPUTED_VALUE"""),"BLACK")</f>
        <v>BLACK</v>
      </c>
      <c r="G84" s="20" t="str">
        <f>IFERROR(__xludf.DUMMYFUNCTION("""COMPUTED_VALUE"""),"Tap 6 Clone (10/15/2021)")</f>
        <v>Tap 6 Clone (10/15/2021)</v>
      </c>
      <c r="H84" s="19"/>
    </row>
    <row r="85">
      <c r="A85" s="9"/>
      <c r="B85" s="15"/>
      <c r="C85" s="9">
        <f>IFERROR(__xludf.DUMMYFUNCTION("""COMPUTED_VALUE"""),44510.9390179976)</f>
        <v>44510.93902</v>
      </c>
      <c r="D85" s="15">
        <f>IFERROR(__xludf.DUMMYFUNCTION("""COMPUTED_VALUE"""),1.013)</f>
        <v>1.013</v>
      </c>
      <c r="E85" s="16">
        <f>IFERROR(__xludf.DUMMYFUNCTION("""COMPUTED_VALUE"""),65.0)</f>
        <v>65</v>
      </c>
      <c r="F85" s="19" t="str">
        <f>IFERROR(__xludf.DUMMYFUNCTION("""COMPUTED_VALUE"""),"BLACK")</f>
        <v>BLACK</v>
      </c>
      <c r="G85" s="20" t="str">
        <f>IFERROR(__xludf.DUMMYFUNCTION("""COMPUTED_VALUE"""),"Tap 6 Clone (10/15/2021)")</f>
        <v>Tap 6 Clone (10/15/2021)</v>
      </c>
      <c r="H85" s="19"/>
    </row>
    <row r="86">
      <c r="A86" s="9"/>
      <c r="B86" s="15"/>
      <c r="C86" s="9">
        <f>IFERROR(__xludf.DUMMYFUNCTION("""COMPUTED_VALUE"""),44510.9285998495)</f>
        <v>44510.9286</v>
      </c>
      <c r="D86" s="15">
        <f>IFERROR(__xludf.DUMMYFUNCTION("""COMPUTED_VALUE"""),1.013)</f>
        <v>1.013</v>
      </c>
      <c r="E86" s="16">
        <f>IFERROR(__xludf.DUMMYFUNCTION("""COMPUTED_VALUE"""),65.0)</f>
        <v>65</v>
      </c>
      <c r="F86" s="19" t="str">
        <f>IFERROR(__xludf.DUMMYFUNCTION("""COMPUTED_VALUE"""),"BLACK")</f>
        <v>BLACK</v>
      </c>
      <c r="G86" s="20" t="str">
        <f>IFERROR(__xludf.DUMMYFUNCTION("""COMPUTED_VALUE"""),"Tap 6 Clone (10/15/2021)")</f>
        <v>Tap 6 Clone (10/15/2021)</v>
      </c>
      <c r="H86" s="19"/>
    </row>
    <row r="87">
      <c r="A87" s="9"/>
      <c r="B87" s="15"/>
      <c r="C87" s="9">
        <f>IFERROR(__xludf.DUMMYFUNCTION("""COMPUTED_VALUE"""),44510.9181776851)</f>
        <v>44510.91818</v>
      </c>
      <c r="D87" s="15">
        <f>IFERROR(__xludf.DUMMYFUNCTION("""COMPUTED_VALUE"""),1.013)</f>
        <v>1.013</v>
      </c>
      <c r="E87" s="16">
        <f>IFERROR(__xludf.DUMMYFUNCTION("""COMPUTED_VALUE"""),65.0)</f>
        <v>65</v>
      </c>
      <c r="F87" s="19" t="str">
        <f>IFERROR(__xludf.DUMMYFUNCTION("""COMPUTED_VALUE"""),"BLACK")</f>
        <v>BLACK</v>
      </c>
      <c r="G87" s="20" t="str">
        <f>IFERROR(__xludf.DUMMYFUNCTION("""COMPUTED_VALUE"""),"Tap 6 Clone (10/15/2021)")</f>
        <v>Tap 6 Clone (10/15/2021)</v>
      </c>
      <c r="H87" s="19"/>
    </row>
    <row r="88">
      <c r="A88" s="9"/>
      <c r="B88" s="15"/>
      <c r="C88" s="9">
        <f>IFERROR(__xludf.DUMMYFUNCTION("""COMPUTED_VALUE"""),44510.9077565509)</f>
        <v>44510.90776</v>
      </c>
      <c r="D88" s="15">
        <f>IFERROR(__xludf.DUMMYFUNCTION("""COMPUTED_VALUE"""),1.013)</f>
        <v>1.013</v>
      </c>
      <c r="E88" s="16">
        <f>IFERROR(__xludf.DUMMYFUNCTION("""COMPUTED_VALUE"""),65.0)</f>
        <v>65</v>
      </c>
      <c r="F88" s="19" t="str">
        <f>IFERROR(__xludf.DUMMYFUNCTION("""COMPUTED_VALUE"""),"BLACK")</f>
        <v>BLACK</v>
      </c>
      <c r="G88" s="20" t="str">
        <f>IFERROR(__xludf.DUMMYFUNCTION("""COMPUTED_VALUE"""),"Tap 6 Clone (10/15/2021)")</f>
        <v>Tap 6 Clone (10/15/2021)</v>
      </c>
      <c r="H88" s="19"/>
    </row>
    <row r="89">
      <c r="A89" s="9"/>
      <c r="B89" s="15"/>
      <c r="C89" s="9">
        <f>IFERROR(__xludf.DUMMYFUNCTION("""COMPUTED_VALUE"""),44510.8973352893)</f>
        <v>44510.89734</v>
      </c>
      <c r="D89" s="15">
        <f>IFERROR(__xludf.DUMMYFUNCTION("""COMPUTED_VALUE"""),1.013)</f>
        <v>1.013</v>
      </c>
      <c r="E89" s="16">
        <f>IFERROR(__xludf.DUMMYFUNCTION("""COMPUTED_VALUE"""),65.0)</f>
        <v>65</v>
      </c>
      <c r="F89" s="19" t="str">
        <f>IFERROR(__xludf.DUMMYFUNCTION("""COMPUTED_VALUE"""),"BLACK")</f>
        <v>BLACK</v>
      </c>
      <c r="G89" s="20" t="str">
        <f>IFERROR(__xludf.DUMMYFUNCTION("""COMPUTED_VALUE"""),"Tap 6 Clone (10/15/2021)")</f>
        <v>Tap 6 Clone (10/15/2021)</v>
      </c>
      <c r="H89" s="19"/>
    </row>
    <row r="90">
      <c r="A90" s="9"/>
      <c r="B90" s="15"/>
      <c r="C90" s="9">
        <f>IFERROR(__xludf.DUMMYFUNCTION("""COMPUTED_VALUE"""),44510.8869135532)</f>
        <v>44510.88691</v>
      </c>
      <c r="D90" s="15">
        <f>IFERROR(__xludf.DUMMYFUNCTION("""COMPUTED_VALUE"""),1.013)</f>
        <v>1.013</v>
      </c>
      <c r="E90" s="16">
        <f>IFERROR(__xludf.DUMMYFUNCTION("""COMPUTED_VALUE"""),65.0)</f>
        <v>65</v>
      </c>
      <c r="F90" s="19" t="str">
        <f>IFERROR(__xludf.DUMMYFUNCTION("""COMPUTED_VALUE"""),"BLACK")</f>
        <v>BLACK</v>
      </c>
      <c r="G90" s="20" t="str">
        <f>IFERROR(__xludf.DUMMYFUNCTION("""COMPUTED_VALUE"""),"Tap 6 Clone (10/15/2021)")</f>
        <v>Tap 6 Clone (10/15/2021)</v>
      </c>
      <c r="H90" s="19"/>
    </row>
    <row r="91">
      <c r="A91" s="9"/>
      <c r="B91" s="15"/>
      <c r="C91" s="9">
        <f>IFERROR(__xludf.DUMMYFUNCTION("""COMPUTED_VALUE"""),44510.8764936921)</f>
        <v>44510.87649</v>
      </c>
      <c r="D91" s="15">
        <f>IFERROR(__xludf.DUMMYFUNCTION("""COMPUTED_VALUE"""),1.013)</f>
        <v>1.013</v>
      </c>
      <c r="E91" s="16">
        <f>IFERROR(__xludf.DUMMYFUNCTION("""COMPUTED_VALUE"""),65.0)</f>
        <v>65</v>
      </c>
      <c r="F91" s="19" t="str">
        <f>IFERROR(__xludf.DUMMYFUNCTION("""COMPUTED_VALUE"""),"BLACK")</f>
        <v>BLACK</v>
      </c>
      <c r="G91" s="20" t="str">
        <f>IFERROR(__xludf.DUMMYFUNCTION("""COMPUTED_VALUE"""),"Tap 6 Clone (10/15/2021)")</f>
        <v>Tap 6 Clone (10/15/2021)</v>
      </c>
      <c r="H91" s="19"/>
    </row>
    <row r="92">
      <c r="A92" s="9"/>
      <c r="B92" s="15"/>
      <c r="C92" s="9">
        <f>IFERROR(__xludf.DUMMYFUNCTION("""COMPUTED_VALUE"""),44510.866061412)</f>
        <v>44510.86606</v>
      </c>
      <c r="D92" s="15">
        <f>IFERROR(__xludf.DUMMYFUNCTION("""COMPUTED_VALUE"""),1.013)</f>
        <v>1.013</v>
      </c>
      <c r="E92" s="16">
        <f>IFERROR(__xludf.DUMMYFUNCTION("""COMPUTED_VALUE"""),65.0)</f>
        <v>65</v>
      </c>
      <c r="F92" s="19" t="str">
        <f>IFERROR(__xludf.DUMMYFUNCTION("""COMPUTED_VALUE"""),"BLACK")</f>
        <v>BLACK</v>
      </c>
      <c r="G92" s="20" t="str">
        <f>IFERROR(__xludf.DUMMYFUNCTION("""COMPUTED_VALUE"""),"Tap 6 Clone (10/15/2021)")</f>
        <v>Tap 6 Clone (10/15/2021)</v>
      </c>
      <c r="H92" s="19"/>
    </row>
    <row r="93">
      <c r="A93" s="9"/>
      <c r="B93" s="15"/>
      <c r="C93" s="9">
        <f>IFERROR(__xludf.DUMMYFUNCTION("""COMPUTED_VALUE"""),44510.855629456)</f>
        <v>44510.85563</v>
      </c>
      <c r="D93" s="15">
        <f>IFERROR(__xludf.DUMMYFUNCTION("""COMPUTED_VALUE"""),1.013)</f>
        <v>1.013</v>
      </c>
      <c r="E93" s="16">
        <f>IFERROR(__xludf.DUMMYFUNCTION("""COMPUTED_VALUE"""),65.0)</f>
        <v>65</v>
      </c>
      <c r="F93" s="19" t="str">
        <f>IFERROR(__xludf.DUMMYFUNCTION("""COMPUTED_VALUE"""),"BLACK")</f>
        <v>BLACK</v>
      </c>
      <c r="G93" s="20" t="str">
        <f>IFERROR(__xludf.DUMMYFUNCTION("""COMPUTED_VALUE"""),"Tap 6 Clone (10/15/2021)")</f>
        <v>Tap 6 Clone (10/15/2021)</v>
      </c>
      <c r="H93" s="19"/>
    </row>
    <row r="94">
      <c r="A94" s="9"/>
      <c r="B94" s="15"/>
      <c r="C94" s="9">
        <f>IFERROR(__xludf.DUMMYFUNCTION("""COMPUTED_VALUE"""),44510.8452071875)</f>
        <v>44510.84521</v>
      </c>
      <c r="D94" s="15">
        <f>IFERROR(__xludf.DUMMYFUNCTION("""COMPUTED_VALUE"""),1.013)</f>
        <v>1.013</v>
      </c>
      <c r="E94" s="16">
        <f>IFERROR(__xludf.DUMMYFUNCTION("""COMPUTED_VALUE"""),65.0)</f>
        <v>65</v>
      </c>
      <c r="F94" s="19" t="str">
        <f>IFERROR(__xludf.DUMMYFUNCTION("""COMPUTED_VALUE"""),"BLACK")</f>
        <v>BLACK</v>
      </c>
      <c r="G94" s="20" t="str">
        <f>IFERROR(__xludf.DUMMYFUNCTION("""COMPUTED_VALUE"""),"Tap 6 Clone (10/15/2021)")</f>
        <v>Tap 6 Clone (10/15/2021)</v>
      </c>
      <c r="H94" s="19"/>
    </row>
    <row r="95">
      <c r="A95" s="9"/>
      <c r="B95" s="15"/>
      <c r="C95" s="9">
        <f>IFERROR(__xludf.DUMMYFUNCTION("""COMPUTED_VALUE"""),44510.8347741088)</f>
        <v>44510.83477</v>
      </c>
      <c r="D95" s="15">
        <f>IFERROR(__xludf.DUMMYFUNCTION("""COMPUTED_VALUE"""),1.013)</f>
        <v>1.013</v>
      </c>
      <c r="E95" s="16">
        <f>IFERROR(__xludf.DUMMYFUNCTION("""COMPUTED_VALUE"""),65.0)</f>
        <v>65</v>
      </c>
      <c r="F95" s="19" t="str">
        <f>IFERROR(__xludf.DUMMYFUNCTION("""COMPUTED_VALUE"""),"BLACK")</f>
        <v>BLACK</v>
      </c>
      <c r="G95" s="20" t="str">
        <f>IFERROR(__xludf.DUMMYFUNCTION("""COMPUTED_VALUE"""),"Tap 6 Clone (10/15/2021)")</f>
        <v>Tap 6 Clone (10/15/2021)</v>
      </c>
      <c r="H95" s="19"/>
    </row>
    <row r="96">
      <c r="A96" s="9"/>
      <c r="B96" s="15"/>
      <c r="C96" s="9">
        <f>IFERROR(__xludf.DUMMYFUNCTION("""COMPUTED_VALUE"""),44510.8243525115)</f>
        <v>44510.82435</v>
      </c>
      <c r="D96" s="15">
        <f>IFERROR(__xludf.DUMMYFUNCTION("""COMPUTED_VALUE"""),1.013)</f>
        <v>1.013</v>
      </c>
      <c r="E96" s="16">
        <f>IFERROR(__xludf.DUMMYFUNCTION("""COMPUTED_VALUE"""),65.0)</f>
        <v>65</v>
      </c>
      <c r="F96" s="19" t="str">
        <f>IFERROR(__xludf.DUMMYFUNCTION("""COMPUTED_VALUE"""),"BLACK")</f>
        <v>BLACK</v>
      </c>
      <c r="G96" s="20" t="str">
        <f>IFERROR(__xludf.DUMMYFUNCTION("""COMPUTED_VALUE"""),"Tap 6 Clone (10/15/2021)")</f>
        <v>Tap 6 Clone (10/15/2021)</v>
      </c>
      <c r="H96" s="19"/>
    </row>
    <row r="97">
      <c r="A97" s="9"/>
      <c r="B97" s="15"/>
      <c r="C97" s="9">
        <f>IFERROR(__xludf.DUMMYFUNCTION("""COMPUTED_VALUE"""),44510.8139295949)</f>
        <v>44510.81393</v>
      </c>
      <c r="D97" s="15">
        <f>IFERROR(__xludf.DUMMYFUNCTION("""COMPUTED_VALUE"""),1.013)</f>
        <v>1.013</v>
      </c>
      <c r="E97" s="16">
        <f>IFERROR(__xludf.DUMMYFUNCTION("""COMPUTED_VALUE"""),65.0)</f>
        <v>65</v>
      </c>
      <c r="F97" s="19" t="str">
        <f>IFERROR(__xludf.DUMMYFUNCTION("""COMPUTED_VALUE"""),"BLACK")</f>
        <v>BLACK</v>
      </c>
      <c r="G97" s="20" t="str">
        <f>IFERROR(__xludf.DUMMYFUNCTION("""COMPUTED_VALUE"""),"Tap 6 Clone (10/15/2021)")</f>
        <v>Tap 6 Clone (10/15/2021)</v>
      </c>
      <c r="H97" s="19"/>
    </row>
    <row r="98">
      <c r="A98" s="9"/>
      <c r="B98" s="15"/>
      <c r="C98" s="9">
        <f>IFERROR(__xludf.DUMMYFUNCTION("""COMPUTED_VALUE"""),44510.8035086342)</f>
        <v>44510.80351</v>
      </c>
      <c r="D98" s="15">
        <f>IFERROR(__xludf.DUMMYFUNCTION("""COMPUTED_VALUE"""),1.013)</f>
        <v>1.013</v>
      </c>
      <c r="E98" s="16">
        <f>IFERROR(__xludf.DUMMYFUNCTION("""COMPUTED_VALUE"""),65.0)</f>
        <v>65</v>
      </c>
      <c r="F98" s="19" t="str">
        <f>IFERROR(__xludf.DUMMYFUNCTION("""COMPUTED_VALUE"""),"BLACK")</f>
        <v>BLACK</v>
      </c>
      <c r="G98" s="20" t="str">
        <f>IFERROR(__xludf.DUMMYFUNCTION("""COMPUTED_VALUE"""),"Tap 6 Clone (10/15/2021)")</f>
        <v>Tap 6 Clone (10/15/2021)</v>
      </c>
      <c r="H98" s="19"/>
    </row>
    <row r="99">
      <c r="A99" s="9"/>
      <c r="B99" s="15"/>
      <c r="C99" s="9">
        <f>IFERROR(__xludf.DUMMYFUNCTION("""COMPUTED_VALUE"""),44510.793089074)</f>
        <v>44510.79309</v>
      </c>
      <c r="D99" s="15">
        <f>IFERROR(__xludf.DUMMYFUNCTION("""COMPUTED_VALUE"""),1.013)</f>
        <v>1.013</v>
      </c>
      <c r="E99" s="16">
        <f>IFERROR(__xludf.DUMMYFUNCTION("""COMPUTED_VALUE"""),65.0)</f>
        <v>65</v>
      </c>
      <c r="F99" s="19" t="str">
        <f>IFERROR(__xludf.DUMMYFUNCTION("""COMPUTED_VALUE"""),"BLACK")</f>
        <v>BLACK</v>
      </c>
      <c r="G99" s="20" t="str">
        <f>IFERROR(__xludf.DUMMYFUNCTION("""COMPUTED_VALUE"""),"Tap 6 Clone (10/15/2021)")</f>
        <v>Tap 6 Clone (10/15/2021)</v>
      </c>
      <c r="H99" s="19"/>
    </row>
    <row r="100">
      <c r="A100" s="9"/>
      <c r="B100" s="15"/>
      <c r="C100" s="9">
        <f>IFERROR(__xludf.DUMMYFUNCTION("""COMPUTED_VALUE"""),44510.7826686805)</f>
        <v>44510.78267</v>
      </c>
      <c r="D100" s="15">
        <f>IFERROR(__xludf.DUMMYFUNCTION("""COMPUTED_VALUE"""),1.013)</f>
        <v>1.013</v>
      </c>
      <c r="E100" s="16">
        <f>IFERROR(__xludf.DUMMYFUNCTION("""COMPUTED_VALUE"""),65.0)</f>
        <v>65</v>
      </c>
      <c r="F100" s="19" t="str">
        <f>IFERROR(__xludf.DUMMYFUNCTION("""COMPUTED_VALUE"""),"BLACK")</f>
        <v>BLACK</v>
      </c>
      <c r="G100" s="20" t="str">
        <f>IFERROR(__xludf.DUMMYFUNCTION("""COMPUTED_VALUE"""),"Tap 6 Clone (10/15/2021)")</f>
        <v>Tap 6 Clone (10/15/2021)</v>
      </c>
      <c r="H100" s="19"/>
    </row>
    <row r="101">
      <c r="A101" s="9"/>
      <c r="B101" s="15"/>
      <c r="C101" s="9">
        <f>IFERROR(__xludf.DUMMYFUNCTION("""COMPUTED_VALUE"""),44510.7722474768)</f>
        <v>44510.77225</v>
      </c>
      <c r="D101" s="15">
        <f>IFERROR(__xludf.DUMMYFUNCTION("""COMPUTED_VALUE"""),1.013)</f>
        <v>1.013</v>
      </c>
      <c r="E101" s="16">
        <f>IFERROR(__xludf.DUMMYFUNCTION("""COMPUTED_VALUE"""),65.0)</f>
        <v>65</v>
      </c>
      <c r="F101" s="19" t="str">
        <f>IFERROR(__xludf.DUMMYFUNCTION("""COMPUTED_VALUE"""),"BLACK")</f>
        <v>BLACK</v>
      </c>
      <c r="G101" s="20" t="str">
        <f>IFERROR(__xludf.DUMMYFUNCTION("""COMPUTED_VALUE"""),"Tap 6 Clone (10/15/2021)")</f>
        <v>Tap 6 Clone (10/15/2021)</v>
      </c>
      <c r="H101" s="19"/>
    </row>
    <row r="102">
      <c r="A102" s="9"/>
      <c r="B102" s="15"/>
      <c r="C102" s="9">
        <f>IFERROR(__xludf.DUMMYFUNCTION("""COMPUTED_VALUE"""),44510.7618252083)</f>
        <v>44510.76183</v>
      </c>
      <c r="D102" s="15">
        <f>IFERROR(__xludf.DUMMYFUNCTION("""COMPUTED_VALUE"""),1.013)</f>
        <v>1.013</v>
      </c>
      <c r="E102" s="16">
        <f>IFERROR(__xludf.DUMMYFUNCTION("""COMPUTED_VALUE"""),65.0)</f>
        <v>65</v>
      </c>
      <c r="F102" s="19" t="str">
        <f>IFERROR(__xludf.DUMMYFUNCTION("""COMPUTED_VALUE"""),"BLACK")</f>
        <v>BLACK</v>
      </c>
      <c r="G102" s="20" t="str">
        <f>IFERROR(__xludf.DUMMYFUNCTION("""COMPUTED_VALUE"""),"Tap 6 Clone (10/15/2021)")</f>
        <v>Tap 6 Clone (10/15/2021)</v>
      </c>
      <c r="H102" s="19"/>
    </row>
    <row r="103">
      <c r="A103" s="9"/>
      <c r="B103" s="15"/>
      <c r="C103" s="9">
        <f>IFERROR(__xludf.DUMMYFUNCTION("""COMPUTED_VALUE"""),44510.7514049305)</f>
        <v>44510.7514</v>
      </c>
      <c r="D103" s="15">
        <f>IFERROR(__xludf.DUMMYFUNCTION("""COMPUTED_VALUE"""),1.013)</f>
        <v>1.013</v>
      </c>
      <c r="E103" s="16">
        <f>IFERROR(__xludf.DUMMYFUNCTION("""COMPUTED_VALUE"""),65.0)</f>
        <v>65</v>
      </c>
      <c r="F103" s="19" t="str">
        <f>IFERROR(__xludf.DUMMYFUNCTION("""COMPUTED_VALUE"""),"BLACK")</f>
        <v>BLACK</v>
      </c>
      <c r="G103" s="20" t="str">
        <f>IFERROR(__xludf.DUMMYFUNCTION("""COMPUTED_VALUE"""),"Tap 6 Clone (10/15/2021)")</f>
        <v>Tap 6 Clone (10/15/2021)</v>
      </c>
      <c r="H103" s="19"/>
    </row>
    <row r="104">
      <c r="A104" s="9"/>
      <c r="B104" s="15"/>
      <c r="C104" s="9">
        <f>IFERROR(__xludf.DUMMYFUNCTION("""COMPUTED_VALUE"""),44510.7409833101)</f>
        <v>44510.74098</v>
      </c>
      <c r="D104" s="15">
        <f>IFERROR(__xludf.DUMMYFUNCTION("""COMPUTED_VALUE"""),1.013)</f>
        <v>1.013</v>
      </c>
      <c r="E104" s="16">
        <f>IFERROR(__xludf.DUMMYFUNCTION("""COMPUTED_VALUE"""),65.0)</f>
        <v>65</v>
      </c>
      <c r="F104" s="19" t="str">
        <f>IFERROR(__xludf.DUMMYFUNCTION("""COMPUTED_VALUE"""),"BLACK")</f>
        <v>BLACK</v>
      </c>
      <c r="G104" s="20" t="str">
        <f>IFERROR(__xludf.DUMMYFUNCTION("""COMPUTED_VALUE"""),"Tap 6 Clone (10/15/2021)")</f>
        <v>Tap 6 Clone (10/15/2021)</v>
      </c>
      <c r="H104" s="19"/>
    </row>
    <row r="105">
      <c r="A105" s="9"/>
      <c r="B105" s="15"/>
      <c r="C105" s="9">
        <f>IFERROR(__xludf.DUMMYFUNCTION("""COMPUTED_VALUE"""),44510.7305500578)</f>
        <v>44510.73055</v>
      </c>
      <c r="D105" s="15">
        <f>IFERROR(__xludf.DUMMYFUNCTION("""COMPUTED_VALUE"""),1.013)</f>
        <v>1.013</v>
      </c>
      <c r="E105" s="16">
        <f>IFERROR(__xludf.DUMMYFUNCTION("""COMPUTED_VALUE"""),65.0)</f>
        <v>65</v>
      </c>
      <c r="F105" s="19" t="str">
        <f>IFERROR(__xludf.DUMMYFUNCTION("""COMPUTED_VALUE"""),"BLACK")</f>
        <v>BLACK</v>
      </c>
      <c r="G105" s="20" t="str">
        <f>IFERROR(__xludf.DUMMYFUNCTION("""COMPUTED_VALUE"""),"Tap 6 Clone (10/15/2021)")</f>
        <v>Tap 6 Clone (10/15/2021)</v>
      </c>
      <c r="H105" s="19"/>
    </row>
    <row r="106">
      <c r="A106" s="9"/>
      <c r="B106" s="15"/>
      <c r="C106" s="9">
        <f>IFERROR(__xludf.DUMMYFUNCTION("""COMPUTED_VALUE"""),44510.7201285532)</f>
        <v>44510.72013</v>
      </c>
      <c r="D106" s="15">
        <f>IFERROR(__xludf.DUMMYFUNCTION("""COMPUTED_VALUE"""),1.013)</f>
        <v>1.013</v>
      </c>
      <c r="E106" s="16">
        <f>IFERROR(__xludf.DUMMYFUNCTION("""COMPUTED_VALUE"""),65.0)</f>
        <v>65</v>
      </c>
      <c r="F106" s="19" t="str">
        <f>IFERROR(__xludf.DUMMYFUNCTION("""COMPUTED_VALUE"""),"BLACK")</f>
        <v>BLACK</v>
      </c>
      <c r="G106" s="20" t="str">
        <f>IFERROR(__xludf.DUMMYFUNCTION("""COMPUTED_VALUE"""),"Tap 6 Clone (10/15/2021)")</f>
        <v>Tap 6 Clone (10/15/2021)</v>
      </c>
      <c r="H106" s="19"/>
    </row>
    <row r="107">
      <c r="A107" s="9"/>
      <c r="B107" s="15"/>
      <c r="C107" s="9">
        <f>IFERROR(__xludf.DUMMYFUNCTION("""COMPUTED_VALUE"""),44510.7097066782)</f>
        <v>44510.70971</v>
      </c>
      <c r="D107" s="15">
        <f>IFERROR(__xludf.DUMMYFUNCTION("""COMPUTED_VALUE"""),1.013)</f>
        <v>1.013</v>
      </c>
      <c r="E107" s="16">
        <f>IFERROR(__xludf.DUMMYFUNCTION("""COMPUTED_VALUE"""),65.0)</f>
        <v>65</v>
      </c>
      <c r="F107" s="19" t="str">
        <f>IFERROR(__xludf.DUMMYFUNCTION("""COMPUTED_VALUE"""),"BLACK")</f>
        <v>BLACK</v>
      </c>
      <c r="G107" s="20" t="str">
        <f>IFERROR(__xludf.DUMMYFUNCTION("""COMPUTED_VALUE"""),"Tap 6 Clone (10/15/2021)")</f>
        <v>Tap 6 Clone (10/15/2021)</v>
      </c>
      <c r="H107" s="19"/>
    </row>
    <row r="108">
      <c r="A108" s="9"/>
      <c r="B108" s="15"/>
      <c r="C108" s="9">
        <f>IFERROR(__xludf.DUMMYFUNCTION("""COMPUTED_VALUE"""),44510.6992856365)</f>
        <v>44510.69929</v>
      </c>
      <c r="D108" s="15">
        <f>IFERROR(__xludf.DUMMYFUNCTION("""COMPUTED_VALUE"""),1.013)</f>
        <v>1.013</v>
      </c>
      <c r="E108" s="16">
        <f>IFERROR(__xludf.DUMMYFUNCTION("""COMPUTED_VALUE"""),65.0)</f>
        <v>65</v>
      </c>
      <c r="F108" s="19" t="str">
        <f>IFERROR(__xludf.DUMMYFUNCTION("""COMPUTED_VALUE"""),"BLACK")</f>
        <v>BLACK</v>
      </c>
      <c r="G108" s="20" t="str">
        <f>IFERROR(__xludf.DUMMYFUNCTION("""COMPUTED_VALUE"""),"Tap 6 Clone (10/15/2021)")</f>
        <v>Tap 6 Clone (10/15/2021)</v>
      </c>
      <c r="H108" s="19"/>
    </row>
    <row r="109">
      <c r="A109" s="9"/>
      <c r="B109" s="15"/>
      <c r="C109" s="9">
        <f>IFERROR(__xludf.DUMMYFUNCTION("""COMPUTED_VALUE"""),44510.6888651967)</f>
        <v>44510.68887</v>
      </c>
      <c r="D109" s="15">
        <f>IFERROR(__xludf.DUMMYFUNCTION("""COMPUTED_VALUE"""),1.013)</f>
        <v>1.013</v>
      </c>
      <c r="E109" s="16">
        <f>IFERROR(__xludf.DUMMYFUNCTION("""COMPUTED_VALUE"""),65.0)</f>
        <v>65</v>
      </c>
      <c r="F109" s="19" t="str">
        <f>IFERROR(__xludf.DUMMYFUNCTION("""COMPUTED_VALUE"""),"BLACK")</f>
        <v>BLACK</v>
      </c>
      <c r="G109" s="20" t="str">
        <f>IFERROR(__xludf.DUMMYFUNCTION("""COMPUTED_VALUE"""),"Tap 6 Clone (10/15/2021)")</f>
        <v>Tap 6 Clone (10/15/2021)</v>
      </c>
      <c r="H109" s="19"/>
    </row>
    <row r="110">
      <c r="A110" s="9"/>
      <c r="B110" s="15"/>
      <c r="C110" s="9">
        <f>IFERROR(__xludf.DUMMYFUNCTION("""COMPUTED_VALUE"""),44510.6784438773)</f>
        <v>44510.67844</v>
      </c>
      <c r="D110" s="15">
        <f>IFERROR(__xludf.DUMMYFUNCTION("""COMPUTED_VALUE"""),1.013)</f>
        <v>1.013</v>
      </c>
      <c r="E110" s="16">
        <f>IFERROR(__xludf.DUMMYFUNCTION("""COMPUTED_VALUE"""),65.0)</f>
        <v>65</v>
      </c>
      <c r="F110" s="19" t="str">
        <f>IFERROR(__xludf.DUMMYFUNCTION("""COMPUTED_VALUE"""),"BLACK")</f>
        <v>BLACK</v>
      </c>
      <c r="G110" s="20" t="str">
        <f>IFERROR(__xludf.DUMMYFUNCTION("""COMPUTED_VALUE"""),"Tap 6 Clone (10/15/2021)")</f>
        <v>Tap 6 Clone (10/15/2021)</v>
      </c>
      <c r="H110" s="19"/>
    </row>
    <row r="111">
      <c r="A111" s="9"/>
      <c r="B111" s="15"/>
      <c r="C111" s="9">
        <f>IFERROR(__xludf.DUMMYFUNCTION("""COMPUTED_VALUE"""),44510.6680110185)</f>
        <v>44510.66801</v>
      </c>
      <c r="D111" s="15">
        <f>IFERROR(__xludf.DUMMYFUNCTION("""COMPUTED_VALUE"""),1.013)</f>
        <v>1.013</v>
      </c>
      <c r="E111" s="16">
        <f>IFERROR(__xludf.DUMMYFUNCTION("""COMPUTED_VALUE"""),65.0)</f>
        <v>65</v>
      </c>
      <c r="F111" s="19" t="str">
        <f>IFERROR(__xludf.DUMMYFUNCTION("""COMPUTED_VALUE"""),"BLACK")</f>
        <v>BLACK</v>
      </c>
      <c r="G111" s="20" t="str">
        <f>IFERROR(__xludf.DUMMYFUNCTION("""COMPUTED_VALUE"""),"Tap 6 Clone (10/15/2021)")</f>
        <v>Tap 6 Clone (10/15/2021)</v>
      </c>
      <c r="H111" s="19"/>
    </row>
    <row r="112">
      <c r="A112" s="9"/>
      <c r="B112" s="15"/>
      <c r="C112" s="9">
        <f>IFERROR(__xludf.DUMMYFUNCTION("""COMPUTED_VALUE"""),44510.6575915509)</f>
        <v>44510.65759</v>
      </c>
      <c r="D112" s="15">
        <f>IFERROR(__xludf.DUMMYFUNCTION("""COMPUTED_VALUE"""),1.013)</f>
        <v>1.013</v>
      </c>
      <c r="E112" s="16">
        <f>IFERROR(__xludf.DUMMYFUNCTION("""COMPUTED_VALUE"""),65.0)</f>
        <v>65</v>
      </c>
      <c r="F112" s="19" t="str">
        <f>IFERROR(__xludf.DUMMYFUNCTION("""COMPUTED_VALUE"""),"BLACK")</f>
        <v>BLACK</v>
      </c>
      <c r="G112" s="20" t="str">
        <f>IFERROR(__xludf.DUMMYFUNCTION("""COMPUTED_VALUE"""),"Tap 6 Clone (10/15/2021)")</f>
        <v>Tap 6 Clone (10/15/2021)</v>
      </c>
      <c r="H112" s="19"/>
    </row>
    <row r="113">
      <c r="A113" s="9"/>
      <c r="B113" s="15"/>
      <c r="C113" s="9">
        <f>IFERROR(__xludf.DUMMYFUNCTION("""COMPUTED_VALUE"""),44510.6471692592)</f>
        <v>44510.64717</v>
      </c>
      <c r="D113" s="15">
        <f>IFERROR(__xludf.DUMMYFUNCTION("""COMPUTED_VALUE"""),1.013)</f>
        <v>1.013</v>
      </c>
      <c r="E113" s="16">
        <f>IFERROR(__xludf.DUMMYFUNCTION("""COMPUTED_VALUE"""),65.0)</f>
        <v>65</v>
      </c>
      <c r="F113" s="19" t="str">
        <f>IFERROR(__xludf.DUMMYFUNCTION("""COMPUTED_VALUE"""),"BLACK")</f>
        <v>BLACK</v>
      </c>
      <c r="G113" s="20" t="str">
        <f>IFERROR(__xludf.DUMMYFUNCTION("""COMPUTED_VALUE"""),"Tap 6 Clone (10/15/2021)")</f>
        <v>Tap 6 Clone (10/15/2021)</v>
      </c>
      <c r="H113" s="19"/>
    </row>
    <row r="114">
      <c r="A114" s="9"/>
      <c r="B114" s="15"/>
      <c r="C114" s="9">
        <f>IFERROR(__xludf.DUMMYFUNCTION("""COMPUTED_VALUE"""),44510.6367483333)</f>
        <v>44510.63675</v>
      </c>
      <c r="D114" s="15">
        <f>IFERROR(__xludf.DUMMYFUNCTION("""COMPUTED_VALUE"""),1.013)</f>
        <v>1.013</v>
      </c>
      <c r="E114" s="16">
        <f>IFERROR(__xludf.DUMMYFUNCTION("""COMPUTED_VALUE"""),65.0)</f>
        <v>65</v>
      </c>
      <c r="F114" s="19" t="str">
        <f>IFERROR(__xludf.DUMMYFUNCTION("""COMPUTED_VALUE"""),"BLACK")</f>
        <v>BLACK</v>
      </c>
      <c r="G114" s="20" t="str">
        <f>IFERROR(__xludf.DUMMYFUNCTION("""COMPUTED_VALUE"""),"Tap 6 Clone (10/15/2021)")</f>
        <v>Tap 6 Clone (10/15/2021)</v>
      </c>
      <c r="H114" s="19"/>
    </row>
    <row r="115">
      <c r="A115" s="9"/>
      <c r="B115" s="15"/>
      <c r="C115" s="9">
        <f>IFERROR(__xludf.DUMMYFUNCTION("""COMPUTED_VALUE"""),44510.6263286805)</f>
        <v>44510.62633</v>
      </c>
      <c r="D115" s="15">
        <f>IFERROR(__xludf.DUMMYFUNCTION("""COMPUTED_VALUE"""),1.013)</f>
        <v>1.013</v>
      </c>
      <c r="E115" s="16">
        <f>IFERROR(__xludf.DUMMYFUNCTION("""COMPUTED_VALUE"""),65.0)</f>
        <v>65</v>
      </c>
      <c r="F115" s="19" t="str">
        <f>IFERROR(__xludf.DUMMYFUNCTION("""COMPUTED_VALUE"""),"BLACK")</f>
        <v>BLACK</v>
      </c>
      <c r="G115" s="20" t="str">
        <f>IFERROR(__xludf.DUMMYFUNCTION("""COMPUTED_VALUE"""),"Tap 6 Clone (10/15/2021)")</f>
        <v>Tap 6 Clone (10/15/2021)</v>
      </c>
      <c r="H115" s="19"/>
    </row>
    <row r="116">
      <c r="A116" s="9"/>
      <c r="B116" s="15"/>
      <c r="C116" s="9">
        <f>IFERROR(__xludf.DUMMYFUNCTION("""COMPUTED_VALUE"""),44510.6159069097)</f>
        <v>44510.61591</v>
      </c>
      <c r="D116" s="15">
        <f>IFERROR(__xludf.DUMMYFUNCTION("""COMPUTED_VALUE"""),1.013)</f>
        <v>1.013</v>
      </c>
      <c r="E116" s="16">
        <f>IFERROR(__xludf.DUMMYFUNCTION("""COMPUTED_VALUE"""),65.0)</f>
        <v>65</v>
      </c>
      <c r="F116" s="19" t="str">
        <f>IFERROR(__xludf.DUMMYFUNCTION("""COMPUTED_VALUE"""),"BLACK")</f>
        <v>BLACK</v>
      </c>
      <c r="G116" s="20" t="str">
        <f>IFERROR(__xludf.DUMMYFUNCTION("""COMPUTED_VALUE"""),"Tap 6 Clone (10/15/2021)")</f>
        <v>Tap 6 Clone (10/15/2021)</v>
      </c>
      <c r="H116" s="19"/>
    </row>
    <row r="117">
      <c r="A117" s="9"/>
      <c r="B117" s="15"/>
      <c r="C117" s="9">
        <f>IFERROR(__xludf.DUMMYFUNCTION("""COMPUTED_VALUE"""),44510.6054862152)</f>
        <v>44510.60549</v>
      </c>
      <c r="D117" s="15">
        <f>IFERROR(__xludf.DUMMYFUNCTION("""COMPUTED_VALUE"""),1.013)</f>
        <v>1.013</v>
      </c>
      <c r="E117" s="16">
        <f>IFERROR(__xludf.DUMMYFUNCTION("""COMPUTED_VALUE"""),65.0)</f>
        <v>65</v>
      </c>
      <c r="F117" s="19" t="str">
        <f>IFERROR(__xludf.DUMMYFUNCTION("""COMPUTED_VALUE"""),"BLACK")</f>
        <v>BLACK</v>
      </c>
      <c r="G117" s="20" t="str">
        <f>IFERROR(__xludf.DUMMYFUNCTION("""COMPUTED_VALUE"""),"Tap 6 Clone (10/15/2021)")</f>
        <v>Tap 6 Clone (10/15/2021)</v>
      </c>
      <c r="H117" s="19"/>
    </row>
    <row r="118">
      <c r="A118" s="9"/>
      <c r="B118" s="15"/>
      <c r="C118" s="9">
        <f>IFERROR(__xludf.DUMMYFUNCTION("""COMPUTED_VALUE"""),44510.5950661111)</f>
        <v>44510.59507</v>
      </c>
      <c r="D118" s="15">
        <f>IFERROR(__xludf.DUMMYFUNCTION("""COMPUTED_VALUE"""),1.013)</f>
        <v>1.013</v>
      </c>
      <c r="E118" s="16">
        <f>IFERROR(__xludf.DUMMYFUNCTION("""COMPUTED_VALUE"""),65.0)</f>
        <v>65</v>
      </c>
      <c r="F118" s="19" t="str">
        <f>IFERROR(__xludf.DUMMYFUNCTION("""COMPUTED_VALUE"""),"BLACK")</f>
        <v>BLACK</v>
      </c>
      <c r="G118" s="20" t="str">
        <f>IFERROR(__xludf.DUMMYFUNCTION("""COMPUTED_VALUE"""),"Tap 6 Clone (10/15/2021)")</f>
        <v>Tap 6 Clone (10/15/2021)</v>
      </c>
      <c r="H118" s="19"/>
    </row>
    <row r="119">
      <c r="A119" s="9"/>
      <c r="B119" s="15"/>
      <c r="C119" s="9">
        <f>IFERROR(__xludf.DUMMYFUNCTION("""COMPUTED_VALUE"""),44510.5846464814)</f>
        <v>44510.58465</v>
      </c>
      <c r="D119" s="15">
        <f>IFERROR(__xludf.DUMMYFUNCTION("""COMPUTED_VALUE"""),1.013)</f>
        <v>1.013</v>
      </c>
      <c r="E119" s="16">
        <f>IFERROR(__xludf.DUMMYFUNCTION("""COMPUTED_VALUE"""),65.0)</f>
        <v>65</v>
      </c>
      <c r="F119" s="19" t="str">
        <f>IFERROR(__xludf.DUMMYFUNCTION("""COMPUTED_VALUE"""),"BLACK")</f>
        <v>BLACK</v>
      </c>
      <c r="G119" s="20" t="str">
        <f>IFERROR(__xludf.DUMMYFUNCTION("""COMPUTED_VALUE"""),"Tap 6 Clone (10/15/2021)")</f>
        <v>Tap 6 Clone (10/15/2021)</v>
      </c>
      <c r="H119" s="19"/>
    </row>
    <row r="120">
      <c r="A120" s="9"/>
      <c r="B120" s="15"/>
      <c r="C120" s="9">
        <f>IFERROR(__xludf.DUMMYFUNCTION("""COMPUTED_VALUE"""),44510.5742166087)</f>
        <v>44510.57422</v>
      </c>
      <c r="D120" s="15">
        <f>IFERROR(__xludf.DUMMYFUNCTION("""COMPUTED_VALUE"""),1.013)</f>
        <v>1.013</v>
      </c>
      <c r="E120" s="16">
        <f>IFERROR(__xludf.DUMMYFUNCTION("""COMPUTED_VALUE"""),65.0)</f>
        <v>65</v>
      </c>
      <c r="F120" s="19" t="str">
        <f>IFERROR(__xludf.DUMMYFUNCTION("""COMPUTED_VALUE"""),"BLACK")</f>
        <v>BLACK</v>
      </c>
      <c r="G120" s="20" t="str">
        <f>IFERROR(__xludf.DUMMYFUNCTION("""COMPUTED_VALUE"""),"Tap 6 Clone (10/15/2021)")</f>
        <v>Tap 6 Clone (10/15/2021)</v>
      </c>
      <c r="H120" s="19"/>
    </row>
    <row r="121">
      <c r="A121" s="9"/>
      <c r="B121" s="15"/>
      <c r="C121" s="9">
        <f>IFERROR(__xludf.DUMMYFUNCTION("""COMPUTED_VALUE"""),44510.5637949768)</f>
        <v>44510.56379</v>
      </c>
      <c r="D121" s="15">
        <f>IFERROR(__xludf.DUMMYFUNCTION("""COMPUTED_VALUE"""),1.013)</f>
        <v>1.013</v>
      </c>
      <c r="E121" s="16">
        <f>IFERROR(__xludf.DUMMYFUNCTION("""COMPUTED_VALUE"""),65.0)</f>
        <v>65</v>
      </c>
      <c r="F121" s="19" t="str">
        <f>IFERROR(__xludf.DUMMYFUNCTION("""COMPUTED_VALUE"""),"BLACK")</f>
        <v>BLACK</v>
      </c>
      <c r="G121" s="20" t="str">
        <f>IFERROR(__xludf.DUMMYFUNCTION("""COMPUTED_VALUE"""),"Tap 6 Clone (10/15/2021)")</f>
        <v>Tap 6 Clone (10/15/2021)</v>
      </c>
      <c r="H121" s="19"/>
    </row>
    <row r="122">
      <c r="A122" s="9"/>
      <c r="B122" s="15"/>
      <c r="C122" s="9">
        <f>IFERROR(__xludf.DUMMYFUNCTION("""COMPUTED_VALUE"""),44510.5533738773)</f>
        <v>44510.55337</v>
      </c>
      <c r="D122" s="15">
        <f>IFERROR(__xludf.DUMMYFUNCTION("""COMPUTED_VALUE"""),1.013)</f>
        <v>1.013</v>
      </c>
      <c r="E122" s="16">
        <f>IFERROR(__xludf.DUMMYFUNCTION("""COMPUTED_VALUE"""),65.0)</f>
        <v>65</v>
      </c>
      <c r="F122" s="19" t="str">
        <f>IFERROR(__xludf.DUMMYFUNCTION("""COMPUTED_VALUE"""),"BLACK")</f>
        <v>BLACK</v>
      </c>
      <c r="G122" s="20" t="str">
        <f>IFERROR(__xludf.DUMMYFUNCTION("""COMPUTED_VALUE"""),"Tap 6 Clone (10/15/2021)")</f>
        <v>Tap 6 Clone (10/15/2021)</v>
      </c>
      <c r="H122" s="19"/>
    </row>
    <row r="123">
      <c r="A123" s="9"/>
      <c r="B123" s="15"/>
      <c r="C123" s="9">
        <f>IFERROR(__xludf.DUMMYFUNCTION("""COMPUTED_VALUE"""),44510.5429526273)</f>
        <v>44510.54295</v>
      </c>
      <c r="D123" s="15">
        <f>IFERROR(__xludf.DUMMYFUNCTION("""COMPUTED_VALUE"""),1.013)</f>
        <v>1.013</v>
      </c>
      <c r="E123" s="16">
        <f>IFERROR(__xludf.DUMMYFUNCTION("""COMPUTED_VALUE"""),65.0)</f>
        <v>65</v>
      </c>
      <c r="F123" s="19" t="str">
        <f>IFERROR(__xludf.DUMMYFUNCTION("""COMPUTED_VALUE"""),"BLACK")</f>
        <v>BLACK</v>
      </c>
      <c r="G123" s="20" t="str">
        <f>IFERROR(__xludf.DUMMYFUNCTION("""COMPUTED_VALUE"""),"Tap 6 Clone (10/15/2021)")</f>
        <v>Tap 6 Clone (10/15/2021)</v>
      </c>
      <c r="H123" s="19"/>
    </row>
    <row r="124">
      <c r="A124" s="9"/>
      <c r="B124" s="15"/>
      <c r="C124" s="9">
        <f>IFERROR(__xludf.DUMMYFUNCTION("""COMPUTED_VALUE"""),44510.532530949)</f>
        <v>44510.53253</v>
      </c>
      <c r="D124" s="15">
        <f>IFERROR(__xludf.DUMMYFUNCTION("""COMPUTED_VALUE"""),1.013)</f>
        <v>1.013</v>
      </c>
      <c r="E124" s="16">
        <f>IFERROR(__xludf.DUMMYFUNCTION("""COMPUTED_VALUE"""),65.0)</f>
        <v>65</v>
      </c>
      <c r="F124" s="19" t="str">
        <f>IFERROR(__xludf.DUMMYFUNCTION("""COMPUTED_VALUE"""),"BLACK")</f>
        <v>BLACK</v>
      </c>
      <c r="G124" s="20" t="str">
        <f>IFERROR(__xludf.DUMMYFUNCTION("""COMPUTED_VALUE"""),"Tap 6 Clone (10/15/2021)")</f>
        <v>Tap 6 Clone (10/15/2021)</v>
      </c>
      <c r="H124" s="19"/>
    </row>
    <row r="125">
      <c r="A125" s="9"/>
      <c r="B125" s="15"/>
      <c r="C125" s="9">
        <f>IFERROR(__xludf.DUMMYFUNCTION("""COMPUTED_VALUE"""),44510.522109074)</f>
        <v>44510.52211</v>
      </c>
      <c r="D125" s="15">
        <f>IFERROR(__xludf.DUMMYFUNCTION("""COMPUTED_VALUE"""),1.013)</f>
        <v>1.013</v>
      </c>
      <c r="E125" s="16">
        <f>IFERROR(__xludf.DUMMYFUNCTION("""COMPUTED_VALUE"""),65.0)</f>
        <v>65</v>
      </c>
      <c r="F125" s="19" t="str">
        <f>IFERROR(__xludf.DUMMYFUNCTION("""COMPUTED_VALUE"""),"BLACK")</f>
        <v>BLACK</v>
      </c>
      <c r="G125" s="20" t="str">
        <f>IFERROR(__xludf.DUMMYFUNCTION("""COMPUTED_VALUE"""),"Tap 6 Clone (10/15/2021)")</f>
        <v>Tap 6 Clone (10/15/2021)</v>
      </c>
      <c r="H125" s="19"/>
    </row>
    <row r="126">
      <c r="A126" s="9"/>
      <c r="B126" s="15"/>
      <c r="C126" s="9">
        <f>IFERROR(__xludf.DUMMYFUNCTION("""COMPUTED_VALUE"""),44510.5116878935)</f>
        <v>44510.51169</v>
      </c>
      <c r="D126" s="15">
        <f>IFERROR(__xludf.DUMMYFUNCTION("""COMPUTED_VALUE"""),1.013)</f>
        <v>1.013</v>
      </c>
      <c r="E126" s="16">
        <f>IFERROR(__xludf.DUMMYFUNCTION("""COMPUTED_VALUE"""),65.0)</f>
        <v>65</v>
      </c>
      <c r="F126" s="19" t="str">
        <f>IFERROR(__xludf.DUMMYFUNCTION("""COMPUTED_VALUE"""),"BLACK")</f>
        <v>BLACK</v>
      </c>
      <c r="G126" s="20" t="str">
        <f>IFERROR(__xludf.DUMMYFUNCTION("""COMPUTED_VALUE"""),"Tap 6 Clone (10/15/2021)")</f>
        <v>Tap 6 Clone (10/15/2021)</v>
      </c>
      <c r="H126" s="19"/>
    </row>
    <row r="127">
      <c r="A127" s="9"/>
      <c r="B127" s="15"/>
      <c r="C127" s="9">
        <f>IFERROR(__xludf.DUMMYFUNCTION("""COMPUTED_VALUE"""),44510.5012651273)</f>
        <v>44510.50127</v>
      </c>
      <c r="D127" s="15">
        <f>IFERROR(__xludf.DUMMYFUNCTION("""COMPUTED_VALUE"""),1.013)</f>
        <v>1.013</v>
      </c>
      <c r="E127" s="16">
        <f>IFERROR(__xludf.DUMMYFUNCTION("""COMPUTED_VALUE"""),65.0)</f>
        <v>65</v>
      </c>
      <c r="F127" s="19" t="str">
        <f>IFERROR(__xludf.DUMMYFUNCTION("""COMPUTED_VALUE"""),"BLACK")</f>
        <v>BLACK</v>
      </c>
      <c r="G127" s="20" t="str">
        <f>IFERROR(__xludf.DUMMYFUNCTION("""COMPUTED_VALUE"""),"Tap 6 Clone (10/15/2021)")</f>
        <v>Tap 6 Clone (10/15/2021)</v>
      </c>
      <c r="H127" s="19"/>
    </row>
    <row r="128">
      <c r="A128" s="9"/>
      <c r="B128" s="15"/>
      <c r="C128" s="9">
        <f>IFERROR(__xludf.DUMMYFUNCTION("""COMPUTED_VALUE"""),44510.4908441203)</f>
        <v>44510.49084</v>
      </c>
      <c r="D128" s="15">
        <f>IFERROR(__xludf.DUMMYFUNCTION("""COMPUTED_VALUE"""),1.013)</f>
        <v>1.013</v>
      </c>
      <c r="E128" s="16">
        <f>IFERROR(__xludf.DUMMYFUNCTION("""COMPUTED_VALUE"""),65.0)</f>
        <v>65</v>
      </c>
      <c r="F128" s="19" t="str">
        <f>IFERROR(__xludf.DUMMYFUNCTION("""COMPUTED_VALUE"""),"BLACK")</f>
        <v>BLACK</v>
      </c>
      <c r="G128" s="20" t="str">
        <f>IFERROR(__xludf.DUMMYFUNCTION("""COMPUTED_VALUE"""),"Tap 6 Clone (10/15/2021)")</f>
        <v>Tap 6 Clone (10/15/2021)</v>
      </c>
      <c r="H128" s="19"/>
    </row>
    <row r="129">
      <c r="A129" s="9"/>
      <c r="B129" s="15"/>
      <c r="C129" s="9">
        <f>IFERROR(__xludf.DUMMYFUNCTION("""COMPUTED_VALUE"""),44510.4804219907)</f>
        <v>44510.48042</v>
      </c>
      <c r="D129" s="15">
        <f>IFERROR(__xludf.DUMMYFUNCTION("""COMPUTED_VALUE"""),1.013)</f>
        <v>1.013</v>
      </c>
      <c r="E129" s="16">
        <f>IFERROR(__xludf.DUMMYFUNCTION("""COMPUTED_VALUE"""),65.0)</f>
        <v>65</v>
      </c>
      <c r="F129" s="19" t="str">
        <f>IFERROR(__xludf.DUMMYFUNCTION("""COMPUTED_VALUE"""),"BLACK")</f>
        <v>BLACK</v>
      </c>
      <c r="G129" s="20" t="str">
        <f>IFERROR(__xludf.DUMMYFUNCTION("""COMPUTED_VALUE"""),"Tap 6 Clone (10/15/2021)")</f>
        <v>Tap 6 Clone (10/15/2021)</v>
      </c>
      <c r="H129" s="19"/>
    </row>
    <row r="130">
      <c r="A130" s="9"/>
      <c r="B130" s="15"/>
      <c r="C130" s="9">
        <f>IFERROR(__xludf.DUMMYFUNCTION("""COMPUTED_VALUE"""),44510.4699891203)</f>
        <v>44510.46999</v>
      </c>
      <c r="D130" s="15">
        <f>IFERROR(__xludf.DUMMYFUNCTION("""COMPUTED_VALUE"""),1.013)</f>
        <v>1.013</v>
      </c>
      <c r="E130" s="16">
        <f>IFERROR(__xludf.DUMMYFUNCTION("""COMPUTED_VALUE"""),65.0)</f>
        <v>65</v>
      </c>
      <c r="F130" s="19" t="str">
        <f>IFERROR(__xludf.DUMMYFUNCTION("""COMPUTED_VALUE"""),"BLACK")</f>
        <v>BLACK</v>
      </c>
      <c r="G130" s="20" t="str">
        <f>IFERROR(__xludf.DUMMYFUNCTION("""COMPUTED_VALUE"""),"Tap 6 Clone (10/15/2021)")</f>
        <v>Tap 6 Clone (10/15/2021)</v>
      </c>
      <c r="H130" s="19"/>
    </row>
    <row r="131">
      <c r="A131" s="9"/>
      <c r="B131" s="15"/>
      <c r="C131" s="9">
        <f>IFERROR(__xludf.DUMMYFUNCTION("""COMPUTED_VALUE"""),44510.4595681712)</f>
        <v>44510.45957</v>
      </c>
      <c r="D131" s="15">
        <f>IFERROR(__xludf.DUMMYFUNCTION("""COMPUTED_VALUE"""),1.013)</f>
        <v>1.013</v>
      </c>
      <c r="E131" s="16">
        <f>IFERROR(__xludf.DUMMYFUNCTION("""COMPUTED_VALUE"""),65.0)</f>
        <v>65</v>
      </c>
      <c r="F131" s="19" t="str">
        <f>IFERROR(__xludf.DUMMYFUNCTION("""COMPUTED_VALUE"""),"BLACK")</f>
        <v>BLACK</v>
      </c>
      <c r="G131" s="20" t="str">
        <f>IFERROR(__xludf.DUMMYFUNCTION("""COMPUTED_VALUE"""),"Tap 6 Clone (10/15/2021)")</f>
        <v>Tap 6 Clone (10/15/2021)</v>
      </c>
      <c r="H131" s="19"/>
    </row>
    <row r="132">
      <c r="A132" s="9"/>
      <c r="B132" s="15"/>
      <c r="C132" s="9">
        <f>IFERROR(__xludf.DUMMYFUNCTION("""COMPUTED_VALUE"""),44510.4491461458)</f>
        <v>44510.44915</v>
      </c>
      <c r="D132" s="15">
        <f>IFERROR(__xludf.DUMMYFUNCTION("""COMPUTED_VALUE"""),1.013)</f>
        <v>1.013</v>
      </c>
      <c r="E132" s="16">
        <f>IFERROR(__xludf.DUMMYFUNCTION("""COMPUTED_VALUE"""),65.0)</f>
        <v>65</v>
      </c>
      <c r="F132" s="19" t="str">
        <f>IFERROR(__xludf.DUMMYFUNCTION("""COMPUTED_VALUE"""),"BLACK")</f>
        <v>BLACK</v>
      </c>
      <c r="G132" s="20" t="str">
        <f>IFERROR(__xludf.DUMMYFUNCTION("""COMPUTED_VALUE"""),"Tap 6 Clone (10/15/2021)")</f>
        <v>Tap 6 Clone (10/15/2021)</v>
      </c>
      <c r="H132" s="19"/>
    </row>
    <row r="133">
      <c r="A133" s="9"/>
      <c r="B133" s="15"/>
      <c r="C133" s="9">
        <f>IFERROR(__xludf.DUMMYFUNCTION("""COMPUTED_VALUE"""),44510.4387269444)</f>
        <v>44510.43873</v>
      </c>
      <c r="D133" s="15">
        <f>IFERROR(__xludf.DUMMYFUNCTION("""COMPUTED_VALUE"""),1.013)</f>
        <v>1.013</v>
      </c>
      <c r="E133" s="16">
        <f>IFERROR(__xludf.DUMMYFUNCTION("""COMPUTED_VALUE"""),65.0)</f>
        <v>65</v>
      </c>
      <c r="F133" s="19" t="str">
        <f>IFERROR(__xludf.DUMMYFUNCTION("""COMPUTED_VALUE"""),"BLACK")</f>
        <v>BLACK</v>
      </c>
      <c r="G133" s="20" t="str">
        <f>IFERROR(__xludf.DUMMYFUNCTION("""COMPUTED_VALUE"""),"Tap 6 Clone (10/15/2021)")</f>
        <v>Tap 6 Clone (10/15/2021)</v>
      </c>
      <c r="H133" s="19"/>
    </row>
    <row r="134">
      <c r="A134" s="9"/>
      <c r="B134" s="15"/>
      <c r="C134" s="9">
        <f>IFERROR(__xludf.DUMMYFUNCTION("""COMPUTED_VALUE"""),44510.4283060763)</f>
        <v>44510.42831</v>
      </c>
      <c r="D134" s="15">
        <f>IFERROR(__xludf.DUMMYFUNCTION("""COMPUTED_VALUE"""),1.013)</f>
        <v>1.013</v>
      </c>
      <c r="E134" s="16">
        <f>IFERROR(__xludf.DUMMYFUNCTION("""COMPUTED_VALUE"""),65.0)</f>
        <v>65</v>
      </c>
      <c r="F134" s="19" t="str">
        <f>IFERROR(__xludf.DUMMYFUNCTION("""COMPUTED_VALUE"""),"BLACK")</f>
        <v>BLACK</v>
      </c>
      <c r="G134" s="20" t="str">
        <f>IFERROR(__xludf.DUMMYFUNCTION("""COMPUTED_VALUE"""),"Tap 6 Clone (10/15/2021)")</f>
        <v>Tap 6 Clone (10/15/2021)</v>
      </c>
      <c r="H134" s="19"/>
    </row>
    <row r="135">
      <c r="A135" s="9"/>
      <c r="B135" s="15"/>
      <c r="C135" s="9">
        <f>IFERROR(__xludf.DUMMYFUNCTION("""COMPUTED_VALUE"""),44510.4178849768)</f>
        <v>44510.41788</v>
      </c>
      <c r="D135" s="15">
        <f>IFERROR(__xludf.DUMMYFUNCTION("""COMPUTED_VALUE"""),1.013)</f>
        <v>1.013</v>
      </c>
      <c r="E135" s="16">
        <f>IFERROR(__xludf.DUMMYFUNCTION("""COMPUTED_VALUE"""),65.0)</f>
        <v>65</v>
      </c>
      <c r="F135" s="19" t="str">
        <f>IFERROR(__xludf.DUMMYFUNCTION("""COMPUTED_VALUE"""),"BLACK")</f>
        <v>BLACK</v>
      </c>
      <c r="G135" s="20" t="str">
        <f>IFERROR(__xludf.DUMMYFUNCTION("""COMPUTED_VALUE"""),"Tap 6 Clone (10/15/2021)")</f>
        <v>Tap 6 Clone (10/15/2021)</v>
      </c>
      <c r="H135" s="19"/>
    </row>
    <row r="136">
      <c r="A136" s="9"/>
      <c r="B136" s="15"/>
      <c r="C136" s="9">
        <f>IFERROR(__xludf.DUMMYFUNCTION("""COMPUTED_VALUE"""),44510.4074637384)</f>
        <v>44510.40746</v>
      </c>
      <c r="D136" s="15">
        <f>IFERROR(__xludf.DUMMYFUNCTION("""COMPUTED_VALUE"""),1.013)</f>
        <v>1.013</v>
      </c>
      <c r="E136" s="16">
        <f>IFERROR(__xludf.DUMMYFUNCTION("""COMPUTED_VALUE"""),65.0)</f>
        <v>65</v>
      </c>
      <c r="F136" s="19" t="str">
        <f>IFERROR(__xludf.DUMMYFUNCTION("""COMPUTED_VALUE"""),"BLACK")</f>
        <v>BLACK</v>
      </c>
      <c r="G136" s="20" t="str">
        <f>IFERROR(__xludf.DUMMYFUNCTION("""COMPUTED_VALUE"""),"Tap 6 Clone (10/15/2021)")</f>
        <v>Tap 6 Clone (10/15/2021)</v>
      </c>
      <c r="H136" s="19"/>
    </row>
    <row r="137">
      <c r="A137" s="9"/>
      <c r="B137" s="15"/>
      <c r="C137" s="9">
        <f>IFERROR(__xludf.DUMMYFUNCTION("""COMPUTED_VALUE"""),44510.3970412036)</f>
        <v>44510.39704</v>
      </c>
      <c r="D137" s="15">
        <f>IFERROR(__xludf.DUMMYFUNCTION("""COMPUTED_VALUE"""),1.013)</f>
        <v>1.013</v>
      </c>
      <c r="E137" s="16">
        <f>IFERROR(__xludf.DUMMYFUNCTION("""COMPUTED_VALUE"""),65.0)</f>
        <v>65</v>
      </c>
      <c r="F137" s="19" t="str">
        <f>IFERROR(__xludf.DUMMYFUNCTION("""COMPUTED_VALUE"""),"BLACK")</f>
        <v>BLACK</v>
      </c>
      <c r="G137" s="20" t="str">
        <f>IFERROR(__xludf.DUMMYFUNCTION("""COMPUTED_VALUE"""),"Tap 6 Clone (10/15/2021)")</f>
        <v>Tap 6 Clone (10/15/2021)</v>
      </c>
      <c r="H137" s="19"/>
    </row>
    <row r="138">
      <c r="A138" s="9"/>
      <c r="B138" s="15"/>
      <c r="C138" s="9">
        <f>IFERROR(__xludf.DUMMYFUNCTION("""COMPUTED_VALUE"""),44510.3866196527)</f>
        <v>44510.38662</v>
      </c>
      <c r="D138" s="15">
        <f>IFERROR(__xludf.DUMMYFUNCTION("""COMPUTED_VALUE"""),1.013)</f>
        <v>1.013</v>
      </c>
      <c r="E138" s="16">
        <f>IFERROR(__xludf.DUMMYFUNCTION("""COMPUTED_VALUE"""),65.0)</f>
        <v>65</v>
      </c>
      <c r="F138" s="19" t="str">
        <f>IFERROR(__xludf.DUMMYFUNCTION("""COMPUTED_VALUE"""),"BLACK")</f>
        <v>BLACK</v>
      </c>
      <c r="G138" s="20" t="str">
        <f>IFERROR(__xludf.DUMMYFUNCTION("""COMPUTED_VALUE"""),"Tap 6 Clone (10/15/2021)")</f>
        <v>Tap 6 Clone (10/15/2021)</v>
      </c>
      <c r="H138" s="19"/>
    </row>
    <row r="139">
      <c r="A139" s="9"/>
      <c r="B139" s="15"/>
      <c r="C139" s="9">
        <f>IFERROR(__xludf.DUMMYFUNCTION("""COMPUTED_VALUE"""),44510.3762002199)</f>
        <v>44510.3762</v>
      </c>
      <c r="D139" s="15">
        <f>IFERROR(__xludf.DUMMYFUNCTION("""COMPUTED_VALUE"""),1.013)</f>
        <v>1.013</v>
      </c>
      <c r="E139" s="16">
        <f>IFERROR(__xludf.DUMMYFUNCTION("""COMPUTED_VALUE"""),65.0)</f>
        <v>65</v>
      </c>
      <c r="F139" s="19" t="str">
        <f>IFERROR(__xludf.DUMMYFUNCTION("""COMPUTED_VALUE"""),"BLACK")</f>
        <v>BLACK</v>
      </c>
      <c r="G139" s="20" t="str">
        <f>IFERROR(__xludf.DUMMYFUNCTION("""COMPUTED_VALUE"""),"Tap 6 Clone (10/15/2021)")</f>
        <v>Tap 6 Clone (10/15/2021)</v>
      </c>
      <c r="H139" s="19"/>
    </row>
    <row r="140">
      <c r="A140" s="9"/>
      <c r="B140" s="15"/>
      <c r="C140" s="9">
        <f>IFERROR(__xludf.DUMMYFUNCTION("""COMPUTED_VALUE"""),44510.3657786342)</f>
        <v>44510.36578</v>
      </c>
      <c r="D140" s="15">
        <f>IFERROR(__xludf.DUMMYFUNCTION("""COMPUTED_VALUE"""),1.013)</f>
        <v>1.013</v>
      </c>
      <c r="E140" s="16">
        <f>IFERROR(__xludf.DUMMYFUNCTION("""COMPUTED_VALUE"""),65.0)</f>
        <v>65</v>
      </c>
      <c r="F140" s="19" t="str">
        <f>IFERROR(__xludf.DUMMYFUNCTION("""COMPUTED_VALUE"""),"BLACK")</f>
        <v>BLACK</v>
      </c>
      <c r="G140" s="20" t="str">
        <f>IFERROR(__xludf.DUMMYFUNCTION("""COMPUTED_VALUE"""),"Tap 6 Clone (10/15/2021)")</f>
        <v>Tap 6 Clone (10/15/2021)</v>
      </c>
      <c r="H140" s="19"/>
    </row>
    <row r="141">
      <c r="A141" s="9"/>
      <c r="B141" s="15"/>
      <c r="C141" s="9">
        <f>IFERROR(__xludf.DUMMYFUNCTION("""COMPUTED_VALUE"""),44510.355346493)</f>
        <v>44510.35535</v>
      </c>
      <c r="D141" s="15">
        <f>IFERROR(__xludf.DUMMYFUNCTION("""COMPUTED_VALUE"""),1.013)</f>
        <v>1.013</v>
      </c>
      <c r="E141" s="16">
        <f>IFERROR(__xludf.DUMMYFUNCTION("""COMPUTED_VALUE"""),65.0)</f>
        <v>65</v>
      </c>
      <c r="F141" s="19" t="str">
        <f>IFERROR(__xludf.DUMMYFUNCTION("""COMPUTED_VALUE"""),"BLACK")</f>
        <v>BLACK</v>
      </c>
      <c r="G141" s="20" t="str">
        <f>IFERROR(__xludf.DUMMYFUNCTION("""COMPUTED_VALUE"""),"Tap 6 Clone (10/15/2021)")</f>
        <v>Tap 6 Clone (10/15/2021)</v>
      </c>
      <c r="H141" s="19"/>
    </row>
    <row r="142">
      <c r="A142" s="9"/>
      <c r="B142" s="15"/>
      <c r="C142" s="9">
        <f>IFERROR(__xludf.DUMMYFUNCTION("""COMPUTED_VALUE"""),44510.3449251851)</f>
        <v>44510.34493</v>
      </c>
      <c r="D142" s="15">
        <f>IFERROR(__xludf.DUMMYFUNCTION("""COMPUTED_VALUE"""),1.013)</f>
        <v>1.013</v>
      </c>
      <c r="E142" s="16">
        <f>IFERROR(__xludf.DUMMYFUNCTION("""COMPUTED_VALUE"""),65.0)</f>
        <v>65</v>
      </c>
      <c r="F142" s="19" t="str">
        <f>IFERROR(__xludf.DUMMYFUNCTION("""COMPUTED_VALUE"""),"BLACK")</f>
        <v>BLACK</v>
      </c>
      <c r="G142" s="20" t="str">
        <f>IFERROR(__xludf.DUMMYFUNCTION("""COMPUTED_VALUE"""),"Tap 6 Clone (10/15/2021)")</f>
        <v>Tap 6 Clone (10/15/2021)</v>
      </c>
      <c r="H142" s="19"/>
    </row>
    <row r="143">
      <c r="A143" s="9"/>
      <c r="B143" s="15"/>
      <c r="C143" s="9">
        <f>IFERROR(__xludf.DUMMYFUNCTION("""COMPUTED_VALUE"""),44510.3345037384)</f>
        <v>44510.3345</v>
      </c>
      <c r="D143" s="15">
        <f>IFERROR(__xludf.DUMMYFUNCTION("""COMPUTED_VALUE"""),1.013)</f>
        <v>1.013</v>
      </c>
      <c r="E143" s="16">
        <f>IFERROR(__xludf.DUMMYFUNCTION("""COMPUTED_VALUE"""),65.0)</f>
        <v>65</v>
      </c>
      <c r="F143" s="19" t="str">
        <f>IFERROR(__xludf.DUMMYFUNCTION("""COMPUTED_VALUE"""),"BLACK")</f>
        <v>BLACK</v>
      </c>
      <c r="G143" s="20" t="str">
        <f>IFERROR(__xludf.DUMMYFUNCTION("""COMPUTED_VALUE"""),"Tap 6 Clone (10/15/2021)")</f>
        <v>Tap 6 Clone (10/15/2021)</v>
      </c>
      <c r="H143" s="19"/>
    </row>
    <row r="144">
      <c r="A144" s="9"/>
      <c r="B144" s="15"/>
      <c r="C144" s="9">
        <f>IFERROR(__xludf.DUMMYFUNCTION("""COMPUTED_VALUE"""),44510.3240813194)</f>
        <v>44510.32408</v>
      </c>
      <c r="D144" s="15">
        <f>IFERROR(__xludf.DUMMYFUNCTION("""COMPUTED_VALUE"""),1.013)</f>
        <v>1.013</v>
      </c>
      <c r="E144" s="16">
        <f>IFERROR(__xludf.DUMMYFUNCTION("""COMPUTED_VALUE"""),65.0)</f>
        <v>65</v>
      </c>
      <c r="F144" s="19" t="str">
        <f>IFERROR(__xludf.DUMMYFUNCTION("""COMPUTED_VALUE"""),"BLACK")</f>
        <v>BLACK</v>
      </c>
      <c r="G144" s="20" t="str">
        <f>IFERROR(__xludf.DUMMYFUNCTION("""COMPUTED_VALUE"""),"Tap 6 Clone (10/15/2021)")</f>
        <v>Tap 6 Clone (10/15/2021)</v>
      </c>
      <c r="H144" s="19"/>
    </row>
    <row r="145">
      <c r="A145" s="9"/>
      <c r="B145" s="15"/>
      <c r="C145" s="9">
        <f>IFERROR(__xludf.DUMMYFUNCTION("""COMPUTED_VALUE"""),44510.3136604745)</f>
        <v>44510.31366</v>
      </c>
      <c r="D145" s="15">
        <f>IFERROR(__xludf.DUMMYFUNCTION("""COMPUTED_VALUE"""),1.013)</f>
        <v>1.013</v>
      </c>
      <c r="E145" s="16">
        <f>IFERROR(__xludf.DUMMYFUNCTION("""COMPUTED_VALUE"""),65.0)</f>
        <v>65</v>
      </c>
      <c r="F145" s="19" t="str">
        <f>IFERROR(__xludf.DUMMYFUNCTION("""COMPUTED_VALUE"""),"BLACK")</f>
        <v>BLACK</v>
      </c>
      <c r="G145" s="20" t="str">
        <f>IFERROR(__xludf.DUMMYFUNCTION("""COMPUTED_VALUE"""),"Tap 6 Clone (10/15/2021)")</f>
        <v>Tap 6 Clone (10/15/2021)</v>
      </c>
      <c r="H145" s="19"/>
    </row>
    <row r="146">
      <c r="A146" s="9"/>
      <c r="B146" s="15"/>
      <c r="C146" s="9">
        <f>IFERROR(__xludf.DUMMYFUNCTION("""COMPUTED_VALUE"""),44510.3032263541)</f>
        <v>44510.30323</v>
      </c>
      <c r="D146" s="15">
        <f>IFERROR(__xludf.DUMMYFUNCTION("""COMPUTED_VALUE"""),1.013)</f>
        <v>1.013</v>
      </c>
      <c r="E146" s="16">
        <f>IFERROR(__xludf.DUMMYFUNCTION("""COMPUTED_VALUE"""),65.0)</f>
        <v>65</v>
      </c>
      <c r="F146" s="19" t="str">
        <f>IFERROR(__xludf.DUMMYFUNCTION("""COMPUTED_VALUE"""),"BLACK")</f>
        <v>BLACK</v>
      </c>
      <c r="G146" s="20" t="str">
        <f>IFERROR(__xludf.DUMMYFUNCTION("""COMPUTED_VALUE"""),"Tap 6 Clone (10/15/2021)")</f>
        <v>Tap 6 Clone (10/15/2021)</v>
      </c>
      <c r="H146" s="19"/>
    </row>
    <row r="147">
      <c r="A147" s="9"/>
      <c r="B147" s="15"/>
      <c r="C147" s="9">
        <f>IFERROR(__xludf.DUMMYFUNCTION("""COMPUTED_VALUE"""),44510.2928055902)</f>
        <v>44510.29281</v>
      </c>
      <c r="D147" s="15">
        <f>IFERROR(__xludf.DUMMYFUNCTION("""COMPUTED_VALUE"""),1.013)</f>
        <v>1.013</v>
      </c>
      <c r="E147" s="16">
        <f>IFERROR(__xludf.DUMMYFUNCTION("""COMPUTED_VALUE"""),65.0)</f>
        <v>65</v>
      </c>
      <c r="F147" s="19" t="str">
        <f>IFERROR(__xludf.DUMMYFUNCTION("""COMPUTED_VALUE"""),"BLACK")</f>
        <v>BLACK</v>
      </c>
      <c r="G147" s="20" t="str">
        <f>IFERROR(__xludf.DUMMYFUNCTION("""COMPUTED_VALUE"""),"Tap 6 Clone (10/15/2021)")</f>
        <v>Tap 6 Clone (10/15/2021)</v>
      </c>
      <c r="H147" s="19"/>
    </row>
    <row r="148">
      <c r="A148" s="9"/>
      <c r="B148" s="15"/>
      <c r="C148" s="9">
        <f>IFERROR(__xludf.DUMMYFUNCTION("""COMPUTED_VALUE"""),44510.2823747916)</f>
        <v>44510.28237</v>
      </c>
      <c r="D148" s="15">
        <f>IFERROR(__xludf.DUMMYFUNCTION("""COMPUTED_VALUE"""),1.013)</f>
        <v>1.013</v>
      </c>
      <c r="E148" s="16">
        <f>IFERROR(__xludf.DUMMYFUNCTION("""COMPUTED_VALUE"""),65.0)</f>
        <v>65</v>
      </c>
      <c r="F148" s="19" t="str">
        <f>IFERROR(__xludf.DUMMYFUNCTION("""COMPUTED_VALUE"""),"BLACK")</f>
        <v>BLACK</v>
      </c>
      <c r="G148" s="20" t="str">
        <f>IFERROR(__xludf.DUMMYFUNCTION("""COMPUTED_VALUE"""),"Tap 6 Clone (10/15/2021)")</f>
        <v>Tap 6 Clone (10/15/2021)</v>
      </c>
      <c r="H148" s="19"/>
    </row>
    <row r="149">
      <c r="A149" s="9"/>
      <c r="B149" s="15"/>
      <c r="C149" s="9">
        <f>IFERROR(__xludf.DUMMYFUNCTION("""COMPUTED_VALUE"""),44510.2719299884)</f>
        <v>44510.27193</v>
      </c>
      <c r="D149" s="15">
        <f>IFERROR(__xludf.DUMMYFUNCTION("""COMPUTED_VALUE"""),1.013)</f>
        <v>1.013</v>
      </c>
      <c r="E149" s="16">
        <f>IFERROR(__xludf.DUMMYFUNCTION("""COMPUTED_VALUE"""),65.0)</f>
        <v>65</v>
      </c>
      <c r="F149" s="19" t="str">
        <f>IFERROR(__xludf.DUMMYFUNCTION("""COMPUTED_VALUE"""),"BLACK")</f>
        <v>BLACK</v>
      </c>
      <c r="G149" s="20" t="str">
        <f>IFERROR(__xludf.DUMMYFUNCTION("""COMPUTED_VALUE"""),"Tap 6 Clone (10/15/2021)")</f>
        <v>Tap 6 Clone (10/15/2021)</v>
      </c>
      <c r="H149" s="19"/>
    </row>
    <row r="150">
      <c r="A150" s="9"/>
      <c r="B150" s="15"/>
      <c r="C150" s="9">
        <f>IFERROR(__xludf.DUMMYFUNCTION("""COMPUTED_VALUE"""),44510.2615084837)</f>
        <v>44510.26151</v>
      </c>
      <c r="D150" s="15">
        <f>IFERROR(__xludf.DUMMYFUNCTION("""COMPUTED_VALUE"""),1.013)</f>
        <v>1.013</v>
      </c>
      <c r="E150" s="16">
        <f>IFERROR(__xludf.DUMMYFUNCTION("""COMPUTED_VALUE"""),65.0)</f>
        <v>65</v>
      </c>
      <c r="F150" s="19" t="str">
        <f>IFERROR(__xludf.DUMMYFUNCTION("""COMPUTED_VALUE"""),"BLACK")</f>
        <v>BLACK</v>
      </c>
      <c r="G150" s="20" t="str">
        <f>IFERROR(__xludf.DUMMYFUNCTION("""COMPUTED_VALUE"""),"Tap 6 Clone (10/15/2021)")</f>
        <v>Tap 6 Clone (10/15/2021)</v>
      </c>
      <c r="H150" s="19"/>
    </row>
    <row r="151">
      <c r="A151" s="9"/>
      <c r="B151" s="15"/>
      <c r="C151" s="9">
        <f>IFERROR(__xludf.DUMMYFUNCTION("""COMPUTED_VALUE"""),44510.2510864467)</f>
        <v>44510.25109</v>
      </c>
      <c r="D151" s="15">
        <f>IFERROR(__xludf.DUMMYFUNCTION("""COMPUTED_VALUE"""),1.013)</f>
        <v>1.013</v>
      </c>
      <c r="E151" s="16">
        <f>IFERROR(__xludf.DUMMYFUNCTION("""COMPUTED_VALUE"""),65.0)</f>
        <v>65</v>
      </c>
      <c r="F151" s="19" t="str">
        <f>IFERROR(__xludf.DUMMYFUNCTION("""COMPUTED_VALUE"""),"BLACK")</f>
        <v>BLACK</v>
      </c>
      <c r="G151" s="20" t="str">
        <f>IFERROR(__xludf.DUMMYFUNCTION("""COMPUTED_VALUE"""),"Tap 6 Clone (10/15/2021)")</f>
        <v>Tap 6 Clone (10/15/2021)</v>
      </c>
      <c r="H151" s="19"/>
    </row>
    <row r="152">
      <c r="A152" s="9"/>
      <c r="B152" s="15"/>
      <c r="C152" s="9">
        <f>IFERROR(__xludf.DUMMYFUNCTION("""COMPUTED_VALUE"""),44510.2406510995)</f>
        <v>44510.24065</v>
      </c>
      <c r="D152" s="15">
        <f>IFERROR(__xludf.DUMMYFUNCTION("""COMPUTED_VALUE"""),1.013)</f>
        <v>1.013</v>
      </c>
      <c r="E152" s="16">
        <f>IFERROR(__xludf.DUMMYFUNCTION("""COMPUTED_VALUE"""),65.0)</f>
        <v>65</v>
      </c>
      <c r="F152" s="19" t="str">
        <f>IFERROR(__xludf.DUMMYFUNCTION("""COMPUTED_VALUE"""),"BLACK")</f>
        <v>BLACK</v>
      </c>
      <c r="G152" s="20" t="str">
        <f>IFERROR(__xludf.DUMMYFUNCTION("""COMPUTED_VALUE"""),"Tap 6 Clone (10/15/2021)")</f>
        <v>Tap 6 Clone (10/15/2021)</v>
      </c>
      <c r="H152" s="19"/>
    </row>
    <row r="153">
      <c r="A153" s="9"/>
      <c r="B153" s="15"/>
      <c r="C153" s="9">
        <f>IFERROR(__xludf.DUMMYFUNCTION("""COMPUTED_VALUE"""),44510.2302307986)</f>
        <v>44510.23023</v>
      </c>
      <c r="D153" s="15">
        <f>IFERROR(__xludf.DUMMYFUNCTION("""COMPUTED_VALUE"""),1.013)</f>
        <v>1.013</v>
      </c>
      <c r="E153" s="16">
        <f>IFERROR(__xludf.DUMMYFUNCTION("""COMPUTED_VALUE"""),65.0)</f>
        <v>65</v>
      </c>
      <c r="F153" s="19" t="str">
        <f>IFERROR(__xludf.DUMMYFUNCTION("""COMPUTED_VALUE"""),"BLACK")</f>
        <v>BLACK</v>
      </c>
      <c r="G153" s="20" t="str">
        <f>IFERROR(__xludf.DUMMYFUNCTION("""COMPUTED_VALUE"""),"Tap 6 Clone (10/15/2021)")</f>
        <v>Tap 6 Clone (10/15/2021)</v>
      </c>
      <c r="H153" s="19"/>
    </row>
    <row r="154">
      <c r="A154" s="9"/>
      <c r="B154" s="15"/>
      <c r="C154" s="9">
        <f>IFERROR(__xludf.DUMMYFUNCTION("""COMPUTED_VALUE"""),44510.2198107523)</f>
        <v>44510.21981</v>
      </c>
      <c r="D154" s="15">
        <f>IFERROR(__xludf.DUMMYFUNCTION("""COMPUTED_VALUE"""),1.013)</f>
        <v>1.013</v>
      </c>
      <c r="E154" s="16">
        <f>IFERROR(__xludf.DUMMYFUNCTION("""COMPUTED_VALUE"""),65.0)</f>
        <v>65</v>
      </c>
      <c r="F154" s="19" t="str">
        <f>IFERROR(__xludf.DUMMYFUNCTION("""COMPUTED_VALUE"""),"BLACK")</f>
        <v>BLACK</v>
      </c>
      <c r="G154" s="20" t="str">
        <f>IFERROR(__xludf.DUMMYFUNCTION("""COMPUTED_VALUE"""),"Tap 6 Clone (10/15/2021)")</f>
        <v>Tap 6 Clone (10/15/2021)</v>
      </c>
      <c r="H154" s="19"/>
    </row>
    <row r="155">
      <c r="A155" s="9"/>
      <c r="B155" s="15"/>
      <c r="C155" s="9">
        <f>IFERROR(__xludf.DUMMYFUNCTION("""COMPUTED_VALUE"""),44510.209389375)</f>
        <v>44510.20939</v>
      </c>
      <c r="D155" s="15">
        <f>IFERROR(__xludf.DUMMYFUNCTION("""COMPUTED_VALUE"""),1.013)</f>
        <v>1.013</v>
      </c>
      <c r="E155" s="16">
        <f>IFERROR(__xludf.DUMMYFUNCTION("""COMPUTED_VALUE"""),65.0)</f>
        <v>65</v>
      </c>
      <c r="F155" s="19" t="str">
        <f>IFERROR(__xludf.DUMMYFUNCTION("""COMPUTED_VALUE"""),"BLACK")</f>
        <v>BLACK</v>
      </c>
      <c r="G155" s="20" t="str">
        <f>IFERROR(__xludf.DUMMYFUNCTION("""COMPUTED_VALUE"""),"Tap 6 Clone (10/15/2021)")</f>
        <v>Tap 6 Clone (10/15/2021)</v>
      </c>
      <c r="H155" s="19"/>
    </row>
    <row r="156">
      <c r="A156" s="9"/>
      <c r="B156" s="15"/>
      <c r="C156" s="9">
        <f>IFERROR(__xludf.DUMMYFUNCTION("""COMPUTED_VALUE"""),44510.1989681944)</f>
        <v>44510.19897</v>
      </c>
      <c r="D156" s="15">
        <f>IFERROR(__xludf.DUMMYFUNCTION("""COMPUTED_VALUE"""),1.013)</f>
        <v>1.013</v>
      </c>
      <c r="E156" s="16">
        <f>IFERROR(__xludf.DUMMYFUNCTION("""COMPUTED_VALUE"""),65.0)</f>
        <v>65</v>
      </c>
      <c r="F156" s="19" t="str">
        <f>IFERROR(__xludf.DUMMYFUNCTION("""COMPUTED_VALUE"""),"BLACK")</f>
        <v>BLACK</v>
      </c>
      <c r="G156" s="20" t="str">
        <f>IFERROR(__xludf.DUMMYFUNCTION("""COMPUTED_VALUE"""),"Tap 6 Clone (10/15/2021)")</f>
        <v>Tap 6 Clone (10/15/2021)</v>
      </c>
      <c r="H156" s="19"/>
    </row>
    <row r="157">
      <c r="A157" s="9"/>
      <c r="B157" s="15"/>
      <c r="C157" s="9">
        <f>IFERROR(__xludf.DUMMYFUNCTION("""COMPUTED_VALUE"""),44510.1885471643)</f>
        <v>44510.18855</v>
      </c>
      <c r="D157" s="15">
        <f>IFERROR(__xludf.DUMMYFUNCTION("""COMPUTED_VALUE"""),1.013)</f>
        <v>1.013</v>
      </c>
      <c r="E157" s="16">
        <f>IFERROR(__xludf.DUMMYFUNCTION("""COMPUTED_VALUE"""),65.0)</f>
        <v>65</v>
      </c>
      <c r="F157" s="19" t="str">
        <f>IFERROR(__xludf.DUMMYFUNCTION("""COMPUTED_VALUE"""),"BLACK")</f>
        <v>BLACK</v>
      </c>
      <c r="G157" s="20" t="str">
        <f>IFERROR(__xludf.DUMMYFUNCTION("""COMPUTED_VALUE"""),"Tap 6 Clone (10/15/2021)")</f>
        <v>Tap 6 Clone (10/15/2021)</v>
      </c>
      <c r="H157" s="19"/>
    </row>
    <row r="158">
      <c r="A158" s="9"/>
      <c r="B158" s="15"/>
      <c r="C158" s="9">
        <f>IFERROR(__xludf.DUMMYFUNCTION("""COMPUTED_VALUE"""),44510.17810375)</f>
        <v>44510.1781</v>
      </c>
      <c r="D158" s="15">
        <f>IFERROR(__xludf.DUMMYFUNCTION("""COMPUTED_VALUE"""),1.013)</f>
        <v>1.013</v>
      </c>
      <c r="E158" s="16">
        <f>IFERROR(__xludf.DUMMYFUNCTION("""COMPUTED_VALUE"""),65.0)</f>
        <v>65</v>
      </c>
      <c r="F158" s="19" t="str">
        <f>IFERROR(__xludf.DUMMYFUNCTION("""COMPUTED_VALUE"""),"BLACK")</f>
        <v>BLACK</v>
      </c>
      <c r="G158" s="20" t="str">
        <f>IFERROR(__xludf.DUMMYFUNCTION("""COMPUTED_VALUE"""),"Tap 6 Clone (10/15/2021)")</f>
        <v>Tap 6 Clone (10/15/2021)</v>
      </c>
      <c r="H158" s="19"/>
    </row>
    <row r="159">
      <c r="A159" s="9"/>
      <c r="B159" s="15"/>
      <c r="C159" s="9">
        <f>IFERROR(__xludf.DUMMYFUNCTION("""COMPUTED_VALUE"""),44510.1676801041)</f>
        <v>44510.16768</v>
      </c>
      <c r="D159" s="15">
        <f>IFERROR(__xludf.DUMMYFUNCTION("""COMPUTED_VALUE"""),1.013)</f>
        <v>1.013</v>
      </c>
      <c r="E159" s="16">
        <f>IFERROR(__xludf.DUMMYFUNCTION("""COMPUTED_VALUE"""),65.0)</f>
        <v>65</v>
      </c>
      <c r="F159" s="19" t="str">
        <f>IFERROR(__xludf.DUMMYFUNCTION("""COMPUTED_VALUE"""),"BLACK")</f>
        <v>BLACK</v>
      </c>
      <c r="G159" s="20" t="str">
        <f>IFERROR(__xludf.DUMMYFUNCTION("""COMPUTED_VALUE"""),"Tap 6 Clone (10/15/2021)")</f>
        <v>Tap 6 Clone (10/15/2021)</v>
      </c>
      <c r="H159" s="19"/>
    </row>
    <row r="160">
      <c r="A160" s="9"/>
      <c r="B160" s="15"/>
      <c r="C160" s="9">
        <f>IFERROR(__xludf.DUMMYFUNCTION("""COMPUTED_VALUE"""),44510.1572580208)</f>
        <v>44510.15726</v>
      </c>
      <c r="D160" s="15">
        <f>IFERROR(__xludf.DUMMYFUNCTION("""COMPUTED_VALUE"""),1.013)</f>
        <v>1.013</v>
      </c>
      <c r="E160" s="16">
        <f>IFERROR(__xludf.DUMMYFUNCTION("""COMPUTED_VALUE"""),65.0)</f>
        <v>65</v>
      </c>
      <c r="F160" s="19" t="str">
        <f>IFERROR(__xludf.DUMMYFUNCTION("""COMPUTED_VALUE"""),"BLACK")</f>
        <v>BLACK</v>
      </c>
      <c r="G160" s="20" t="str">
        <f>IFERROR(__xludf.DUMMYFUNCTION("""COMPUTED_VALUE"""),"Tap 6 Clone (10/15/2021)")</f>
        <v>Tap 6 Clone (10/15/2021)</v>
      </c>
      <c r="H160" s="19"/>
    </row>
    <row r="161">
      <c r="A161" s="9"/>
      <c r="B161" s="15"/>
      <c r="C161" s="9">
        <f>IFERROR(__xludf.DUMMYFUNCTION("""COMPUTED_VALUE"""),44510.146834537)</f>
        <v>44510.14683</v>
      </c>
      <c r="D161" s="15">
        <f>IFERROR(__xludf.DUMMYFUNCTION("""COMPUTED_VALUE"""),1.013)</f>
        <v>1.013</v>
      </c>
      <c r="E161" s="16">
        <f>IFERROR(__xludf.DUMMYFUNCTION("""COMPUTED_VALUE"""),65.0)</f>
        <v>65</v>
      </c>
      <c r="F161" s="19" t="str">
        <f>IFERROR(__xludf.DUMMYFUNCTION("""COMPUTED_VALUE"""),"BLACK")</f>
        <v>BLACK</v>
      </c>
      <c r="G161" s="20" t="str">
        <f>IFERROR(__xludf.DUMMYFUNCTION("""COMPUTED_VALUE"""),"Tap 6 Clone (10/15/2021)")</f>
        <v>Tap 6 Clone (10/15/2021)</v>
      </c>
      <c r="H161" s="19"/>
    </row>
    <row r="162">
      <c r="A162" s="9"/>
      <c r="B162" s="15"/>
      <c r="C162" s="9">
        <f>IFERROR(__xludf.DUMMYFUNCTION("""COMPUTED_VALUE"""),44510.1364131944)</f>
        <v>44510.13641</v>
      </c>
      <c r="D162" s="15">
        <f>IFERROR(__xludf.DUMMYFUNCTION("""COMPUTED_VALUE"""),1.013)</f>
        <v>1.013</v>
      </c>
      <c r="E162" s="16">
        <f>IFERROR(__xludf.DUMMYFUNCTION("""COMPUTED_VALUE"""),65.0)</f>
        <v>65</v>
      </c>
      <c r="F162" s="19" t="str">
        <f>IFERROR(__xludf.DUMMYFUNCTION("""COMPUTED_VALUE"""),"BLACK")</f>
        <v>BLACK</v>
      </c>
      <c r="G162" s="20" t="str">
        <f>IFERROR(__xludf.DUMMYFUNCTION("""COMPUTED_VALUE"""),"Tap 6 Clone (10/15/2021)")</f>
        <v>Tap 6 Clone (10/15/2021)</v>
      </c>
      <c r="H162" s="19"/>
    </row>
    <row r="163">
      <c r="A163" s="9"/>
      <c r="B163" s="15"/>
      <c r="C163" s="9">
        <f>IFERROR(__xludf.DUMMYFUNCTION("""COMPUTED_VALUE"""),44510.1259910416)</f>
        <v>44510.12599</v>
      </c>
      <c r="D163" s="15">
        <f>IFERROR(__xludf.DUMMYFUNCTION("""COMPUTED_VALUE"""),1.013)</f>
        <v>1.013</v>
      </c>
      <c r="E163" s="16">
        <f>IFERROR(__xludf.DUMMYFUNCTION("""COMPUTED_VALUE"""),65.0)</f>
        <v>65</v>
      </c>
      <c r="F163" s="19" t="str">
        <f>IFERROR(__xludf.DUMMYFUNCTION("""COMPUTED_VALUE"""),"BLACK")</f>
        <v>BLACK</v>
      </c>
      <c r="G163" s="20" t="str">
        <f>IFERROR(__xludf.DUMMYFUNCTION("""COMPUTED_VALUE"""),"Tap 6 Clone (10/15/2021)")</f>
        <v>Tap 6 Clone (10/15/2021)</v>
      </c>
      <c r="H163" s="19"/>
    </row>
    <row r="164">
      <c r="A164" s="9"/>
      <c r="B164" s="15"/>
      <c r="C164" s="9">
        <f>IFERROR(__xludf.DUMMYFUNCTION("""COMPUTED_VALUE"""),44510.115570625)</f>
        <v>44510.11557</v>
      </c>
      <c r="D164" s="15">
        <f>IFERROR(__xludf.DUMMYFUNCTION("""COMPUTED_VALUE"""),1.013)</f>
        <v>1.013</v>
      </c>
      <c r="E164" s="16">
        <f>IFERROR(__xludf.DUMMYFUNCTION("""COMPUTED_VALUE"""),65.0)</f>
        <v>65</v>
      </c>
      <c r="F164" s="19" t="str">
        <f>IFERROR(__xludf.DUMMYFUNCTION("""COMPUTED_VALUE"""),"BLACK")</f>
        <v>BLACK</v>
      </c>
      <c r="G164" s="20" t="str">
        <f>IFERROR(__xludf.DUMMYFUNCTION("""COMPUTED_VALUE"""),"Tap 6 Clone (10/15/2021)")</f>
        <v>Tap 6 Clone (10/15/2021)</v>
      </c>
      <c r="H164" s="19"/>
    </row>
    <row r="165">
      <c r="A165" s="9"/>
      <c r="B165" s="15"/>
      <c r="C165" s="9">
        <f>IFERROR(__xludf.DUMMYFUNCTION("""COMPUTED_VALUE"""),44510.1051498495)</f>
        <v>44510.10515</v>
      </c>
      <c r="D165" s="15">
        <f>IFERROR(__xludf.DUMMYFUNCTION("""COMPUTED_VALUE"""),1.013)</f>
        <v>1.013</v>
      </c>
      <c r="E165" s="16">
        <f>IFERROR(__xludf.DUMMYFUNCTION("""COMPUTED_VALUE"""),65.0)</f>
        <v>65</v>
      </c>
      <c r="F165" s="19" t="str">
        <f>IFERROR(__xludf.DUMMYFUNCTION("""COMPUTED_VALUE"""),"BLACK")</f>
        <v>BLACK</v>
      </c>
      <c r="G165" s="20" t="str">
        <f>IFERROR(__xludf.DUMMYFUNCTION("""COMPUTED_VALUE"""),"Tap 6 Clone (10/15/2021)")</f>
        <v>Tap 6 Clone (10/15/2021)</v>
      </c>
      <c r="H165" s="19"/>
    </row>
    <row r="166">
      <c r="A166" s="9"/>
      <c r="B166" s="15"/>
      <c r="C166" s="9">
        <f>IFERROR(__xludf.DUMMYFUNCTION("""COMPUTED_VALUE"""),44510.0947163078)</f>
        <v>44510.09472</v>
      </c>
      <c r="D166" s="15">
        <f>IFERROR(__xludf.DUMMYFUNCTION("""COMPUTED_VALUE"""),1.013)</f>
        <v>1.013</v>
      </c>
      <c r="E166" s="16">
        <f>IFERROR(__xludf.DUMMYFUNCTION("""COMPUTED_VALUE"""),65.0)</f>
        <v>65</v>
      </c>
      <c r="F166" s="19" t="str">
        <f>IFERROR(__xludf.DUMMYFUNCTION("""COMPUTED_VALUE"""),"BLACK")</f>
        <v>BLACK</v>
      </c>
      <c r="G166" s="20" t="str">
        <f>IFERROR(__xludf.DUMMYFUNCTION("""COMPUTED_VALUE"""),"Tap 6 Clone (10/15/2021)")</f>
        <v>Tap 6 Clone (10/15/2021)</v>
      </c>
      <c r="H166" s="19"/>
    </row>
    <row r="167">
      <c r="A167" s="9"/>
      <c r="B167" s="15"/>
      <c r="C167" s="9">
        <f>IFERROR(__xludf.DUMMYFUNCTION("""COMPUTED_VALUE"""),44510.084295243)</f>
        <v>44510.0843</v>
      </c>
      <c r="D167" s="15">
        <f>IFERROR(__xludf.DUMMYFUNCTION("""COMPUTED_VALUE"""),1.013)</f>
        <v>1.013</v>
      </c>
      <c r="E167" s="16">
        <f>IFERROR(__xludf.DUMMYFUNCTION("""COMPUTED_VALUE"""),65.0)</f>
        <v>65</v>
      </c>
      <c r="F167" s="19" t="str">
        <f>IFERROR(__xludf.DUMMYFUNCTION("""COMPUTED_VALUE"""),"BLACK")</f>
        <v>BLACK</v>
      </c>
      <c r="G167" s="20" t="str">
        <f>IFERROR(__xludf.DUMMYFUNCTION("""COMPUTED_VALUE"""),"Tap 6 Clone (10/15/2021)")</f>
        <v>Tap 6 Clone (10/15/2021)</v>
      </c>
      <c r="H167" s="19"/>
    </row>
    <row r="168">
      <c r="A168" s="9"/>
      <c r="B168" s="15"/>
      <c r="C168" s="9">
        <f>IFERROR(__xludf.DUMMYFUNCTION("""COMPUTED_VALUE"""),44510.0738749421)</f>
        <v>44510.07387</v>
      </c>
      <c r="D168" s="15">
        <f>IFERROR(__xludf.DUMMYFUNCTION("""COMPUTED_VALUE"""),1.013)</f>
        <v>1.013</v>
      </c>
      <c r="E168" s="16">
        <f>IFERROR(__xludf.DUMMYFUNCTION("""COMPUTED_VALUE"""),65.0)</f>
        <v>65</v>
      </c>
      <c r="F168" s="19" t="str">
        <f>IFERROR(__xludf.DUMMYFUNCTION("""COMPUTED_VALUE"""),"BLACK")</f>
        <v>BLACK</v>
      </c>
      <c r="G168" s="20" t="str">
        <f>IFERROR(__xludf.DUMMYFUNCTION("""COMPUTED_VALUE"""),"Tap 6 Clone (10/15/2021)")</f>
        <v>Tap 6 Clone (10/15/2021)</v>
      </c>
      <c r="H168" s="19"/>
    </row>
    <row r="169">
      <c r="A169" s="9"/>
      <c r="B169" s="15"/>
      <c r="C169" s="9">
        <f>IFERROR(__xludf.DUMMYFUNCTION("""COMPUTED_VALUE"""),44510.063455081)</f>
        <v>44510.06346</v>
      </c>
      <c r="D169" s="15">
        <f>IFERROR(__xludf.DUMMYFUNCTION("""COMPUTED_VALUE"""),1.013)</f>
        <v>1.013</v>
      </c>
      <c r="E169" s="16">
        <f>IFERROR(__xludf.DUMMYFUNCTION("""COMPUTED_VALUE"""),65.0)</f>
        <v>65</v>
      </c>
      <c r="F169" s="19" t="str">
        <f>IFERROR(__xludf.DUMMYFUNCTION("""COMPUTED_VALUE"""),"BLACK")</f>
        <v>BLACK</v>
      </c>
      <c r="G169" s="20" t="str">
        <f>IFERROR(__xludf.DUMMYFUNCTION("""COMPUTED_VALUE"""),"Tap 6 Clone (10/15/2021)")</f>
        <v>Tap 6 Clone (10/15/2021)</v>
      </c>
      <c r="H169" s="19"/>
    </row>
    <row r="170">
      <c r="A170" s="9"/>
      <c r="B170" s="15"/>
      <c r="C170" s="9">
        <f>IFERROR(__xludf.DUMMYFUNCTION("""COMPUTED_VALUE"""),44510.0530220833)</f>
        <v>44510.05302</v>
      </c>
      <c r="D170" s="15">
        <f>IFERROR(__xludf.DUMMYFUNCTION("""COMPUTED_VALUE"""),1.013)</f>
        <v>1.013</v>
      </c>
      <c r="E170" s="16">
        <f>IFERROR(__xludf.DUMMYFUNCTION("""COMPUTED_VALUE"""),65.0)</f>
        <v>65</v>
      </c>
      <c r="F170" s="19" t="str">
        <f>IFERROR(__xludf.DUMMYFUNCTION("""COMPUTED_VALUE"""),"BLACK")</f>
        <v>BLACK</v>
      </c>
      <c r="G170" s="20" t="str">
        <f>IFERROR(__xludf.DUMMYFUNCTION("""COMPUTED_VALUE"""),"Tap 6 Clone (10/15/2021)")</f>
        <v>Tap 6 Clone (10/15/2021)</v>
      </c>
      <c r="H170" s="19"/>
    </row>
    <row r="171">
      <c r="A171" s="9"/>
      <c r="B171" s="15"/>
      <c r="C171" s="9">
        <f>IFERROR(__xludf.DUMMYFUNCTION("""COMPUTED_VALUE"""),44510.0426019791)</f>
        <v>44510.0426</v>
      </c>
      <c r="D171" s="15">
        <f>IFERROR(__xludf.DUMMYFUNCTION("""COMPUTED_VALUE"""),1.013)</f>
        <v>1.013</v>
      </c>
      <c r="E171" s="16">
        <f>IFERROR(__xludf.DUMMYFUNCTION("""COMPUTED_VALUE"""),65.0)</f>
        <v>65</v>
      </c>
      <c r="F171" s="19" t="str">
        <f>IFERROR(__xludf.DUMMYFUNCTION("""COMPUTED_VALUE"""),"BLACK")</f>
        <v>BLACK</v>
      </c>
      <c r="G171" s="20" t="str">
        <f>IFERROR(__xludf.DUMMYFUNCTION("""COMPUTED_VALUE"""),"Tap 6 Clone (10/15/2021)")</f>
        <v>Tap 6 Clone (10/15/2021)</v>
      </c>
      <c r="H171" s="19"/>
    </row>
    <row r="172">
      <c r="A172" s="9"/>
      <c r="B172" s="15"/>
      <c r="C172" s="9">
        <f>IFERROR(__xludf.DUMMYFUNCTION("""COMPUTED_VALUE"""),44510.0321807407)</f>
        <v>44510.03218</v>
      </c>
      <c r="D172" s="15">
        <f>IFERROR(__xludf.DUMMYFUNCTION("""COMPUTED_VALUE"""),1.013)</f>
        <v>1.013</v>
      </c>
      <c r="E172" s="16">
        <f>IFERROR(__xludf.DUMMYFUNCTION("""COMPUTED_VALUE"""),65.0)</f>
        <v>65</v>
      </c>
      <c r="F172" s="19" t="str">
        <f>IFERROR(__xludf.DUMMYFUNCTION("""COMPUTED_VALUE"""),"BLACK")</f>
        <v>BLACK</v>
      </c>
      <c r="G172" s="20" t="str">
        <f>IFERROR(__xludf.DUMMYFUNCTION("""COMPUTED_VALUE"""),"Tap 6 Clone (10/15/2021)")</f>
        <v>Tap 6 Clone (10/15/2021)</v>
      </c>
      <c r="H172" s="19"/>
    </row>
    <row r="173">
      <c r="A173" s="9"/>
      <c r="B173" s="15"/>
      <c r="C173" s="9">
        <f>IFERROR(__xludf.DUMMYFUNCTION("""COMPUTED_VALUE"""),44510.0217593055)</f>
        <v>44510.02176</v>
      </c>
      <c r="D173" s="15">
        <f>IFERROR(__xludf.DUMMYFUNCTION("""COMPUTED_VALUE"""),1.013)</f>
        <v>1.013</v>
      </c>
      <c r="E173" s="16">
        <f>IFERROR(__xludf.DUMMYFUNCTION("""COMPUTED_VALUE"""),65.0)</f>
        <v>65</v>
      </c>
      <c r="F173" s="19" t="str">
        <f>IFERROR(__xludf.DUMMYFUNCTION("""COMPUTED_VALUE"""),"BLACK")</f>
        <v>BLACK</v>
      </c>
      <c r="G173" s="20" t="str">
        <f>IFERROR(__xludf.DUMMYFUNCTION("""COMPUTED_VALUE"""),"Tap 6 Clone (10/15/2021)")</f>
        <v>Tap 6 Clone (10/15/2021)</v>
      </c>
      <c r="H173" s="19"/>
    </row>
    <row r="174">
      <c r="A174" s="9"/>
      <c r="B174" s="15"/>
      <c r="C174" s="9">
        <f>IFERROR(__xludf.DUMMYFUNCTION("""COMPUTED_VALUE"""),44510.0113269907)</f>
        <v>44510.01133</v>
      </c>
      <c r="D174" s="15">
        <f>IFERROR(__xludf.DUMMYFUNCTION("""COMPUTED_VALUE"""),1.013)</f>
        <v>1.013</v>
      </c>
      <c r="E174" s="16">
        <f>IFERROR(__xludf.DUMMYFUNCTION("""COMPUTED_VALUE"""),65.0)</f>
        <v>65</v>
      </c>
      <c r="F174" s="19" t="str">
        <f>IFERROR(__xludf.DUMMYFUNCTION("""COMPUTED_VALUE"""),"BLACK")</f>
        <v>BLACK</v>
      </c>
      <c r="G174" s="20" t="str">
        <f>IFERROR(__xludf.DUMMYFUNCTION("""COMPUTED_VALUE"""),"Tap 6 Clone (10/15/2021)")</f>
        <v>Tap 6 Clone (10/15/2021)</v>
      </c>
      <c r="H174" s="19"/>
    </row>
    <row r="175">
      <c r="A175" s="9"/>
      <c r="B175" s="15"/>
      <c r="C175" s="9">
        <f>IFERROR(__xludf.DUMMYFUNCTION("""COMPUTED_VALUE"""),44510.0009045601)</f>
        <v>44510.0009</v>
      </c>
      <c r="D175" s="15">
        <f>IFERROR(__xludf.DUMMYFUNCTION("""COMPUTED_VALUE"""),1.013)</f>
        <v>1.013</v>
      </c>
      <c r="E175" s="16">
        <f>IFERROR(__xludf.DUMMYFUNCTION("""COMPUTED_VALUE"""),65.0)</f>
        <v>65</v>
      </c>
      <c r="F175" s="19" t="str">
        <f>IFERROR(__xludf.DUMMYFUNCTION("""COMPUTED_VALUE"""),"BLACK")</f>
        <v>BLACK</v>
      </c>
      <c r="G175" s="20" t="str">
        <f>IFERROR(__xludf.DUMMYFUNCTION("""COMPUTED_VALUE"""),"Tap 6 Clone (10/15/2021)")</f>
        <v>Tap 6 Clone (10/15/2021)</v>
      </c>
      <c r="H175" s="19"/>
    </row>
    <row r="176">
      <c r="A176" s="9"/>
      <c r="B176" s="15"/>
      <c r="C176" s="9">
        <f>IFERROR(__xludf.DUMMYFUNCTION("""COMPUTED_VALUE"""),44509.9904827083)</f>
        <v>44509.99048</v>
      </c>
      <c r="D176" s="15">
        <f>IFERROR(__xludf.DUMMYFUNCTION("""COMPUTED_VALUE"""),1.013)</f>
        <v>1.013</v>
      </c>
      <c r="E176" s="16">
        <f>IFERROR(__xludf.DUMMYFUNCTION("""COMPUTED_VALUE"""),65.0)</f>
        <v>65</v>
      </c>
      <c r="F176" s="19" t="str">
        <f>IFERROR(__xludf.DUMMYFUNCTION("""COMPUTED_VALUE"""),"BLACK")</f>
        <v>BLACK</v>
      </c>
      <c r="G176" s="20" t="str">
        <f>IFERROR(__xludf.DUMMYFUNCTION("""COMPUTED_VALUE"""),"Tap 6 Clone (10/15/2021)")</f>
        <v>Tap 6 Clone (10/15/2021)</v>
      </c>
      <c r="H176" s="19"/>
    </row>
    <row r="177">
      <c r="A177" s="9"/>
      <c r="B177" s="15"/>
      <c r="C177" s="9">
        <f>IFERROR(__xludf.DUMMYFUNCTION("""COMPUTED_VALUE"""),44509.9800499421)</f>
        <v>44509.98005</v>
      </c>
      <c r="D177" s="15">
        <f>IFERROR(__xludf.DUMMYFUNCTION("""COMPUTED_VALUE"""),1.013)</f>
        <v>1.013</v>
      </c>
      <c r="E177" s="16">
        <f>IFERROR(__xludf.DUMMYFUNCTION("""COMPUTED_VALUE"""),65.0)</f>
        <v>65</v>
      </c>
      <c r="F177" s="19" t="str">
        <f>IFERROR(__xludf.DUMMYFUNCTION("""COMPUTED_VALUE"""),"BLACK")</f>
        <v>BLACK</v>
      </c>
      <c r="G177" s="20" t="str">
        <f>IFERROR(__xludf.DUMMYFUNCTION("""COMPUTED_VALUE"""),"Tap 6 Clone (10/15/2021)")</f>
        <v>Tap 6 Clone (10/15/2021)</v>
      </c>
      <c r="H177" s="19"/>
    </row>
    <row r="178">
      <c r="A178" s="9"/>
      <c r="B178" s="15"/>
      <c r="C178" s="9">
        <f>IFERROR(__xludf.DUMMYFUNCTION("""COMPUTED_VALUE"""),44509.9696297916)</f>
        <v>44509.96963</v>
      </c>
      <c r="D178" s="15">
        <f>IFERROR(__xludf.DUMMYFUNCTION("""COMPUTED_VALUE"""),1.013)</f>
        <v>1.013</v>
      </c>
      <c r="E178" s="16">
        <f>IFERROR(__xludf.DUMMYFUNCTION("""COMPUTED_VALUE"""),65.0)</f>
        <v>65</v>
      </c>
      <c r="F178" s="19" t="str">
        <f>IFERROR(__xludf.DUMMYFUNCTION("""COMPUTED_VALUE"""),"BLACK")</f>
        <v>BLACK</v>
      </c>
      <c r="G178" s="20" t="str">
        <f>IFERROR(__xludf.DUMMYFUNCTION("""COMPUTED_VALUE"""),"Tap 6 Clone (10/15/2021)")</f>
        <v>Tap 6 Clone (10/15/2021)</v>
      </c>
      <c r="H178" s="19"/>
    </row>
    <row r="179">
      <c r="A179" s="9"/>
      <c r="B179" s="15"/>
      <c r="C179" s="9">
        <f>IFERROR(__xludf.DUMMYFUNCTION("""COMPUTED_VALUE"""),44509.959195706)</f>
        <v>44509.9592</v>
      </c>
      <c r="D179" s="15">
        <f>IFERROR(__xludf.DUMMYFUNCTION("""COMPUTED_VALUE"""),1.013)</f>
        <v>1.013</v>
      </c>
      <c r="E179" s="16">
        <f>IFERROR(__xludf.DUMMYFUNCTION("""COMPUTED_VALUE"""),65.0)</f>
        <v>65</v>
      </c>
      <c r="F179" s="19" t="str">
        <f>IFERROR(__xludf.DUMMYFUNCTION("""COMPUTED_VALUE"""),"BLACK")</f>
        <v>BLACK</v>
      </c>
      <c r="G179" s="20" t="str">
        <f>IFERROR(__xludf.DUMMYFUNCTION("""COMPUTED_VALUE"""),"Tap 6 Clone (10/15/2021)")</f>
        <v>Tap 6 Clone (10/15/2021)</v>
      </c>
      <c r="H179" s="19"/>
    </row>
    <row r="180">
      <c r="A180" s="9"/>
      <c r="B180" s="15"/>
      <c r="C180" s="9">
        <f>IFERROR(__xludf.DUMMYFUNCTION("""COMPUTED_VALUE"""),44509.9487746412)</f>
        <v>44509.94877</v>
      </c>
      <c r="D180" s="15">
        <f>IFERROR(__xludf.DUMMYFUNCTION("""COMPUTED_VALUE"""),1.013)</f>
        <v>1.013</v>
      </c>
      <c r="E180" s="16">
        <f>IFERROR(__xludf.DUMMYFUNCTION("""COMPUTED_VALUE"""),65.0)</f>
        <v>65</v>
      </c>
      <c r="F180" s="19" t="str">
        <f>IFERROR(__xludf.DUMMYFUNCTION("""COMPUTED_VALUE"""),"BLACK")</f>
        <v>BLACK</v>
      </c>
      <c r="G180" s="20" t="str">
        <f>IFERROR(__xludf.DUMMYFUNCTION("""COMPUTED_VALUE"""),"Tap 6 Clone (10/15/2021)")</f>
        <v>Tap 6 Clone (10/15/2021)</v>
      </c>
      <c r="H180" s="19"/>
    </row>
    <row r="181">
      <c r="A181" s="9"/>
      <c r="B181" s="15"/>
      <c r="C181" s="9">
        <f>IFERROR(__xludf.DUMMYFUNCTION("""COMPUTED_VALUE"""),44509.9383543055)</f>
        <v>44509.93835</v>
      </c>
      <c r="D181" s="15">
        <f>IFERROR(__xludf.DUMMYFUNCTION("""COMPUTED_VALUE"""),1.013)</f>
        <v>1.013</v>
      </c>
      <c r="E181" s="16">
        <f>IFERROR(__xludf.DUMMYFUNCTION("""COMPUTED_VALUE"""),65.0)</f>
        <v>65</v>
      </c>
      <c r="F181" s="19" t="str">
        <f>IFERROR(__xludf.DUMMYFUNCTION("""COMPUTED_VALUE"""),"BLACK")</f>
        <v>BLACK</v>
      </c>
      <c r="G181" s="20" t="str">
        <f>IFERROR(__xludf.DUMMYFUNCTION("""COMPUTED_VALUE"""),"Tap 6 Clone (10/15/2021)")</f>
        <v>Tap 6 Clone (10/15/2021)</v>
      </c>
      <c r="H181" s="19"/>
    </row>
    <row r="182">
      <c r="A182" s="9"/>
      <c r="B182" s="15"/>
      <c r="C182" s="9">
        <f>IFERROR(__xludf.DUMMYFUNCTION("""COMPUTED_VALUE"""),44509.9278968981)</f>
        <v>44509.9279</v>
      </c>
      <c r="D182" s="15">
        <f>IFERROR(__xludf.DUMMYFUNCTION("""COMPUTED_VALUE"""),1.013)</f>
        <v>1.013</v>
      </c>
      <c r="E182" s="16">
        <f>IFERROR(__xludf.DUMMYFUNCTION("""COMPUTED_VALUE"""),65.0)</f>
        <v>65</v>
      </c>
      <c r="F182" s="19" t="str">
        <f>IFERROR(__xludf.DUMMYFUNCTION("""COMPUTED_VALUE"""),"BLACK")</f>
        <v>BLACK</v>
      </c>
      <c r="G182" s="20" t="str">
        <f>IFERROR(__xludf.DUMMYFUNCTION("""COMPUTED_VALUE"""),"Tap 6 Clone (10/15/2021)")</f>
        <v>Tap 6 Clone (10/15/2021)</v>
      </c>
      <c r="H182" s="19"/>
    </row>
    <row r="183">
      <c r="A183" s="9"/>
      <c r="B183" s="15"/>
      <c r="C183" s="9">
        <f>IFERROR(__xludf.DUMMYFUNCTION("""COMPUTED_VALUE"""),44509.9174752662)</f>
        <v>44509.91748</v>
      </c>
      <c r="D183" s="15">
        <f>IFERROR(__xludf.DUMMYFUNCTION("""COMPUTED_VALUE"""),1.013)</f>
        <v>1.013</v>
      </c>
      <c r="E183" s="16">
        <f>IFERROR(__xludf.DUMMYFUNCTION("""COMPUTED_VALUE"""),65.0)</f>
        <v>65</v>
      </c>
      <c r="F183" s="19" t="str">
        <f>IFERROR(__xludf.DUMMYFUNCTION("""COMPUTED_VALUE"""),"BLACK")</f>
        <v>BLACK</v>
      </c>
      <c r="G183" s="20" t="str">
        <f>IFERROR(__xludf.DUMMYFUNCTION("""COMPUTED_VALUE"""),"Tap 6 Clone (10/15/2021)")</f>
        <v>Tap 6 Clone (10/15/2021)</v>
      </c>
      <c r="H183" s="19"/>
    </row>
    <row r="184">
      <c r="A184" s="9"/>
      <c r="B184" s="15"/>
      <c r="C184" s="9">
        <f>IFERROR(__xludf.DUMMYFUNCTION("""COMPUTED_VALUE"""),44509.9070436342)</f>
        <v>44509.90704</v>
      </c>
      <c r="D184" s="15">
        <f>IFERROR(__xludf.DUMMYFUNCTION("""COMPUTED_VALUE"""),1.013)</f>
        <v>1.013</v>
      </c>
      <c r="E184" s="16">
        <f>IFERROR(__xludf.DUMMYFUNCTION("""COMPUTED_VALUE"""),65.0)</f>
        <v>65</v>
      </c>
      <c r="F184" s="19" t="str">
        <f>IFERROR(__xludf.DUMMYFUNCTION("""COMPUTED_VALUE"""),"BLACK")</f>
        <v>BLACK</v>
      </c>
      <c r="G184" s="20" t="str">
        <f>IFERROR(__xludf.DUMMYFUNCTION("""COMPUTED_VALUE"""),"Tap 6 Clone (10/15/2021)")</f>
        <v>Tap 6 Clone (10/15/2021)</v>
      </c>
      <c r="H184" s="19"/>
    </row>
    <row r="185">
      <c r="A185" s="9"/>
      <c r="B185" s="15"/>
      <c r="C185" s="9">
        <f>IFERROR(__xludf.DUMMYFUNCTION("""COMPUTED_VALUE"""),44509.8966240277)</f>
        <v>44509.89662</v>
      </c>
      <c r="D185" s="15">
        <f>IFERROR(__xludf.DUMMYFUNCTION("""COMPUTED_VALUE"""),1.013)</f>
        <v>1.013</v>
      </c>
      <c r="E185" s="16">
        <f>IFERROR(__xludf.DUMMYFUNCTION("""COMPUTED_VALUE"""),65.0)</f>
        <v>65</v>
      </c>
      <c r="F185" s="19" t="str">
        <f>IFERROR(__xludf.DUMMYFUNCTION("""COMPUTED_VALUE"""),"BLACK")</f>
        <v>BLACK</v>
      </c>
      <c r="G185" s="20" t="str">
        <f>IFERROR(__xludf.DUMMYFUNCTION("""COMPUTED_VALUE"""),"Tap 6 Clone (10/15/2021)")</f>
        <v>Tap 6 Clone (10/15/2021)</v>
      </c>
      <c r="H185" s="19"/>
    </row>
    <row r="186">
      <c r="A186" s="9"/>
      <c r="B186" s="15"/>
      <c r="C186" s="9">
        <f>IFERROR(__xludf.DUMMYFUNCTION("""COMPUTED_VALUE"""),44509.8862005787)</f>
        <v>44509.8862</v>
      </c>
      <c r="D186" s="15">
        <f>IFERROR(__xludf.DUMMYFUNCTION("""COMPUTED_VALUE"""),1.013)</f>
        <v>1.013</v>
      </c>
      <c r="E186" s="16">
        <f>IFERROR(__xludf.DUMMYFUNCTION("""COMPUTED_VALUE"""),65.0)</f>
        <v>65</v>
      </c>
      <c r="F186" s="19" t="str">
        <f>IFERROR(__xludf.DUMMYFUNCTION("""COMPUTED_VALUE"""),"BLACK")</f>
        <v>BLACK</v>
      </c>
      <c r="G186" s="20" t="str">
        <f>IFERROR(__xludf.DUMMYFUNCTION("""COMPUTED_VALUE"""),"Tap 6 Clone (10/15/2021)")</f>
        <v>Tap 6 Clone (10/15/2021)</v>
      </c>
      <c r="H186" s="19"/>
    </row>
    <row r="187">
      <c r="A187" s="9"/>
      <c r="B187" s="15"/>
      <c r="C187" s="9">
        <f>IFERROR(__xludf.DUMMYFUNCTION("""COMPUTED_VALUE"""),44509.8757796064)</f>
        <v>44509.87578</v>
      </c>
      <c r="D187" s="15">
        <f>IFERROR(__xludf.DUMMYFUNCTION("""COMPUTED_VALUE"""),1.013)</f>
        <v>1.013</v>
      </c>
      <c r="E187" s="16">
        <f>IFERROR(__xludf.DUMMYFUNCTION("""COMPUTED_VALUE"""),65.0)</f>
        <v>65</v>
      </c>
      <c r="F187" s="19" t="str">
        <f>IFERROR(__xludf.DUMMYFUNCTION("""COMPUTED_VALUE"""),"BLACK")</f>
        <v>BLACK</v>
      </c>
      <c r="G187" s="20" t="str">
        <f>IFERROR(__xludf.DUMMYFUNCTION("""COMPUTED_VALUE"""),"Tap 6 Clone (10/15/2021)")</f>
        <v>Tap 6 Clone (10/15/2021)</v>
      </c>
      <c r="H187" s="19"/>
    </row>
    <row r="188">
      <c r="A188" s="9"/>
      <c r="B188" s="15"/>
      <c r="C188" s="9">
        <f>IFERROR(__xludf.DUMMYFUNCTION("""COMPUTED_VALUE"""),44509.8653587037)</f>
        <v>44509.86536</v>
      </c>
      <c r="D188" s="15">
        <f>IFERROR(__xludf.DUMMYFUNCTION("""COMPUTED_VALUE"""),1.013)</f>
        <v>1.013</v>
      </c>
      <c r="E188" s="16">
        <f>IFERROR(__xludf.DUMMYFUNCTION("""COMPUTED_VALUE"""),64.0)</f>
        <v>64</v>
      </c>
      <c r="F188" s="19" t="str">
        <f>IFERROR(__xludf.DUMMYFUNCTION("""COMPUTED_VALUE"""),"BLACK")</f>
        <v>BLACK</v>
      </c>
      <c r="G188" s="20" t="str">
        <f>IFERROR(__xludf.DUMMYFUNCTION("""COMPUTED_VALUE"""),"Tap 6 Clone (10/15/2021)")</f>
        <v>Tap 6 Clone (10/15/2021)</v>
      </c>
      <c r="H188" s="19"/>
    </row>
    <row r="189">
      <c r="A189" s="9"/>
      <c r="B189" s="15"/>
      <c r="C189" s="9">
        <f>IFERROR(__xludf.DUMMYFUNCTION("""COMPUTED_VALUE"""),44509.8549017013)</f>
        <v>44509.8549</v>
      </c>
      <c r="D189" s="15">
        <f>IFERROR(__xludf.DUMMYFUNCTION("""COMPUTED_VALUE"""),1.013)</f>
        <v>1.013</v>
      </c>
      <c r="E189" s="16">
        <f>IFERROR(__xludf.DUMMYFUNCTION("""COMPUTED_VALUE"""),65.0)</f>
        <v>65</v>
      </c>
      <c r="F189" s="19" t="str">
        <f>IFERROR(__xludf.DUMMYFUNCTION("""COMPUTED_VALUE"""),"BLACK")</f>
        <v>BLACK</v>
      </c>
      <c r="G189" s="20" t="str">
        <f>IFERROR(__xludf.DUMMYFUNCTION("""COMPUTED_VALUE"""),"Tap 6 Clone (10/15/2021)")</f>
        <v>Tap 6 Clone (10/15/2021)</v>
      </c>
      <c r="H189" s="19"/>
    </row>
    <row r="190">
      <c r="A190" s="9"/>
      <c r="B190" s="15"/>
      <c r="C190" s="9">
        <f>IFERROR(__xludf.DUMMYFUNCTION("""COMPUTED_VALUE"""),44509.8444791087)</f>
        <v>44509.84448</v>
      </c>
      <c r="D190" s="15">
        <f>IFERROR(__xludf.DUMMYFUNCTION("""COMPUTED_VALUE"""),1.013)</f>
        <v>1.013</v>
      </c>
      <c r="E190" s="16">
        <f>IFERROR(__xludf.DUMMYFUNCTION("""COMPUTED_VALUE"""),64.0)</f>
        <v>64</v>
      </c>
      <c r="F190" s="19" t="str">
        <f>IFERROR(__xludf.DUMMYFUNCTION("""COMPUTED_VALUE"""),"BLACK")</f>
        <v>BLACK</v>
      </c>
      <c r="G190" s="20" t="str">
        <f>IFERROR(__xludf.DUMMYFUNCTION("""COMPUTED_VALUE"""),"Tap 6 Clone (10/15/2021)")</f>
        <v>Tap 6 Clone (10/15/2021)</v>
      </c>
      <c r="H190" s="19"/>
    </row>
    <row r="191">
      <c r="A191" s="9"/>
      <c r="B191" s="15"/>
      <c r="C191" s="9">
        <f>IFERROR(__xludf.DUMMYFUNCTION("""COMPUTED_VALUE"""),44509.8340463888)</f>
        <v>44509.83405</v>
      </c>
      <c r="D191" s="15">
        <f>IFERROR(__xludf.DUMMYFUNCTION("""COMPUTED_VALUE"""),1.013)</f>
        <v>1.013</v>
      </c>
      <c r="E191" s="16">
        <f>IFERROR(__xludf.DUMMYFUNCTION("""COMPUTED_VALUE"""),65.0)</f>
        <v>65</v>
      </c>
      <c r="F191" s="19" t="str">
        <f>IFERROR(__xludf.DUMMYFUNCTION("""COMPUTED_VALUE"""),"BLACK")</f>
        <v>BLACK</v>
      </c>
      <c r="G191" s="20" t="str">
        <f>IFERROR(__xludf.DUMMYFUNCTION("""COMPUTED_VALUE"""),"Tap 6 Clone (10/15/2021)")</f>
        <v>Tap 6 Clone (10/15/2021)</v>
      </c>
      <c r="H191" s="19"/>
    </row>
    <row r="192">
      <c r="A192" s="9"/>
      <c r="B192" s="15"/>
      <c r="C192" s="9">
        <f>IFERROR(__xludf.DUMMYFUNCTION("""COMPUTED_VALUE"""),44509.8236237731)</f>
        <v>44509.82362</v>
      </c>
      <c r="D192" s="15">
        <f>IFERROR(__xludf.DUMMYFUNCTION("""COMPUTED_VALUE"""),1.013)</f>
        <v>1.013</v>
      </c>
      <c r="E192" s="16">
        <f>IFERROR(__xludf.DUMMYFUNCTION("""COMPUTED_VALUE"""),65.0)</f>
        <v>65</v>
      </c>
      <c r="F192" s="19" t="str">
        <f>IFERROR(__xludf.DUMMYFUNCTION("""COMPUTED_VALUE"""),"BLACK")</f>
        <v>BLACK</v>
      </c>
      <c r="G192" s="20" t="str">
        <f>IFERROR(__xludf.DUMMYFUNCTION("""COMPUTED_VALUE"""),"Tap 6 Clone (10/15/2021)")</f>
        <v>Tap 6 Clone (10/15/2021)</v>
      </c>
      <c r="H192" s="19"/>
    </row>
    <row r="193">
      <c r="A193" s="9"/>
      <c r="B193" s="15"/>
      <c r="C193" s="9">
        <f>IFERROR(__xludf.DUMMYFUNCTION("""COMPUTED_VALUE"""),44509.8132043634)</f>
        <v>44509.8132</v>
      </c>
      <c r="D193" s="15">
        <f>IFERROR(__xludf.DUMMYFUNCTION("""COMPUTED_VALUE"""),1.013)</f>
        <v>1.013</v>
      </c>
      <c r="E193" s="16">
        <f>IFERROR(__xludf.DUMMYFUNCTION("""COMPUTED_VALUE"""),65.0)</f>
        <v>65</v>
      </c>
      <c r="F193" s="19" t="str">
        <f>IFERROR(__xludf.DUMMYFUNCTION("""COMPUTED_VALUE"""),"BLACK")</f>
        <v>BLACK</v>
      </c>
      <c r="G193" s="20" t="str">
        <f>IFERROR(__xludf.DUMMYFUNCTION("""COMPUTED_VALUE"""),"Tap 6 Clone (10/15/2021)")</f>
        <v>Tap 6 Clone (10/15/2021)</v>
      </c>
      <c r="H193" s="19"/>
    </row>
    <row r="194">
      <c r="A194" s="9"/>
      <c r="B194" s="15"/>
      <c r="C194" s="9">
        <f>IFERROR(__xludf.DUMMYFUNCTION("""COMPUTED_VALUE"""),44509.8027829166)</f>
        <v>44509.80278</v>
      </c>
      <c r="D194" s="15">
        <f>IFERROR(__xludf.DUMMYFUNCTION("""COMPUTED_VALUE"""),1.013)</f>
        <v>1.013</v>
      </c>
      <c r="E194" s="16">
        <f>IFERROR(__xludf.DUMMYFUNCTION("""COMPUTED_VALUE"""),65.0)</f>
        <v>65</v>
      </c>
      <c r="F194" s="19" t="str">
        <f>IFERROR(__xludf.DUMMYFUNCTION("""COMPUTED_VALUE"""),"BLACK")</f>
        <v>BLACK</v>
      </c>
      <c r="G194" s="20" t="str">
        <f>IFERROR(__xludf.DUMMYFUNCTION("""COMPUTED_VALUE"""),"Tap 6 Clone (10/15/2021)")</f>
        <v>Tap 6 Clone (10/15/2021)</v>
      </c>
      <c r="H194" s="19"/>
    </row>
    <row r="195">
      <c r="A195" s="9"/>
      <c r="B195" s="15"/>
      <c r="C195" s="9">
        <f>IFERROR(__xludf.DUMMYFUNCTION("""COMPUTED_VALUE"""),44509.7923509953)</f>
        <v>44509.79235</v>
      </c>
      <c r="D195" s="15">
        <f>IFERROR(__xludf.DUMMYFUNCTION("""COMPUTED_VALUE"""),1.013)</f>
        <v>1.013</v>
      </c>
      <c r="E195" s="16">
        <f>IFERROR(__xludf.DUMMYFUNCTION("""COMPUTED_VALUE"""),64.0)</f>
        <v>64</v>
      </c>
      <c r="F195" s="19" t="str">
        <f>IFERROR(__xludf.DUMMYFUNCTION("""COMPUTED_VALUE"""),"BLACK")</f>
        <v>BLACK</v>
      </c>
      <c r="G195" s="20" t="str">
        <f>IFERROR(__xludf.DUMMYFUNCTION("""COMPUTED_VALUE"""),"Tap 6 Clone (10/15/2021)")</f>
        <v>Tap 6 Clone (10/15/2021)</v>
      </c>
      <c r="H195" s="19"/>
    </row>
    <row r="196">
      <c r="A196" s="9"/>
      <c r="B196" s="15"/>
      <c r="C196" s="9">
        <f>IFERROR(__xludf.DUMMYFUNCTION("""COMPUTED_VALUE"""),44509.7819294444)</f>
        <v>44509.78193</v>
      </c>
      <c r="D196" s="15">
        <f>IFERROR(__xludf.DUMMYFUNCTION("""COMPUTED_VALUE"""),1.013)</f>
        <v>1.013</v>
      </c>
      <c r="E196" s="16">
        <f>IFERROR(__xludf.DUMMYFUNCTION("""COMPUTED_VALUE"""),64.0)</f>
        <v>64</v>
      </c>
      <c r="F196" s="19" t="str">
        <f>IFERROR(__xludf.DUMMYFUNCTION("""COMPUTED_VALUE"""),"BLACK")</f>
        <v>BLACK</v>
      </c>
      <c r="G196" s="20" t="str">
        <f>IFERROR(__xludf.DUMMYFUNCTION("""COMPUTED_VALUE"""),"Tap 6 Clone (10/15/2021)")</f>
        <v>Tap 6 Clone (10/15/2021)</v>
      </c>
      <c r="H196" s="19"/>
    </row>
    <row r="197">
      <c r="A197" s="9"/>
      <c r="B197" s="15"/>
      <c r="C197" s="9">
        <f>IFERROR(__xludf.DUMMYFUNCTION("""COMPUTED_VALUE"""),44509.7715071759)</f>
        <v>44509.77151</v>
      </c>
      <c r="D197" s="15">
        <f>IFERROR(__xludf.DUMMYFUNCTION("""COMPUTED_VALUE"""),1.013)</f>
        <v>1.013</v>
      </c>
      <c r="E197" s="16">
        <f>IFERROR(__xludf.DUMMYFUNCTION("""COMPUTED_VALUE"""),65.0)</f>
        <v>65</v>
      </c>
      <c r="F197" s="19" t="str">
        <f>IFERROR(__xludf.DUMMYFUNCTION("""COMPUTED_VALUE"""),"BLACK")</f>
        <v>BLACK</v>
      </c>
      <c r="G197" s="20" t="str">
        <f>IFERROR(__xludf.DUMMYFUNCTION("""COMPUTED_VALUE"""),"Tap 6 Clone (10/15/2021)")</f>
        <v>Tap 6 Clone (10/15/2021)</v>
      </c>
      <c r="H197" s="19"/>
    </row>
    <row r="198">
      <c r="A198" s="9"/>
      <c r="B198" s="15"/>
      <c r="C198" s="9">
        <f>IFERROR(__xludf.DUMMYFUNCTION("""COMPUTED_VALUE"""),44509.7610844328)</f>
        <v>44509.76108</v>
      </c>
      <c r="D198" s="15">
        <f>IFERROR(__xludf.DUMMYFUNCTION("""COMPUTED_VALUE"""),1.013)</f>
        <v>1.013</v>
      </c>
      <c r="E198" s="16">
        <f>IFERROR(__xludf.DUMMYFUNCTION("""COMPUTED_VALUE"""),64.0)</f>
        <v>64</v>
      </c>
      <c r="F198" s="19" t="str">
        <f>IFERROR(__xludf.DUMMYFUNCTION("""COMPUTED_VALUE"""),"BLACK")</f>
        <v>BLACK</v>
      </c>
      <c r="G198" s="20" t="str">
        <f>IFERROR(__xludf.DUMMYFUNCTION("""COMPUTED_VALUE"""),"Tap 6 Clone (10/15/2021)")</f>
        <v>Tap 6 Clone (10/15/2021)</v>
      </c>
      <c r="H198" s="19"/>
    </row>
    <row r="199">
      <c r="A199" s="9"/>
      <c r="B199" s="15"/>
      <c r="C199" s="9">
        <f>IFERROR(__xludf.DUMMYFUNCTION("""COMPUTED_VALUE"""),44509.7506636574)</f>
        <v>44509.75066</v>
      </c>
      <c r="D199" s="15">
        <f>IFERROR(__xludf.DUMMYFUNCTION("""COMPUTED_VALUE"""),1.013)</f>
        <v>1.013</v>
      </c>
      <c r="E199" s="16">
        <f>IFERROR(__xludf.DUMMYFUNCTION("""COMPUTED_VALUE"""),65.0)</f>
        <v>65</v>
      </c>
      <c r="F199" s="19" t="str">
        <f>IFERROR(__xludf.DUMMYFUNCTION("""COMPUTED_VALUE"""),"BLACK")</f>
        <v>BLACK</v>
      </c>
      <c r="G199" s="20" t="str">
        <f>IFERROR(__xludf.DUMMYFUNCTION("""COMPUTED_VALUE"""),"Tap 6 Clone (10/15/2021)")</f>
        <v>Tap 6 Clone (10/15/2021)</v>
      </c>
      <c r="H199" s="19"/>
    </row>
    <row r="200">
      <c r="A200" s="9"/>
      <c r="B200" s="15"/>
      <c r="C200" s="9">
        <f>IFERROR(__xludf.DUMMYFUNCTION("""COMPUTED_VALUE"""),44509.7402312268)</f>
        <v>44509.74023</v>
      </c>
      <c r="D200" s="15">
        <f>IFERROR(__xludf.DUMMYFUNCTION("""COMPUTED_VALUE"""),1.013)</f>
        <v>1.013</v>
      </c>
      <c r="E200" s="16">
        <f>IFERROR(__xludf.DUMMYFUNCTION("""COMPUTED_VALUE"""),65.0)</f>
        <v>65</v>
      </c>
      <c r="F200" s="19" t="str">
        <f>IFERROR(__xludf.DUMMYFUNCTION("""COMPUTED_VALUE"""),"BLACK")</f>
        <v>BLACK</v>
      </c>
      <c r="G200" s="20" t="str">
        <f>IFERROR(__xludf.DUMMYFUNCTION("""COMPUTED_VALUE"""),"Tap 6 Clone (10/15/2021)")</f>
        <v>Tap 6 Clone (10/15/2021)</v>
      </c>
      <c r="H200" s="19"/>
    </row>
    <row r="201">
      <c r="A201" s="9"/>
      <c r="B201" s="15"/>
      <c r="C201" s="9">
        <f>IFERROR(__xludf.DUMMYFUNCTION("""COMPUTED_VALUE"""),44509.7298114699)</f>
        <v>44509.72981</v>
      </c>
      <c r="D201" s="15">
        <f>IFERROR(__xludf.DUMMYFUNCTION("""COMPUTED_VALUE"""),1.013)</f>
        <v>1.013</v>
      </c>
      <c r="E201" s="16">
        <f>IFERROR(__xludf.DUMMYFUNCTION("""COMPUTED_VALUE"""),65.0)</f>
        <v>65</v>
      </c>
      <c r="F201" s="19" t="str">
        <f>IFERROR(__xludf.DUMMYFUNCTION("""COMPUTED_VALUE"""),"BLACK")</f>
        <v>BLACK</v>
      </c>
      <c r="G201" s="20" t="str">
        <f>IFERROR(__xludf.DUMMYFUNCTION("""COMPUTED_VALUE"""),"Tap 6 Clone (10/15/2021)")</f>
        <v>Tap 6 Clone (10/15/2021)</v>
      </c>
      <c r="H201" s="19"/>
    </row>
    <row r="202">
      <c r="A202" s="9"/>
      <c r="B202" s="15"/>
      <c r="C202" s="9">
        <f>IFERROR(__xludf.DUMMYFUNCTION("""COMPUTED_VALUE"""),44509.7193778819)</f>
        <v>44509.71938</v>
      </c>
      <c r="D202" s="15">
        <f>IFERROR(__xludf.DUMMYFUNCTION("""COMPUTED_VALUE"""),1.013)</f>
        <v>1.013</v>
      </c>
      <c r="E202" s="16">
        <f>IFERROR(__xludf.DUMMYFUNCTION("""COMPUTED_VALUE"""),65.0)</f>
        <v>65</v>
      </c>
      <c r="F202" s="19" t="str">
        <f>IFERROR(__xludf.DUMMYFUNCTION("""COMPUTED_VALUE"""),"BLACK")</f>
        <v>BLACK</v>
      </c>
      <c r="G202" s="20" t="str">
        <f>IFERROR(__xludf.DUMMYFUNCTION("""COMPUTED_VALUE"""),"Tap 6 Clone (10/15/2021)")</f>
        <v>Tap 6 Clone (10/15/2021)</v>
      </c>
      <c r="H202" s="19"/>
    </row>
    <row r="203">
      <c r="A203" s="9"/>
      <c r="B203" s="15"/>
      <c r="C203" s="9">
        <f>IFERROR(__xludf.DUMMYFUNCTION("""COMPUTED_VALUE"""),44509.7089458564)</f>
        <v>44509.70895</v>
      </c>
      <c r="D203" s="15">
        <f>IFERROR(__xludf.DUMMYFUNCTION("""COMPUTED_VALUE"""),1.013)</f>
        <v>1.013</v>
      </c>
      <c r="E203" s="16">
        <f>IFERROR(__xludf.DUMMYFUNCTION("""COMPUTED_VALUE"""),64.0)</f>
        <v>64</v>
      </c>
      <c r="F203" s="19" t="str">
        <f>IFERROR(__xludf.DUMMYFUNCTION("""COMPUTED_VALUE"""),"BLACK")</f>
        <v>BLACK</v>
      </c>
      <c r="G203" s="20" t="str">
        <f>IFERROR(__xludf.DUMMYFUNCTION("""COMPUTED_VALUE"""),"Tap 6 Clone (10/15/2021)")</f>
        <v>Tap 6 Clone (10/15/2021)</v>
      </c>
      <c r="H203" s="19"/>
    </row>
    <row r="204">
      <c r="A204" s="9"/>
      <c r="B204" s="15"/>
      <c r="C204" s="9">
        <f>IFERROR(__xludf.DUMMYFUNCTION("""COMPUTED_VALUE"""),44509.6985133449)</f>
        <v>44509.69851</v>
      </c>
      <c r="D204" s="15">
        <f>IFERROR(__xludf.DUMMYFUNCTION("""COMPUTED_VALUE"""),1.013)</f>
        <v>1.013</v>
      </c>
      <c r="E204" s="16">
        <f>IFERROR(__xludf.DUMMYFUNCTION("""COMPUTED_VALUE"""),65.0)</f>
        <v>65</v>
      </c>
      <c r="F204" s="19" t="str">
        <f>IFERROR(__xludf.DUMMYFUNCTION("""COMPUTED_VALUE"""),"BLACK")</f>
        <v>BLACK</v>
      </c>
      <c r="G204" s="20" t="str">
        <f>IFERROR(__xludf.DUMMYFUNCTION("""COMPUTED_VALUE"""),"Tap 6 Clone (10/15/2021)")</f>
        <v>Tap 6 Clone (10/15/2021)</v>
      </c>
      <c r="H204" s="19"/>
    </row>
    <row r="205">
      <c r="A205" s="9"/>
      <c r="B205" s="15"/>
      <c r="C205" s="9">
        <f>IFERROR(__xludf.DUMMYFUNCTION("""COMPUTED_VALUE"""),44509.6880931134)</f>
        <v>44509.68809</v>
      </c>
      <c r="D205" s="15">
        <f>IFERROR(__xludf.DUMMYFUNCTION("""COMPUTED_VALUE"""),1.013)</f>
        <v>1.013</v>
      </c>
      <c r="E205" s="16">
        <f>IFERROR(__xludf.DUMMYFUNCTION("""COMPUTED_VALUE"""),65.0)</f>
        <v>65</v>
      </c>
      <c r="F205" s="19" t="str">
        <f>IFERROR(__xludf.DUMMYFUNCTION("""COMPUTED_VALUE"""),"BLACK")</f>
        <v>BLACK</v>
      </c>
      <c r="G205" s="20" t="str">
        <f>IFERROR(__xludf.DUMMYFUNCTION("""COMPUTED_VALUE"""),"Tap 6 Clone (10/15/2021)")</f>
        <v>Tap 6 Clone (10/15/2021)</v>
      </c>
      <c r="H205" s="19"/>
    </row>
    <row r="206">
      <c r="A206" s="9"/>
      <c r="B206" s="15"/>
      <c r="C206" s="9">
        <f>IFERROR(__xludf.DUMMYFUNCTION("""COMPUTED_VALUE"""),44509.6776694328)</f>
        <v>44509.67767</v>
      </c>
      <c r="D206" s="15">
        <f>IFERROR(__xludf.DUMMYFUNCTION("""COMPUTED_VALUE"""),1.013)</f>
        <v>1.013</v>
      </c>
      <c r="E206" s="16">
        <f>IFERROR(__xludf.DUMMYFUNCTION("""COMPUTED_VALUE"""),65.0)</f>
        <v>65</v>
      </c>
      <c r="F206" s="19" t="str">
        <f>IFERROR(__xludf.DUMMYFUNCTION("""COMPUTED_VALUE"""),"BLACK")</f>
        <v>BLACK</v>
      </c>
      <c r="G206" s="20" t="str">
        <f>IFERROR(__xludf.DUMMYFUNCTION("""COMPUTED_VALUE"""),"Tap 6 Clone (10/15/2021)")</f>
        <v>Tap 6 Clone (10/15/2021)</v>
      </c>
      <c r="H206" s="19"/>
    </row>
    <row r="207">
      <c r="A207" s="9"/>
      <c r="B207" s="15"/>
      <c r="C207" s="9">
        <f>IFERROR(__xludf.DUMMYFUNCTION("""COMPUTED_VALUE"""),44509.6672368865)</f>
        <v>44509.66724</v>
      </c>
      <c r="D207" s="15">
        <f>IFERROR(__xludf.DUMMYFUNCTION("""COMPUTED_VALUE"""),1.013)</f>
        <v>1.013</v>
      </c>
      <c r="E207" s="16">
        <f>IFERROR(__xludf.DUMMYFUNCTION("""COMPUTED_VALUE"""),65.0)</f>
        <v>65</v>
      </c>
      <c r="F207" s="19" t="str">
        <f>IFERROR(__xludf.DUMMYFUNCTION("""COMPUTED_VALUE"""),"BLACK")</f>
        <v>BLACK</v>
      </c>
      <c r="G207" s="20" t="str">
        <f>IFERROR(__xludf.DUMMYFUNCTION("""COMPUTED_VALUE"""),"Tap 6 Clone (10/15/2021)")</f>
        <v>Tap 6 Clone (10/15/2021)</v>
      </c>
      <c r="H207" s="19"/>
    </row>
    <row r="208">
      <c r="A208" s="9"/>
      <c r="B208" s="15"/>
      <c r="C208" s="9">
        <f>IFERROR(__xludf.DUMMYFUNCTION("""COMPUTED_VALUE"""),44509.6568152893)</f>
        <v>44509.65682</v>
      </c>
      <c r="D208" s="15">
        <f>IFERROR(__xludf.DUMMYFUNCTION("""COMPUTED_VALUE"""),1.013)</f>
        <v>1.013</v>
      </c>
      <c r="E208" s="16">
        <f>IFERROR(__xludf.DUMMYFUNCTION("""COMPUTED_VALUE"""),65.0)</f>
        <v>65</v>
      </c>
      <c r="F208" s="19" t="str">
        <f>IFERROR(__xludf.DUMMYFUNCTION("""COMPUTED_VALUE"""),"BLACK")</f>
        <v>BLACK</v>
      </c>
      <c r="G208" s="20" t="str">
        <f>IFERROR(__xludf.DUMMYFUNCTION("""COMPUTED_VALUE"""),"Tap 6 Clone (10/15/2021)")</f>
        <v>Tap 6 Clone (10/15/2021)</v>
      </c>
      <c r="H208" s="19"/>
    </row>
    <row r="209">
      <c r="A209" s="9"/>
      <c r="B209" s="15"/>
      <c r="C209" s="9">
        <f>IFERROR(__xludf.DUMMYFUNCTION("""COMPUTED_VALUE"""),44509.6463953472)</f>
        <v>44509.6464</v>
      </c>
      <c r="D209" s="15">
        <f>IFERROR(__xludf.DUMMYFUNCTION("""COMPUTED_VALUE"""),1.013)</f>
        <v>1.013</v>
      </c>
      <c r="E209" s="16">
        <f>IFERROR(__xludf.DUMMYFUNCTION("""COMPUTED_VALUE"""),64.0)</f>
        <v>64</v>
      </c>
      <c r="F209" s="19" t="str">
        <f>IFERROR(__xludf.DUMMYFUNCTION("""COMPUTED_VALUE"""),"BLACK")</f>
        <v>BLACK</v>
      </c>
      <c r="G209" s="20" t="str">
        <f>IFERROR(__xludf.DUMMYFUNCTION("""COMPUTED_VALUE"""),"Tap 6 Clone (10/15/2021)")</f>
        <v>Tap 6 Clone (10/15/2021)</v>
      </c>
      <c r="H209" s="19"/>
    </row>
    <row r="210">
      <c r="A210" s="9"/>
      <c r="B210" s="15"/>
      <c r="C210" s="9">
        <f>IFERROR(__xludf.DUMMYFUNCTION("""COMPUTED_VALUE"""),44509.6359723379)</f>
        <v>44509.63597</v>
      </c>
      <c r="D210" s="15">
        <f>IFERROR(__xludf.DUMMYFUNCTION("""COMPUTED_VALUE"""),1.013)</f>
        <v>1.013</v>
      </c>
      <c r="E210" s="16">
        <f>IFERROR(__xludf.DUMMYFUNCTION("""COMPUTED_VALUE"""),64.0)</f>
        <v>64</v>
      </c>
      <c r="F210" s="19" t="str">
        <f>IFERROR(__xludf.DUMMYFUNCTION("""COMPUTED_VALUE"""),"BLACK")</f>
        <v>BLACK</v>
      </c>
      <c r="G210" s="20" t="str">
        <f>IFERROR(__xludf.DUMMYFUNCTION("""COMPUTED_VALUE"""),"Tap 6 Clone (10/15/2021)")</f>
        <v>Tap 6 Clone (10/15/2021)</v>
      </c>
      <c r="H210" s="19"/>
    </row>
    <row r="211">
      <c r="A211" s="9"/>
      <c r="B211" s="15"/>
      <c r="C211" s="9">
        <f>IFERROR(__xludf.DUMMYFUNCTION("""COMPUTED_VALUE"""),44509.6255509722)</f>
        <v>44509.62555</v>
      </c>
      <c r="D211" s="15">
        <f>IFERROR(__xludf.DUMMYFUNCTION("""COMPUTED_VALUE"""),1.013)</f>
        <v>1.013</v>
      </c>
      <c r="E211" s="16">
        <f>IFERROR(__xludf.DUMMYFUNCTION("""COMPUTED_VALUE"""),65.0)</f>
        <v>65</v>
      </c>
      <c r="F211" s="19" t="str">
        <f>IFERROR(__xludf.DUMMYFUNCTION("""COMPUTED_VALUE"""),"BLACK")</f>
        <v>BLACK</v>
      </c>
      <c r="G211" s="20" t="str">
        <f>IFERROR(__xludf.DUMMYFUNCTION("""COMPUTED_VALUE"""),"Tap 6 Clone (10/15/2021)")</f>
        <v>Tap 6 Clone (10/15/2021)</v>
      </c>
      <c r="H211" s="19"/>
    </row>
    <row r="212">
      <c r="A212" s="9"/>
      <c r="B212" s="15"/>
      <c r="C212" s="9">
        <f>IFERROR(__xludf.DUMMYFUNCTION("""COMPUTED_VALUE"""),44509.6151277662)</f>
        <v>44509.61513</v>
      </c>
      <c r="D212" s="15">
        <f>IFERROR(__xludf.DUMMYFUNCTION("""COMPUTED_VALUE"""),1.013)</f>
        <v>1.013</v>
      </c>
      <c r="E212" s="16">
        <f>IFERROR(__xludf.DUMMYFUNCTION("""COMPUTED_VALUE"""),64.0)</f>
        <v>64</v>
      </c>
      <c r="F212" s="19" t="str">
        <f>IFERROR(__xludf.DUMMYFUNCTION("""COMPUTED_VALUE"""),"BLACK")</f>
        <v>BLACK</v>
      </c>
      <c r="G212" s="20" t="str">
        <f>IFERROR(__xludf.DUMMYFUNCTION("""COMPUTED_VALUE"""),"Tap 6 Clone (10/15/2021)")</f>
        <v>Tap 6 Clone (10/15/2021)</v>
      </c>
      <c r="H212" s="19"/>
    </row>
    <row r="213">
      <c r="A213" s="9"/>
      <c r="B213" s="15"/>
      <c r="C213" s="9">
        <f>IFERROR(__xludf.DUMMYFUNCTION("""COMPUTED_VALUE"""),44509.6046943634)</f>
        <v>44509.60469</v>
      </c>
      <c r="D213" s="15">
        <f>IFERROR(__xludf.DUMMYFUNCTION("""COMPUTED_VALUE"""),1.013)</f>
        <v>1.013</v>
      </c>
      <c r="E213" s="16">
        <f>IFERROR(__xludf.DUMMYFUNCTION("""COMPUTED_VALUE"""),64.0)</f>
        <v>64</v>
      </c>
      <c r="F213" s="19" t="str">
        <f>IFERROR(__xludf.DUMMYFUNCTION("""COMPUTED_VALUE"""),"BLACK")</f>
        <v>BLACK</v>
      </c>
      <c r="G213" s="20" t="str">
        <f>IFERROR(__xludf.DUMMYFUNCTION("""COMPUTED_VALUE"""),"Tap 6 Clone (10/15/2021)")</f>
        <v>Tap 6 Clone (10/15/2021)</v>
      </c>
      <c r="H213" s="19"/>
    </row>
    <row r="214">
      <c r="A214" s="9"/>
      <c r="B214" s="15"/>
      <c r="C214" s="9">
        <f>IFERROR(__xludf.DUMMYFUNCTION("""COMPUTED_VALUE"""),44509.5942711805)</f>
        <v>44509.59427</v>
      </c>
      <c r="D214" s="15">
        <f>IFERROR(__xludf.DUMMYFUNCTION("""COMPUTED_VALUE"""),1.013)</f>
        <v>1.013</v>
      </c>
      <c r="E214" s="16">
        <f>IFERROR(__xludf.DUMMYFUNCTION("""COMPUTED_VALUE"""),65.0)</f>
        <v>65</v>
      </c>
      <c r="F214" s="19" t="str">
        <f>IFERROR(__xludf.DUMMYFUNCTION("""COMPUTED_VALUE"""),"BLACK")</f>
        <v>BLACK</v>
      </c>
      <c r="G214" s="20" t="str">
        <f>IFERROR(__xludf.DUMMYFUNCTION("""COMPUTED_VALUE"""),"Tap 6 Clone (10/15/2021)")</f>
        <v>Tap 6 Clone (10/15/2021)</v>
      </c>
      <c r="H214" s="19"/>
    </row>
    <row r="215">
      <c r="A215" s="9"/>
      <c r="B215" s="15"/>
      <c r="C215" s="9">
        <f>IFERROR(__xludf.DUMMYFUNCTION("""COMPUTED_VALUE"""),44509.5838488657)</f>
        <v>44509.58385</v>
      </c>
      <c r="D215" s="15">
        <f>IFERROR(__xludf.DUMMYFUNCTION("""COMPUTED_VALUE"""),1.013)</f>
        <v>1.013</v>
      </c>
      <c r="E215" s="16">
        <f>IFERROR(__xludf.DUMMYFUNCTION("""COMPUTED_VALUE"""),65.0)</f>
        <v>65</v>
      </c>
      <c r="F215" s="19" t="str">
        <f>IFERROR(__xludf.DUMMYFUNCTION("""COMPUTED_VALUE"""),"BLACK")</f>
        <v>BLACK</v>
      </c>
      <c r="G215" s="20" t="str">
        <f>IFERROR(__xludf.DUMMYFUNCTION("""COMPUTED_VALUE"""),"Tap 6 Clone (10/15/2021)")</f>
        <v>Tap 6 Clone (10/15/2021)</v>
      </c>
      <c r="H215" s="19"/>
    </row>
    <row r="216">
      <c r="A216" s="9"/>
      <c r="B216" s="15"/>
      <c r="C216" s="9">
        <f>IFERROR(__xludf.DUMMYFUNCTION("""COMPUTED_VALUE"""),44509.5734049074)</f>
        <v>44509.5734</v>
      </c>
      <c r="D216" s="15">
        <f>IFERROR(__xludf.DUMMYFUNCTION("""COMPUTED_VALUE"""),1.013)</f>
        <v>1.013</v>
      </c>
      <c r="E216" s="16">
        <f>IFERROR(__xludf.DUMMYFUNCTION("""COMPUTED_VALUE"""),64.0)</f>
        <v>64</v>
      </c>
      <c r="F216" s="19" t="str">
        <f>IFERROR(__xludf.DUMMYFUNCTION("""COMPUTED_VALUE"""),"BLACK")</f>
        <v>BLACK</v>
      </c>
      <c r="G216" s="20" t="str">
        <f>IFERROR(__xludf.DUMMYFUNCTION("""COMPUTED_VALUE"""),"Tap 6 Clone (10/15/2021)")</f>
        <v>Tap 6 Clone (10/15/2021)</v>
      </c>
      <c r="H216" s="19"/>
    </row>
    <row r="217">
      <c r="A217" s="9"/>
      <c r="B217" s="15"/>
      <c r="C217" s="9">
        <f>IFERROR(__xludf.DUMMYFUNCTION("""COMPUTED_VALUE"""),44509.5629832175)</f>
        <v>44509.56298</v>
      </c>
      <c r="D217" s="15">
        <f>IFERROR(__xludf.DUMMYFUNCTION("""COMPUTED_VALUE"""),1.013)</f>
        <v>1.013</v>
      </c>
      <c r="E217" s="16">
        <f>IFERROR(__xludf.DUMMYFUNCTION("""COMPUTED_VALUE"""),65.0)</f>
        <v>65</v>
      </c>
      <c r="F217" s="19" t="str">
        <f>IFERROR(__xludf.DUMMYFUNCTION("""COMPUTED_VALUE"""),"BLACK")</f>
        <v>BLACK</v>
      </c>
      <c r="G217" s="20" t="str">
        <f>IFERROR(__xludf.DUMMYFUNCTION("""COMPUTED_VALUE"""),"Tap 6 Clone (10/15/2021)")</f>
        <v>Tap 6 Clone (10/15/2021)</v>
      </c>
      <c r="H217" s="19"/>
    </row>
    <row r="218">
      <c r="A218" s="9"/>
      <c r="B218" s="15"/>
      <c r="C218" s="9">
        <f>IFERROR(__xludf.DUMMYFUNCTION("""COMPUTED_VALUE"""),44509.5525506481)</f>
        <v>44509.55255</v>
      </c>
      <c r="D218" s="15">
        <f>IFERROR(__xludf.DUMMYFUNCTION("""COMPUTED_VALUE"""),1.013)</f>
        <v>1.013</v>
      </c>
      <c r="E218" s="16">
        <f>IFERROR(__xludf.DUMMYFUNCTION("""COMPUTED_VALUE"""),64.0)</f>
        <v>64</v>
      </c>
      <c r="F218" s="19" t="str">
        <f>IFERROR(__xludf.DUMMYFUNCTION("""COMPUTED_VALUE"""),"BLACK")</f>
        <v>BLACK</v>
      </c>
      <c r="G218" s="20" t="str">
        <f>IFERROR(__xludf.DUMMYFUNCTION("""COMPUTED_VALUE"""),"Tap 6 Clone (10/15/2021)")</f>
        <v>Tap 6 Clone (10/15/2021)</v>
      </c>
      <c r="H218" s="19"/>
    </row>
    <row r="219">
      <c r="A219" s="9"/>
      <c r="B219" s="15"/>
      <c r="C219" s="9">
        <f>IFERROR(__xludf.DUMMYFUNCTION("""COMPUTED_VALUE"""),44509.5421274652)</f>
        <v>44509.54213</v>
      </c>
      <c r="D219" s="15">
        <f>IFERROR(__xludf.DUMMYFUNCTION("""COMPUTED_VALUE"""),1.013)</f>
        <v>1.013</v>
      </c>
      <c r="E219" s="16">
        <f>IFERROR(__xludf.DUMMYFUNCTION("""COMPUTED_VALUE"""),64.0)</f>
        <v>64</v>
      </c>
      <c r="F219" s="19" t="str">
        <f>IFERROR(__xludf.DUMMYFUNCTION("""COMPUTED_VALUE"""),"BLACK")</f>
        <v>BLACK</v>
      </c>
      <c r="G219" s="20" t="str">
        <f>IFERROR(__xludf.DUMMYFUNCTION("""COMPUTED_VALUE"""),"Tap 6 Clone (10/15/2021)")</f>
        <v>Tap 6 Clone (10/15/2021)</v>
      </c>
      <c r="H219" s="19"/>
    </row>
    <row r="220">
      <c r="A220" s="9"/>
      <c r="B220" s="15"/>
      <c r="C220" s="9">
        <f>IFERROR(__xludf.DUMMYFUNCTION("""COMPUTED_VALUE"""),44509.5317074768)</f>
        <v>44509.53171</v>
      </c>
      <c r="D220" s="15">
        <f>IFERROR(__xludf.DUMMYFUNCTION("""COMPUTED_VALUE"""),1.013)</f>
        <v>1.013</v>
      </c>
      <c r="E220" s="16">
        <f>IFERROR(__xludf.DUMMYFUNCTION("""COMPUTED_VALUE"""),65.0)</f>
        <v>65</v>
      </c>
      <c r="F220" s="19" t="str">
        <f>IFERROR(__xludf.DUMMYFUNCTION("""COMPUTED_VALUE"""),"BLACK")</f>
        <v>BLACK</v>
      </c>
      <c r="G220" s="20" t="str">
        <f>IFERROR(__xludf.DUMMYFUNCTION("""COMPUTED_VALUE"""),"Tap 6 Clone (10/15/2021)")</f>
        <v>Tap 6 Clone (10/15/2021)</v>
      </c>
      <c r="H220" s="19"/>
    </row>
    <row r="221">
      <c r="A221" s="9"/>
      <c r="B221" s="15"/>
      <c r="C221" s="9">
        <f>IFERROR(__xludf.DUMMYFUNCTION("""COMPUTED_VALUE"""),44509.5212848032)</f>
        <v>44509.52128</v>
      </c>
      <c r="D221" s="15">
        <f>IFERROR(__xludf.DUMMYFUNCTION("""COMPUTED_VALUE"""),1.013)</f>
        <v>1.013</v>
      </c>
      <c r="E221" s="16">
        <f>IFERROR(__xludf.DUMMYFUNCTION("""COMPUTED_VALUE"""),64.0)</f>
        <v>64</v>
      </c>
      <c r="F221" s="19" t="str">
        <f>IFERROR(__xludf.DUMMYFUNCTION("""COMPUTED_VALUE"""),"BLACK")</f>
        <v>BLACK</v>
      </c>
      <c r="G221" s="20" t="str">
        <f>IFERROR(__xludf.DUMMYFUNCTION("""COMPUTED_VALUE"""),"Tap 6 Clone (10/15/2021)")</f>
        <v>Tap 6 Clone (10/15/2021)</v>
      </c>
      <c r="H221" s="19"/>
    </row>
    <row r="222">
      <c r="A222" s="9"/>
      <c r="B222" s="15"/>
      <c r="C222" s="9">
        <f>IFERROR(__xludf.DUMMYFUNCTION("""COMPUTED_VALUE"""),44509.5108636458)</f>
        <v>44509.51086</v>
      </c>
      <c r="D222" s="15">
        <f>IFERROR(__xludf.DUMMYFUNCTION("""COMPUTED_VALUE"""),1.013)</f>
        <v>1.013</v>
      </c>
      <c r="E222" s="16">
        <f>IFERROR(__xludf.DUMMYFUNCTION("""COMPUTED_VALUE"""),64.0)</f>
        <v>64</v>
      </c>
      <c r="F222" s="19" t="str">
        <f>IFERROR(__xludf.DUMMYFUNCTION("""COMPUTED_VALUE"""),"BLACK")</f>
        <v>BLACK</v>
      </c>
      <c r="G222" s="20" t="str">
        <f>IFERROR(__xludf.DUMMYFUNCTION("""COMPUTED_VALUE"""),"Tap 6 Clone (10/15/2021)")</f>
        <v>Tap 6 Clone (10/15/2021)</v>
      </c>
      <c r="H222" s="19"/>
    </row>
    <row r="223">
      <c r="A223" s="9"/>
      <c r="B223" s="15"/>
      <c r="C223" s="9">
        <f>IFERROR(__xludf.DUMMYFUNCTION("""COMPUTED_VALUE"""),44509.5004312962)</f>
        <v>44509.50043</v>
      </c>
      <c r="D223" s="15">
        <f>IFERROR(__xludf.DUMMYFUNCTION("""COMPUTED_VALUE"""),1.013)</f>
        <v>1.013</v>
      </c>
      <c r="E223" s="16">
        <f>IFERROR(__xludf.DUMMYFUNCTION("""COMPUTED_VALUE"""),65.0)</f>
        <v>65</v>
      </c>
      <c r="F223" s="19" t="str">
        <f>IFERROR(__xludf.DUMMYFUNCTION("""COMPUTED_VALUE"""),"BLACK")</f>
        <v>BLACK</v>
      </c>
      <c r="G223" s="20" t="str">
        <f>IFERROR(__xludf.DUMMYFUNCTION("""COMPUTED_VALUE"""),"Tap 6 Clone (10/15/2021)")</f>
        <v>Tap 6 Clone (10/15/2021)</v>
      </c>
      <c r="H223" s="19"/>
    </row>
    <row r="224">
      <c r="A224" s="9"/>
      <c r="B224" s="15"/>
      <c r="C224" s="9">
        <f>IFERROR(__xludf.DUMMYFUNCTION("""COMPUTED_VALUE"""),44509.4900094907)</f>
        <v>44509.49001</v>
      </c>
      <c r="D224" s="15">
        <f>IFERROR(__xludf.DUMMYFUNCTION("""COMPUTED_VALUE"""),1.013)</f>
        <v>1.013</v>
      </c>
      <c r="E224" s="16">
        <f>IFERROR(__xludf.DUMMYFUNCTION("""COMPUTED_VALUE"""),65.0)</f>
        <v>65</v>
      </c>
      <c r="F224" s="19" t="str">
        <f>IFERROR(__xludf.DUMMYFUNCTION("""COMPUTED_VALUE"""),"BLACK")</f>
        <v>BLACK</v>
      </c>
      <c r="G224" s="20" t="str">
        <f>IFERROR(__xludf.DUMMYFUNCTION("""COMPUTED_VALUE"""),"Tap 6 Clone (10/15/2021)")</f>
        <v>Tap 6 Clone (10/15/2021)</v>
      </c>
      <c r="H224" s="19"/>
    </row>
    <row r="225">
      <c r="A225" s="9"/>
      <c r="B225" s="15"/>
      <c r="C225" s="9">
        <f>IFERROR(__xludf.DUMMYFUNCTION("""COMPUTED_VALUE"""),44509.4795776967)</f>
        <v>44509.47958</v>
      </c>
      <c r="D225" s="15">
        <f>IFERROR(__xludf.DUMMYFUNCTION("""COMPUTED_VALUE"""),1.013)</f>
        <v>1.013</v>
      </c>
      <c r="E225" s="16">
        <f>IFERROR(__xludf.DUMMYFUNCTION("""COMPUTED_VALUE"""),64.0)</f>
        <v>64</v>
      </c>
      <c r="F225" s="19" t="str">
        <f>IFERROR(__xludf.DUMMYFUNCTION("""COMPUTED_VALUE"""),"BLACK")</f>
        <v>BLACK</v>
      </c>
      <c r="G225" s="20" t="str">
        <f>IFERROR(__xludf.DUMMYFUNCTION("""COMPUTED_VALUE"""),"Tap 6 Clone (10/15/2021)")</f>
        <v>Tap 6 Clone (10/15/2021)</v>
      </c>
      <c r="H225" s="19"/>
    </row>
    <row r="226">
      <c r="A226" s="9"/>
      <c r="B226" s="15"/>
      <c r="C226" s="9">
        <f>IFERROR(__xludf.DUMMYFUNCTION("""COMPUTED_VALUE"""),44509.4691569444)</f>
        <v>44509.46916</v>
      </c>
      <c r="D226" s="15">
        <f>IFERROR(__xludf.DUMMYFUNCTION("""COMPUTED_VALUE"""),1.013)</f>
        <v>1.013</v>
      </c>
      <c r="E226" s="16">
        <f>IFERROR(__xludf.DUMMYFUNCTION("""COMPUTED_VALUE"""),65.0)</f>
        <v>65</v>
      </c>
      <c r="F226" s="19" t="str">
        <f>IFERROR(__xludf.DUMMYFUNCTION("""COMPUTED_VALUE"""),"BLACK")</f>
        <v>BLACK</v>
      </c>
      <c r="G226" s="20" t="str">
        <f>IFERROR(__xludf.DUMMYFUNCTION("""COMPUTED_VALUE"""),"Tap 6 Clone (10/15/2021)")</f>
        <v>Tap 6 Clone (10/15/2021)</v>
      </c>
      <c r="H226" s="19"/>
    </row>
    <row r="227">
      <c r="A227" s="9"/>
      <c r="B227" s="15"/>
      <c r="C227" s="9">
        <f>IFERROR(__xludf.DUMMYFUNCTION("""COMPUTED_VALUE"""),44509.458736574)</f>
        <v>44509.45874</v>
      </c>
      <c r="D227" s="15">
        <f>IFERROR(__xludf.DUMMYFUNCTION("""COMPUTED_VALUE"""),1.013)</f>
        <v>1.013</v>
      </c>
      <c r="E227" s="16">
        <f>IFERROR(__xludf.DUMMYFUNCTION("""COMPUTED_VALUE"""),65.0)</f>
        <v>65</v>
      </c>
      <c r="F227" s="19" t="str">
        <f>IFERROR(__xludf.DUMMYFUNCTION("""COMPUTED_VALUE"""),"BLACK")</f>
        <v>BLACK</v>
      </c>
      <c r="G227" s="20" t="str">
        <f>IFERROR(__xludf.DUMMYFUNCTION("""COMPUTED_VALUE"""),"Tap 6 Clone (10/15/2021)")</f>
        <v>Tap 6 Clone (10/15/2021)</v>
      </c>
      <c r="H227" s="19"/>
    </row>
    <row r="228">
      <c r="A228" s="9"/>
      <c r="B228" s="15"/>
      <c r="C228" s="9">
        <f>IFERROR(__xludf.DUMMYFUNCTION("""COMPUTED_VALUE"""),44509.4483162152)</f>
        <v>44509.44832</v>
      </c>
      <c r="D228" s="15">
        <f>IFERROR(__xludf.DUMMYFUNCTION("""COMPUTED_VALUE"""),1.013)</f>
        <v>1.013</v>
      </c>
      <c r="E228" s="16">
        <f>IFERROR(__xludf.DUMMYFUNCTION("""COMPUTED_VALUE"""),64.0)</f>
        <v>64</v>
      </c>
      <c r="F228" s="19" t="str">
        <f>IFERROR(__xludf.DUMMYFUNCTION("""COMPUTED_VALUE"""),"BLACK")</f>
        <v>BLACK</v>
      </c>
      <c r="G228" s="20" t="str">
        <f>IFERROR(__xludf.DUMMYFUNCTION("""COMPUTED_VALUE"""),"Tap 6 Clone (10/15/2021)")</f>
        <v>Tap 6 Clone (10/15/2021)</v>
      </c>
      <c r="H228" s="19"/>
    </row>
    <row r="229">
      <c r="A229" s="9"/>
      <c r="B229" s="15"/>
      <c r="C229" s="9">
        <f>IFERROR(__xludf.DUMMYFUNCTION("""COMPUTED_VALUE"""),44509.4378843171)</f>
        <v>44509.43788</v>
      </c>
      <c r="D229" s="15">
        <f>IFERROR(__xludf.DUMMYFUNCTION("""COMPUTED_VALUE"""),1.013)</f>
        <v>1.013</v>
      </c>
      <c r="E229" s="16">
        <f>IFERROR(__xludf.DUMMYFUNCTION("""COMPUTED_VALUE"""),65.0)</f>
        <v>65</v>
      </c>
      <c r="F229" s="19" t="str">
        <f>IFERROR(__xludf.DUMMYFUNCTION("""COMPUTED_VALUE"""),"BLACK")</f>
        <v>BLACK</v>
      </c>
      <c r="G229" s="20" t="str">
        <f>IFERROR(__xludf.DUMMYFUNCTION("""COMPUTED_VALUE"""),"Tap 6 Clone (10/15/2021)")</f>
        <v>Tap 6 Clone (10/15/2021)</v>
      </c>
      <c r="H229" s="19"/>
    </row>
    <row r="230">
      <c r="A230" s="9"/>
      <c r="B230" s="15"/>
      <c r="C230" s="9">
        <f>IFERROR(__xludf.DUMMYFUNCTION("""COMPUTED_VALUE"""),44509.4274510416)</f>
        <v>44509.42745</v>
      </c>
      <c r="D230" s="15">
        <f>IFERROR(__xludf.DUMMYFUNCTION("""COMPUTED_VALUE"""),1.013)</f>
        <v>1.013</v>
      </c>
      <c r="E230" s="16">
        <f>IFERROR(__xludf.DUMMYFUNCTION("""COMPUTED_VALUE"""),65.0)</f>
        <v>65</v>
      </c>
      <c r="F230" s="19" t="str">
        <f>IFERROR(__xludf.DUMMYFUNCTION("""COMPUTED_VALUE"""),"BLACK")</f>
        <v>BLACK</v>
      </c>
      <c r="G230" s="20" t="str">
        <f>IFERROR(__xludf.DUMMYFUNCTION("""COMPUTED_VALUE"""),"Tap 6 Clone (10/15/2021)")</f>
        <v>Tap 6 Clone (10/15/2021)</v>
      </c>
      <c r="H230" s="19"/>
    </row>
    <row r="231">
      <c r="A231" s="9"/>
      <c r="B231" s="15"/>
      <c r="C231" s="9">
        <f>IFERROR(__xludf.DUMMYFUNCTION("""COMPUTED_VALUE"""),44509.417029074)</f>
        <v>44509.41703</v>
      </c>
      <c r="D231" s="15">
        <f>IFERROR(__xludf.DUMMYFUNCTION("""COMPUTED_VALUE"""),1.013)</f>
        <v>1.013</v>
      </c>
      <c r="E231" s="16">
        <f>IFERROR(__xludf.DUMMYFUNCTION("""COMPUTED_VALUE"""),65.0)</f>
        <v>65</v>
      </c>
      <c r="F231" s="19" t="str">
        <f>IFERROR(__xludf.DUMMYFUNCTION("""COMPUTED_VALUE"""),"BLACK")</f>
        <v>BLACK</v>
      </c>
      <c r="G231" s="20" t="str">
        <f>IFERROR(__xludf.DUMMYFUNCTION("""COMPUTED_VALUE"""),"Tap 6 Clone (10/15/2021)")</f>
        <v>Tap 6 Clone (10/15/2021)</v>
      </c>
      <c r="H231" s="19"/>
    </row>
    <row r="232">
      <c r="A232" s="9"/>
      <c r="B232" s="15"/>
      <c r="C232" s="9">
        <f>IFERROR(__xludf.DUMMYFUNCTION("""COMPUTED_VALUE"""),44509.4065954629)</f>
        <v>44509.4066</v>
      </c>
      <c r="D232" s="15">
        <f>IFERROR(__xludf.DUMMYFUNCTION("""COMPUTED_VALUE"""),1.013)</f>
        <v>1.013</v>
      </c>
      <c r="E232" s="16">
        <f>IFERROR(__xludf.DUMMYFUNCTION("""COMPUTED_VALUE"""),65.0)</f>
        <v>65</v>
      </c>
      <c r="F232" s="19" t="str">
        <f>IFERROR(__xludf.DUMMYFUNCTION("""COMPUTED_VALUE"""),"BLACK")</f>
        <v>BLACK</v>
      </c>
      <c r="G232" s="20" t="str">
        <f>IFERROR(__xludf.DUMMYFUNCTION("""COMPUTED_VALUE"""),"Tap 6 Clone (10/15/2021)")</f>
        <v>Tap 6 Clone (10/15/2021)</v>
      </c>
      <c r="H232" s="19"/>
    </row>
    <row r="233">
      <c r="A233" s="9"/>
      <c r="B233" s="15"/>
      <c r="C233" s="9">
        <f>IFERROR(__xludf.DUMMYFUNCTION("""COMPUTED_VALUE"""),44509.3961727199)</f>
        <v>44509.39617</v>
      </c>
      <c r="D233" s="15">
        <f>IFERROR(__xludf.DUMMYFUNCTION("""COMPUTED_VALUE"""),1.013)</f>
        <v>1.013</v>
      </c>
      <c r="E233" s="16">
        <f>IFERROR(__xludf.DUMMYFUNCTION("""COMPUTED_VALUE"""),65.0)</f>
        <v>65</v>
      </c>
      <c r="F233" s="19" t="str">
        <f>IFERROR(__xludf.DUMMYFUNCTION("""COMPUTED_VALUE"""),"BLACK")</f>
        <v>BLACK</v>
      </c>
      <c r="G233" s="20" t="str">
        <f>IFERROR(__xludf.DUMMYFUNCTION("""COMPUTED_VALUE"""),"Tap 6 Clone (10/15/2021)")</f>
        <v>Tap 6 Clone (10/15/2021)</v>
      </c>
      <c r="H233" s="19"/>
    </row>
    <row r="234">
      <c r="A234" s="9"/>
      <c r="B234" s="15"/>
      <c r="C234" s="9">
        <f>IFERROR(__xludf.DUMMYFUNCTION("""COMPUTED_VALUE"""),44509.3857501504)</f>
        <v>44509.38575</v>
      </c>
      <c r="D234" s="15">
        <f>IFERROR(__xludf.DUMMYFUNCTION("""COMPUTED_VALUE"""),1.013)</f>
        <v>1.013</v>
      </c>
      <c r="E234" s="16">
        <f>IFERROR(__xludf.DUMMYFUNCTION("""COMPUTED_VALUE"""),65.0)</f>
        <v>65</v>
      </c>
      <c r="F234" s="19" t="str">
        <f>IFERROR(__xludf.DUMMYFUNCTION("""COMPUTED_VALUE"""),"BLACK")</f>
        <v>BLACK</v>
      </c>
      <c r="G234" s="20" t="str">
        <f>IFERROR(__xludf.DUMMYFUNCTION("""COMPUTED_VALUE"""),"Tap 6 Clone (10/15/2021)")</f>
        <v>Tap 6 Clone (10/15/2021)</v>
      </c>
      <c r="H234" s="19"/>
    </row>
    <row r="235">
      <c r="A235" s="9"/>
      <c r="B235" s="15"/>
      <c r="C235" s="9">
        <f>IFERROR(__xludf.DUMMYFUNCTION("""COMPUTED_VALUE"""),44509.3753297222)</f>
        <v>44509.37533</v>
      </c>
      <c r="D235" s="15">
        <f>IFERROR(__xludf.DUMMYFUNCTION("""COMPUTED_VALUE"""),1.013)</f>
        <v>1.013</v>
      </c>
      <c r="E235" s="16">
        <f>IFERROR(__xludf.DUMMYFUNCTION("""COMPUTED_VALUE"""),65.0)</f>
        <v>65</v>
      </c>
      <c r="F235" s="19" t="str">
        <f>IFERROR(__xludf.DUMMYFUNCTION("""COMPUTED_VALUE"""),"BLACK")</f>
        <v>BLACK</v>
      </c>
      <c r="G235" s="20" t="str">
        <f>IFERROR(__xludf.DUMMYFUNCTION("""COMPUTED_VALUE"""),"Tap 6 Clone (10/15/2021)")</f>
        <v>Tap 6 Clone (10/15/2021)</v>
      </c>
      <c r="H235" s="19"/>
    </row>
    <row r="236">
      <c r="A236" s="9"/>
      <c r="B236" s="15"/>
      <c r="C236" s="9">
        <f>IFERROR(__xludf.DUMMYFUNCTION("""COMPUTED_VALUE"""),44509.3648970601)</f>
        <v>44509.3649</v>
      </c>
      <c r="D236" s="15">
        <f>IFERROR(__xludf.DUMMYFUNCTION("""COMPUTED_VALUE"""),1.013)</f>
        <v>1.013</v>
      </c>
      <c r="E236" s="16">
        <f>IFERROR(__xludf.DUMMYFUNCTION("""COMPUTED_VALUE"""),64.0)</f>
        <v>64</v>
      </c>
      <c r="F236" s="19" t="str">
        <f>IFERROR(__xludf.DUMMYFUNCTION("""COMPUTED_VALUE"""),"BLACK")</f>
        <v>BLACK</v>
      </c>
      <c r="G236" s="20" t="str">
        <f>IFERROR(__xludf.DUMMYFUNCTION("""COMPUTED_VALUE"""),"Tap 6 Clone (10/15/2021)")</f>
        <v>Tap 6 Clone (10/15/2021)</v>
      </c>
      <c r="H236" s="19"/>
    </row>
    <row r="237">
      <c r="A237" s="9"/>
      <c r="B237" s="15"/>
      <c r="C237" s="9">
        <f>IFERROR(__xludf.DUMMYFUNCTION("""COMPUTED_VALUE"""),44509.3544755324)</f>
        <v>44509.35448</v>
      </c>
      <c r="D237" s="15">
        <f>IFERROR(__xludf.DUMMYFUNCTION("""COMPUTED_VALUE"""),1.013)</f>
        <v>1.013</v>
      </c>
      <c r="E237" s="16">
        <f>IFERROR(__xludf.DUMMYFUNCTION("""COMPUTED_VALUE"""),64.0)</f>
        <v>64</v>
      </c>
      <c r="F237" s="19" t="str">
        <f>IFERROR(__xludf.DUMMYFUNCTION("""COMPUTED_VALUE"""),"BLACK")</f>
        <v>BLACK</v>
      </c>
      <c r="G237" s="20" t="str">
        <f>IFERROR(__xludf.DUMMYFUNCTION("""COMPUTED_VALUE"""),"Tap 6 Clone (10/15/2021)")</f>
        <v>Tap 6 Clone (10/15/2021)</v>
      </c>
      <c r="H237" s="19"/>
    </row>
    <row r="238">
      <c r="A238" s="9"/>
      <c r="B238" s="15"/>
      <c r="C238" s="9">
        <f>IFERROR(__xludf.DUMMYFUNCTION("""COMPUTED_VALUE"""),44509.3440443518)</f>
        <v>44509.34404</v>
      </c>
      <c r="D238" s="15">
        <f>IFERROR(__xludf.DUMMYFUNCTION("""COMPUTED_VALUE"""),1.013)</f>
        <v>1.013</v>
      </c>
      <c r="E238" s="16">
        <f>IFERROR(__xludf.DUMMYFUNCTION("""COMPUTED_VALUE"""),64.0)</f>
        <v>64</v>
      </c>
      <c r="F238" s="19" t="str">
        <f>IFERROR(__xludf.DUMMYFUNCTION("""COMPUTED_VALUE"""),"BLACK")</f>
        <v>BLACK</v>
      </c>
      <c r="G238" s="20" t="str">
        <f>IFERROR(__xludf.DUMMYFUNCTION("""COMPUTED_VALUE"""),"Tap 6 Clone (10/15/2021)")</f>
        <v>Tap 6 Clone (10/15/2021)</v>
      </c>
      <c r="H238" s="19"/>
    </row>
    <row r="239">
      <c r="A239" s="9"/>
      <c r="B239" s="15"/>
      <c r="C239" s="9">
        <f>IFERROR(__xludf.DUMMYFUNCTION("""COMPUTED_VALUE"""),44509.3336226504)</f>
        <v>44509.33362</v>
      </c>
      <c r="D239" s="15">
        <f>IFERROR(__xludf.DUMMYFUNCTION("""COMPUTED_VALUE"""),1.013)</f>
        <v>1.013</v>
      </c>
      <c r="E239" s="16">
        <f>IFERROR(__xludf.DUMMYFUNCTION("""COMPUTED_VALUE"""),64.0)</f>
        <v>64</v>
      </c>
      <c r="F239" s="19" t="str">
        <f>IFERROR(__xludf.DUMMYFUNCTION("""COMPUTED_VALUE"""),"BLACK")</f>
        <v>BLACK</v>
      </c>
      <c r="G239" s="20" t="str">
        <f>IFERROR(__xludf.DUMMYFUNCTION("""COMPUTED_VALUE"""),"Tap 6 Clone (10/15/2021)")</f>
        <v>Tap 6 Clone (10/15/2021)</v>
      </c>
      <c r="H239" s="19"/>
    </row>
    <row r="240">
      <c r="A240" s="9"/>
      <c r="B240" s="15"/>
      <c r="C240" s="9">
        <f>IFERROR(__xludf.DUMMYFUNCTION("""COMPUTED_VALUE"""),44509.3231998726)</f>
        <v>44509.3232</v>
      </c>
      <c r="D240" s="15">
        <f>IFERROR(__xludf.DUMMYFUNCTION("""COMPUTED_VALUE"""),1.013)</f>
        <v>1.013</v>
      </c>
      <c r="E240" s="16">
        <f>IFERROR(__xludf.DUMMYFUNCTION("""COMPUTED_VALUE"""),64.0)</f>
        <v>64</v>
      </c>
      <c r="F240" s="19" t="str">
        <f>IFERROR(__xludf.DUMMYFUNCTION("""COMPUTED_VALUE"""),"BLACK")</f>
        <v>BLACK</v>
      </c>
      <c r="G240" s="20" t="str">
        <f>IFERROR(__xludf.DUMMYFUNCTION("""COMPUTED_VALUE"""),"Tap 6 Clone (10/15/2021)")</f>
        <v>Tap 6 Clone (10/15/2021)</v>
      </c>
      <c r="H240" s="19"/>
    </row>
    <row r="241">
      <c r="A241" s="9"/>
      <c r="B241" s="15"/>
      <c r="C241" s="9">
        <f>IFERROR(__xludf.DUMMYFUNCTION("""COMPUTED_VALUE"""),44509.312778287)</f>
        <v>44509.31278</v>
      </c>
      <c r="D241" s="15">
        <f>IFERROR(__xludf.DUMMYFUNCTION("""COMPUTED_VALUE"""),1.013)</f>
        <v>1.013</v>
      </c>
      <c r="E241" s="16">
        <f>IFERROR(__xludf.DUMMYFUNCTION("""COMPUTED_VALUE"""),64.0)</f>
        <v>64</v>
      </c>
      <c r="F241" s="19" t="str">
        <f>IFERROR(__xludf.DUMMYFUNCTION("""COMPUTED_VALUE"""),"BLACK")</f>
        <v>BLACK</v>
      </c>
      <c r="G241" s="20" t="str">
        <f>IFERROR(__xludf.DUMMYFUNCTION("""COMPUTED_VALUE"""),"Tap 6 Clone (10/15/2021)")</f>
        <v>Tap 6 Clone (10/15/2021)</v>
      </c>
      <c r="H241" s="19"/>
    </row>
    <row r="242">
      <c r="A242" s="9"/>
      <c r="B242" s="15"/>
      <c r="C242" s="9">
        <f>IFERROR(__xludf.DUMMYFUNCTION("""COMPUTED_VALUE"""),44509.3023569444)</f>
        <v>44509.30236</v>
      </c>
      <c r="D242" s="15">
        <f>IFERROR(__xludf.DUMMYFUNCTION("""COMPUTED_VALUE"""),1.013)</f>
        <v>1.013</v>
      </c>
      <c r="E242" s="16">
        <f>IFERROR(__xludf.DUMMYFUNCTION("""COMPUTED_VALUE"""),64.0)</f>
        <v>64</v>
      </c>
      <c r="F242" s="19" t="str">
        <f>IFERROR(__xludf.DUMMYFUNCTION("""COMPUTED_VALUE"""),"BLACK")</f>
        <v>BLACK</v>
      </c>
      <c r="G242" s="20" t="str">
        <f>IFERROR(__xludf.DUMMYFUNCTION("""COMPUTED_VALUE"""),"Tap 6 Clone (10/15/2021)")</f>
        <v>Tap 6 Clone (10/15/2021)</v>
      </c>
      <c r="H242" s="19"/>
    </row>
    <row r="243">
      <c r="A243" s="9"/>
      <c r="B243" s="15"/>
      <c r="C243" s="9">
        <f>IFERROR(__xludf.DUMMYFUNCTION("""COMPUTED_VALUE"""),44509.291936493)</f>
        <v>44509.29194</v>
      </c>
      <c r="D243" s="15">
        <f>IFERROR(__xludf.DUMMYFUNCTION("""COMPUTED_VALUE"""),1.013)</f>
        <v>1.013</v>
      </c>
      <c r="E243" s="16">
        <f>IFERROR(__xludf.DUMMYFUNCTION("""COMPUTED_VALUE"""),64.0)</f>
        <v>64</v>
      </c>
      <c r="F243" s="19" t="str">
        <f>IFERROR(__xludf.DUMMYFUNCTION("""COMPUTED_VALUE"""),"BLACK")</f>
        <v>BLACK</v>
      </c>
      <c r="G243" s="20" t="str">
        <f>IFERROR(__xludf.DUMMYFUNCTION("""COMPUTED_VALUE"""),"Tap 6 Clone (10/15/2021)")</f>
        <v>Tap 6 Clone (10/15/2021)</v>
      </c>
      <c r="H243" s="19"/>
    </row>
    <row r="244">
      <c r="A244" s="9"/>
      <c r="B244" s="15"/>
      <c r="C244" s="9">
        <f>IFERROR(__xludf.DUMMYFUNCTION("""COMPUTED_VALUE"""),44509.2815044097)</f>
        <v>44509.2815</v>
      </c>
      <c r="D244" s="15">
        <f>IFERROR(__xludf.DUMMYFUNCTION("""COMPUTED_VALUE"""),1.013)</f>
        <v>1.013</v>
      </c>
      <c r="E244" s="16">
        <f>IFERROR(__xludf.DUMMYFUNCTION("""COMPUTED_VALUE"""),64.0)</f>
        <v>64</v>
      </c>
      <c r="F244" s="19" t="str">
        <f>IFERROR(__xludf.DUMMYFUNCTION("""COMPUTED_VALUE"""),"BLACK")</f>
        <v>BLACK</v>
      </c>
      <c r="G244" s="20" t="str">
        <f>IFERROR(__xludf.DUMMYFUNCTION("""COMPUTED_VALUE"""),"Tap 6 Clone (10/15/2021)")</f>
        <v>Tap 6 Clone (10/15/2021)</v>
      </c>
      <c r="H244" s="19"/>
    </row>
    <row r="245">
      <c r="A245" s="9"/>
      <c r="B245" s="15"/>
      <c r="C245" s="9">
        <f>IFERROR(__xludf.DUMMYFUNCTION("""COMPUTED_VALUE"""),44509.2710835532)</f>
        <v>44509.27108</v>
      </c>
      <c r="D245" s="15">
        <f>IFERROR(__xludf.DUMMYFUNCTION("""COMPUTED_VALUE"""),1.013)</f>
        <v>1.013</v>
      </c>
      <c r="E245" s="16">
        <f>IFERROR(__xludf.DUMMYFUNCTION("""COMPUTED_VALUE"""),64.0)</f>
        <v>64</v>
      </c>
      <c r="F245" s="19" t="str">
        <f>IFERROR(__xludf.DUMMYFUNCTION("""COMPUTED_VALUE"""),"BLACK")</f>
        <v>BLACK</v>
      </c>
      <c r="G245" s="20" t="str">
        <f>IFERROR(__xludf.DUMMYFUNCTION("""COMPUTED_VALUE"""),"Tap 6 Clone (10/15/2021)")</f>
        <v>Tap 6 Clone (10/15/2021)</v>
      </c>
      <c r="H245" s="19"/>
    </row>
    <row r="246">
      <c r="A246" s="9"/>
      <c r="B246" s="15"/>
      <c r="C246" s="9">
        <f>IFERROR(__xludf.DUMMYFUNCTION("""COMPUTED_VALUE"""),44509.260662824)</f>
        <v>44509.26066</v>
      </c>
      <c r="D246" s="15">
        <f>IFERROR(__xludf.DUMMYFUNCTION("""COMPUTED_VALUE"""),1.013)</f>
        <v>1.013</v>
      </c>
      <c r="E246" s="16">
        <f>IFERROR(__xludf.DUMMYFUNCTION("""COMPUTED_VALUE"""),64.0)</f>
        <v>64</v>
      </c>
      <c r="F246" s="19" t="str">
        <f>IFERROR(__xludf.DUMMYFUNCTION("""COMPUTED_VALUE"""),"BLACK")</f>
        <v>BLACK</v>
      </c>
      <c r="G246" s="20" t="str">
        <f>IFERROR(__xludf.DUMMYFUNCTION("""COMPUTED_VALUE"""),"Tap 6 Clone (10/15/2021)")</f>
        <v>Tap 6 Clone (10/15/2021)</v>
      </c>
      <c r="H246" s="19"/>
    </row>
    <row r="247">
      <c r="A247" s="9"/>
      <c r="B247" s="15"/>
      <c r="C247" s="9">
        <f>IFERROR(__xludf.DUMMYFUNCTION("""COMPUTED_VALUE"""),44509.2502422337)</f>
        <v>44509.25024</v>
      </c>
      <c r="D247" s="15">
        <f>IFERROR(__xludf.DUMMYFUNCTION("""COMPUTED_VALUE"""),1.013)</f>
        <v>1.013</v>
      </c>
      <c r="E247" s="16">
        <f>IFERROR(__xludf.DUMMYFUNCTION("""COMPUTED_VALUE"""),64.0)</f>
        <v>64</v>
      </c>
      <c r="F247" s="19" t="str">
        <f>IFERROR(__xludf.DUMMYFUNCTION("""COMPUTED_VALUE"""),"BLACK")</f>
        <v>BLACK</v>
      </c>
      <c r="G247" s="20" t="str">
        <f>IFERROR(__xludf.DUMMYFUNCTION("""COMPUTED_VALUE"""),"Tap 6 Clone (10/15/2021)")</f>
        <v>Tap 6 Clone (10/15/2021)</v>
      </c>
      <c r="H247" s="19"/>
    </row>
    <row r="248">
      <c r="A248" s="9"/>
      <c r="B248" s="15"/>
      <c r="C248" s="9">
        <f>IFERROR(__xludf.DUMMYFUNCTION("""COMPUTED_VALUE"""),44509.2398233101)</f>
        <v>44509.23982</v>
      </c>
      <c r="D248" s="15">
        <f>IFERROR(__xludf.DUMMYFUNCTION("""COMPUTED_VALUE"""),1.013)</f>
        <v>1.013</v>
      </c>
      <c r="E248" s="16">
        <f>IFERROR(__xludf.DUMMYFUNCTION("""COMPUTED_VALUE"""),64.0)</f>
        <v>64</v>
      </c>
      <c r="F248" s="19" t="str">
        <f>IFERROR(__xludf.DUMMYFUNCTION("""COMPUTED_VALUE"""),"BLACK")</f>
        <v>BLACK</v>
      </c>
      <c r="G248" s="20" t="str">
        <f>IFERROR(__xludf.DUMMYFUNCTION("""COMPUTED_VALUE"""),"Tap 6 Clone (10/15/2021)")</f>
        <v>Tap 6 Clone (10/15/2021)</v>
      </c>
      <c r="H248" s="19"/>
    </row>
    <row r="249">
      <c r="A249" s="9"/>
      <c r="B249" s="15"/>
      <c r="C249" s="9">
        <f>IFERROR(__xludf.DUMMYFUNCTION("""COMPUTED_VALUE"""),44509.2294026041)</f>
        <v>44509.2294</v>
      </c>
      <c r="D249" s="15">
        <f>IFERROR(__xludf.DUMMYFUNCTION("""COMPUTED_VALUE"""),1.013)</f>
        <v>1.013</v>
      </c>
      <c r="E249" s="16">
        <f>IFERROR(__xludf.DUMMYFUNCTION("""COMPUTED_VALUE"""),64.0)</f>
        <v>64</v>
      </c>
      <c r="F249" s="19" t="str">
        <f>IFERROR(__xludf.DUMMYFUNCTION("""COMPUTED_VALUE"""),"BLACK")</f>
        <v>BLACK</v>
      </c>
      <c r="G249" s="20" t="str">
        <f>IFERROR(__xludf.DUMMYFUNCTION("""COMPUTED_VALUE"""),"Tap 6 Clone (10/15/2021)")</f>
        <v>Tap 6 Clone (10/15/2021)</v>
      </c>
      <c r="H249" s="19"/>
    </row>
    <row r="250">
      <c r="A250" s="9"/>
      <c r="B250" s="15"/>
      <c r="C250" s="9">
        <f>IFERROR(__xludf.DUMMYFUNCTION("""COMPUTED_VALUE"""),44509.2189695486)</f>
        <v>44509.21897</v>
      </c>
      <c r="D250" s="15">
        <f>IFERROR(__xludf.DUMMYFUNCTION("""COMPUTED_VALUE"""),1.013)</f>
        <v>1.013</v>
      </c>
      <c r="E250" s="16">
        <f>IFERROR(__xludf.DUMMYFUNCTION("""COMPUTED_VALUE"""),64.0)</f>
        <v>64</v>
      </c>
      <c r="F250" s="19" t="str">
        <f>IFERROR(__xludf.DUMMYFUNCTION("""COMPUTED_VALUE"""),"BLACK")</f>
        <v>BLACK</v>
      </c>
      <c r="G250" s="20" t="str">
        <f>IFERROR(__xludf.DUMMYFUNCTION("""COMPUTED_VALUE"""),"Tap 6 Clone (10/15/2021)")</f>
        <v>Tap 6 Clone (10/15/2021)</v>
      </c>
      <c r="H250" s="19"/>
    </row>
    <row r="251">
      <c r="A251" s="9"/>
      <c r="B251" s="15"/>
      <c r="C251" s="9">
        <f>IFERROR(__xludf.DUMMYFUNCTION("""COMPUTED_VALUE"""),44509.2085491898)</f>
        <v>44509.20855</v>
      </c>
      <c r="D251" s="15">
        <f>IFERROR(__xludf.DUMMYFUNCTION("""COMPUTED_VALUE"""),1.013)</f>
        <v>1.013</v>
      </c>
      <c r="E251" s="16">
        <f>IFERROR(__xludf.DUMMYFUNCTION("""COMPUTED_VALUE"""),64.0)</f>
        <v>64</v>
      </c>
      <c r="F251" s="19" t="str">
        <f>IFERROR(__xludf.DUMMYFUNCTION("""COMPUTED_VALUE"""),"BLACK")</f>
        <v>BLACK</v>
      </c>
      <c r="G251" s="20" t="str">
        <f>IFERROR(__xludf.DUMMYFUNCTION("""COMPUTED_VALUE"""),"Tap 6 Clone (10/15/2021)")</f>
        <v>Tap 6 Clone (10/15/2021)</v>
      </c>
      <c r="H251" s="19"/>
    </row>
    <row r="252">
      <c r="A252" s="9"/>
      <c r="B252" s="15"/>
      <c r="C252" s="9">
        <f>IFERROR(__xludf.DUMMYFUNCTION("""COMPUTED_VALUE"""),44509.1981285185)</f>
        <v>44509.19813</v>
      </c>
      <c r="D252" s="15">
        <f>IFERROR(__xludf.DUMMYFUNCTION("""COMPUTED_VALUE"""),1.013)</f>
        <v>1.013</v>
      </c>
      <c r="E252" s="16">
        <f>IFERROR(__xludf.DUMMYFUNCTION("""COMPUTED_VALUE"""),64.0)</f>
        <v>64</v>
      </c>
      <c r="F252" s="19" t="str">
        <f>IFERROR(__xludf.DUMMYFUNCTION("""COMPUTED_VALUE"""),"BLACK")</f>
        <v>BLACK</v>
      </c>
      <c r="G252" s="20" t="str">
        <f>IFERROR(__xludf.DUMMYFUNCTION("""COMPUTED_VALUE"""),"Tap 6 Clone (10/15/2021)")</f>
        <v>Tap 6 Clone (10/15/2021)</v>
      </c>
      <c r="H252" s="19"/>
    </row>
    <row r="253">
      <c r="A253" s="9"/>
      <c r="B253" s="15"/>
      <c r="C253" s="9">
        <f>IFERROR(__xludf.DUMMYFUNCTION("""COMPUTED_VALUE"""),44509.1877073495)</f>
        <v>44509.18771</v>
      </c>
      <c r="D253" s="15">
        <f>IFERROR(__xludf.DUMMYFUNCTION("""COMPUTED_VALUE"""),1.013)</f>
        <v>1.013</v>
      </c>
      <c r="E253" s="16">
        <f>IFERROR(__xludf.DUMMYFUNCTION("""COMPUTED_VALUE"""),64.0)</f>
        <v>64</v>
      </c>
      <c r="F253" s="19" t="str">
        <f>IFERROR(__xludf.DUMMYFUNCTION("""COMPUTED_VALUE"""),"BLACK")</f>
        <v>BLACK</v>
      </c>
      <c r="G253" s="20" t="str">
        <f>IFERROR(__xludf.DUMMYFUNCTION("""COMPUTED_VALUE"""),"Tap 6 Clone (10/15/2021)")</f>
        <v>Tap 6 Clone (10/15/2021)</v>
      </c>
      <c r="H253" s="19"/>
    </row>
    <row r="254">
      <c r="A254" s="9"/>
      <c r="B254" s="15"/>
      <c r="C254" s="9">
        <f>IFERROR(__xludf.DUMMYFUNCTION("""COMPUTED_VALUE"""),44509.1772849884)</f>
        <v>44509.17728</v>
      </c>
      <c r="D254" s="15">
        <f>IFERROR(__xludf.DUMMYFUNCTION("""COMPUTED_VALUE"""),1.013)</f>
        <v>1.013</v>
      </c>
      <c r="E254" s="16">
        <f>IFERROR(__xludf.DUMMYFUNCTION("""COMPUTED_VALUE"""),64.0)</f>
        <v>64</v>
      </c>
      <c r="F254" s="19" t="str">
        <f>IFERROR(__xludf.DUMMYFUNCTION("""COMPUTED_VALUE"""),"BLACK")</f>
        <v>BLACK</v>
      </c>
      <c r="G254" s="20" t="str">
        <f>IFERROR(__xludf.DUMMYFUNCTION("""COMPUTED_VALUE"""),"Tap 6 Clone (10/15/2021)")</f>
        <v>Tap 6 Clone (10/15/2021)</v>
      </c>
      <c r="H254" s="19"/>
    </row>
    <row r="255">
      <c r="A255" s="9"/>
      <c r="B255" s="15"/>
      <c r="C255" s="9">
        <f>IFERROR(__xludf.DUMMYFUNCTION("""COMPUTED_VALUE"""),44509.1668645833)</f>
        <v>44509.16686</v>
      </c>
      <c r="D255" s="15">
        <f>IFERROR(__xludf.DUMMYFUNCTION("""COMPUTED_VALUE"""),1.013)</f>
        <v>1.013</v>
      </c>
      <c r="E255" s="16">
        <f>IFERROR(__xludf.DUMMYFUNCTION("""COMPUTED_VALUE"""),64.0)</f>
        <v>64</v>
      </c>
      <c r="F255" s="19" t="str">
        <f>IFERROR(__xludf.DUMMYFUNCTION("""COMPUTED_VALUE"""),"BLACK")</f>
        <v>BLACK</v>
      </c>
      <c r="G255" s="20" t="str">
        <f>IFERROR(__xludf.DUMMYFUNCTION("""COMPUTED_VALUE"""),"Tap 6 Clone (10/15/2021)")</f>
        <v>Tap 6 Clone (10/15/2021)</v>
      </c>
      <c r="H255" s="19"/>
    </row>
    <row r="256">
      <c r="A256" s="9"/>
      <c r="B256" s="15"/>
      <c r="C256" s="9">
        <f>IFERROR(__xludf.DUMMYFUNCTION("""COMPUTED_VALUE"""),44509.1564436111)</f>
        <v>44509.15644</v>
      </c>
      <c r="D256" s="15">
        <f>IFERROR(__xludf.DUMMYFUNCTION("""COMPUTED_VALUE"""),1.013)</f>
        <v>1.013</v>
      </c>
      <c r="E256" s="16">
        <f>IFERROR(__xludf.DUMMYFUNCTION("""COMPUTED_VALUE"""),65.0)</f>
        <v>65</v>
      </c>
      <c r="F256" s="19" t="str">
        <f>IFERROR(__xludf.DUMMYFUNCTION("""COMPUTED_VALUE"""),"BLACK")</f>
        <v>BLACK</v>
      </c>
      <c r="G256" s="20" t="str">
        <f>IFERROR(__xludf.DUMMYFUNCTION("""COMPUTED_VALUE"""),"Tap 6 Clone (10/15/2021)")</f>
        <v>Tap 6 Clone (10/15/2021)</v>
      </c>
      <c r="H256" s="19"/>
    </row>
    <row r="257">
      <c r="A257" s="9"/>
      <c r="B257" s="15"/>
      <c r="C257" s="9">
        <f>IFERROR(__xludf.DUMMYFUNCTION("""COMPUTED_VALUE"""),44509.1460227199)</f>
        <v>44509.14602</v>
      </c>
      <c r="D257" s="15">
        <f>IFERROR(__xludf.DUMMYFUNCTION("""COMPUTED_VALUE"""),1.013)</f>
        <v>1.013</v>
      </c>
      <c r="E257" s="16">
        <f>IFERROR(__xludf.DUMMYFUNCTION("""COMPUTED_VALUE"""),64.0)</f>
        <v>64</v>
      </c>
      <c r="F257" s="19" t="str">
        <f>IFERROR(__xludf.DUMMYFUNCTION("""COMPUTED_VALUE"""),"BLACK")</f>
        <v>BLACK</v>
      </c>
      <c r="G257" s="20" t="str">
        <f>IFERROR(__xludf.DUMMYFUNCTION("""COMPUTED_VALUE"""),"Tap 6 Clone (10/15/2021)")</f>
        <v>Tap 6 Clone (10/15/2021)</v>
      </c>
      <c r="H257" s="19"/>
    </row>
    <row r="258">
      <c r="A258" s="9"/>
      <c r="B258" s="15"/>
      <c r="C258" s="9">
        <f>IFERROR(__xludf.DUMMYFUNCTION("""COMPUTED_VALUE"""),44509.1355888425)</f>
        <v>44509.13559</v>
      </c>
      <c r="D258" s="15">
        <f>IFERROR(__xludf.DUMMYFUNCTION("""COMPUTED_VALUE"""),1.013)</f>
        <v>1.013</v>
      </c>
      <c r="E258" s="16">
        <f>IFERROR(__xludf.DUMMYFUNCTION("""COMPUTED_VALUE"""),64.0)</f>
        <v>64</v>
      </c>
      <c r="F258" s="19" t="str">
        <f>IFERROR(__xludf.DUMMYFUNCTION("""COMPUTED_VALUE"""),"BLACK")</f>
        <v>BLACK</v>
      </c>
      <c r="G258" s="20" t="str">
        <f>IFERROR(__xludf.DUMMYFUNCTION("""COMPUTED_VALUE"""),"Tap 6 Clone (10/15/2021)")</f>
        <v>Tap 6 Clone (10/15/2021)</v>
      </c>
      <c r="H258" s="19"/>
    </row>
    <row r="259">
      <c r="A259" s="9"/>
      <c r="B259" s="15"/>
      <c r="C259" s="9">
        <f>IFERROR(__xludf.DUMMYFUNCTION("""COMPUTED_VALUE"""),44509.125167824)</f>
        <v>44509.12517</v>
      </c>
      <c r="D259" s="15">
        <f>IFERROR(__xludf.DUMMYFUNCTION("""COMPUTED_VALUE"""),1.013)</f>
        <v>1.013</v>
      </c>
      <c r="E259" s="16">
        <f>IFERROR(__xludf.DUMMYFUNCTION("""COMPUTED_VALUE"""),64.0)</f>
        <v>64</v>
      </c>
      <c r="F259" s="19" t="str">
        <f>IFERROR(__xludf.DUMMYFUNCTION("""COMPUTED_VALUE"""),"BLACK")</f>
        <v>BLACK</v>
      </c>
      <c r="G259" s="20" t="str">
        <f>IFERROR(__xludf.DUMMYFUNCTION("""COMPUTED_VALUE"""),"Tap 6 Clone (10/15/2021)")</f>
        <v>Tap 6 Clone (10/15/2021)</v>
      </c>
      <c r="H259" s="19"/>
    </row>
    <row r="260">
      <c r="A260" s="9"/>
      <c r="B260" s="15"/>
      <c r="C260" s="9">
        <f>IFERROR(__xludf.DUMMYFUNCTION("""COMPUTED_VALUE"""),44509.1147353356)</f>
        <v>44509.11474</v>
      </c>
      <c r="D260" s="15">
        <f>IFERROR(__xludf.DUMMYFUNCTION("""COMPUTED_VALUE"""),1.013)</f>
        <v>1.013</v>
      </c>
      <c r="E260" s="16">
        <f>IFERROR(__xludf.DUMMYFUNCTION("""COMPUTED_VALUE"""),64.0)</f>
        <v>64</v>
      </c>
      <c r="F260" s="19" t="str">
        <f>IFERROR(__xludf.DUMMYFUNCTION("""COMPUTED_VALUE"""),"BLACK")</f>
        <v>BLACK</v>
      </c>
      <c r="G260" s="20" t="str">
        <f>IFERROR(__xludf.DUMMYFUNCTION("""COMPUTED_VALUE"""),"Tap 6 Clone (10/15/2021)")</f>
        <v>Tap 6 Clone (10/15/2021)</v>
      </c>
      <c r="H260" s="19"/>
    </row>
    <row r="261">
      <c r="A261" s="9"/>
      <c r="B261" s="15"/>
      <c r="C261" s="9">
        <f>IFERROR(__xludf.DUMMYFUNCTION("""COMPUTED_VALUE"""),44509.1043015972)</f>
        <v>44509.1043</v>
      </c>
      <c r="D261" s="15">
        <f>IFERROR(__xludf.DUMMYFUNCTION("""COMPUTED_VALUE"""),1.013)</f>
        <v>1.013</v>
      </c>
      <c r="E261" s="16">
        <f>IFERROR(__xludf.DUMMYFUNCTION("""COMPUTED_VALUE"""),64.0)</f>
        <v>64</v>
      </c>
      <c r="F261" s="19" t="str">
        <f>IFERROR(__xludf.DUMMYFUNCTION("""COMPUTED_VALUE"""),"BLACK")</f>
        <v>BLACK</v>
      </c>
      <c r="G261" s="20" t="str">
        <f>IFERROR(__xludf.DUMMYFUNCTION("""COMPUTED_VALUE"""),"Tap 6 Clone (10/15/2021)")</f>
        <v>Tap 6 Clone (10/15/2021)</v>
      </c>
      <c r="H261" s="19"/>
    </row>
    <row r="262">
      <c r="A262" s="9"/>
      <c r="B262" s="15"/>
      <c r="C262" s="9">
        <f>IFERROR(__xludf.DUMMYFUNCTION("""COMPUTED_VALUE"""),44509.0938676041)</f>
        <v>44509.09387</v>
      </c>
      <c r="D262" s="15">
        <f>IFERROR(__xludf.DUMMYFUNCTION("""COMPUTED_VALUE"""),1.013)</f>
        <v>1.013</v>
      </c>
      <c r="E262" s="16">
        <f>IFERROR(__xludf.DUMMYFUNCTION("""COMPUTED_VALUE"""),64.0)</f>
        <v>64</v>
      </c>
      <c r="F262" s="19" t="str">
        <f>IFERROR(__xludf.DUMMYFUNCTION("""COMPUTED_VALUE"""),"BLACK")</f>
        <v>BLACK</v>
      </c>
      <c r="G262" s="20" t="str">
        <f>IFERROR(__xludf.DUMMYFUNCTION("""COMPUTED_VALUE"""),"Tap 6 Clone (10/15/2021)")</f>
        <v>Tap 6 Clone (10/15/2021)</v>
      </c>
      <c r="H262" s="19"/>
    </row>
    <row r="263">
      <c r="A263" s="9"/>
      <c r="B263" s="15"/>
      <c r="C263" s="9">
        <f>IFERROR(__xludf.DUMMYFUNCTION("""COMPUTED_VALUE"""),44509.0834460532)</f>
        <v>44509.08345</v>
      </c>
      <c r="D263" s="15">
        <f>IFERROR(__xludf.DUMMYFUNCTION("""COMPUTED_VALUE"""),1.013)</f>
        <v>1.013</v>
      </c>
      <c r="E263" s="16">
        <f>IFERROR(__xludf.DUMMYFUNCTION("""COMPUTED_VALUE"""),64.0)</f>
        <v>64</v>
      </c>
      <c r="F263" s="19" t="str">
        <f>IFERROR(__xludf.DUMMYFUNCTION("""COMPUTED_VALUE"""),"BLACK")</f>
        <v>BLACK</v>
      </c>
      <c r="G263" s="20" t="str">
        <f>IFERROR(__xludf.DUMMYFUNCTION("""COMPUTED_VALUE"""),"Tap 6 Clone (10/15/2021)")</f>
        <v>Tap 6 Clone (10/15/2021)</v>
      </c>
      <c r="H263" s="19"/>
    </row>
    <row r="264">
      <c r="A264" s="9"/>
      <c r="B264" s="15"/>
      <c r="C264" s="9">
        <f>IFERROR(__xludf.DUMMYFUNCTION("""COMPUTED_VALUE"""),44509.0730249074)</f>
        <v>44509.07302</v>
      </c>
      <c r="D264" s="15">
        <f>IFERROR(__xludf.DUMMYFUNCTION("""COMPUTED_VALUE"""),1.013)</f>
        <v>1.013</v>
      </c>
      <c r="E264" s="16">
        <f>IFERROR(__xludf.DUMMYFUNCTION("""COMPUTED_VALUE"""),65.0)</f>
        <v>65</v>
      </c>
      <c r="F264" s="19" t="str">
        <f>IFERROR(__xludf.DUMMYFUNCTION("""COMPUTED_VALUE"""),"BLACK")</f>
        <v>BLACK</v>
      </c>
      <c r="G264" s="20" t="str">
        <f>IFERROR(__xludf.DUMMYFUNCTION("""COMPUTED_VALUE"""),"Tap 6 Clone (10/15/2021)")</f>
        <v>Tap 6 Clone (10/15/2021)</v>
      </c>
      <c r="H264" s="19"/>
    </row>
    <row r="265">
      <c r="A265" s="9"/>
      <c r="B265" s="15"/>
      <c r="C265" s="9">
        <f>IFERROR(__xludf.DUMMYFUNCTION("""COMPUTED_VALUE"""),44509.0626040161)</f>
        <v>44509.0626</v>
      </c>
      <c r="D265" s="15">
        <f>IFERROR(__xludf.DUMMYFUNCTION("""COMPUTED_VALUE"""),1.013)</f>
        <v>1.013</v>
      </c>
      <c r="E265" s="16">
        <f>IFERROR(__xludf.DUMMYFUNCTION("""COMPUTED_VALUE"""),64.0)</f>
        <v>64</v>
      </c>
      <c r="F265" s="19" t="str">
        <f>IFERROR(__xludf.DUMMYFUNCTION("""COMPUTED_VALUE"""),"BLACK")</f>
        <v>BLACK</v>
      </c>
      <c r="G265" s="20" t="str">
        <f>IFERROR(__xludf.DUMMYFUNCTION("""COMPUTED_VALUE"""),"Tap 6 Clone (10/15/2021)")</f>
        <v>Tap 6 Clone (10/15/2021)</v>
      </c>
      <c r="H265" s="19"/>
    </row>
    <row r="266">
      <c r="A266" s="9"/>
      <c r="B266" s="15"/>
      <c r="C266" s="9">
        <f>IFERROR(__xludf.DUMMYFUNCTION("""COMPUTED_VALUE"""),44509.0521811458)</f>
        <v>44509.05218</v>
      </c>
      <c r="D266" s="15">
        <f>IFERROR(__xludf.DUMMYFUNCTION("""COMPUTED_VALUE"""),1.013)</f>
        <v>1.013</v>
      </c>
      <c r="E266" s="16">
        <f>IFERROR(__xludf.DUMMYFUNCTION("""COMPUTED_VALUE"""),64.0)</f>
        <v>64</v>
      </c>
      <c r="F266" s="19" t="str">
        <f>IFERROR(__xludf.DUMMYFUNCTION("""COMPUTED_VALUE"""),"BLACK")</f>
        <v>BLACK</v>
      </c>
      <c r="G266" s="20" t="str">
        <f>IFERROR(__xludf.DUMMYFUNCTION("""COMPUTED_VALUE"""),"Tap 6 Clone (10/15/2021)")</f>
        <v>Tap 6 Clone (10/15/2021)</v>
      </c>
      <c r="H266" s="19"/>
    </row>
    <row r="267">
      <c r="A267" s="9"/>
      <c r="B267" s="15"/>
      <c r="C267" s="9">
        <f>IFERROR(__xludf.DUMMYFUNCTION("""COMPUTED_VALUE"""),44509.0417589351)</f>
        <v>44509.04176</v>
      </c>
      <c r="D267" s="15">
        <f>IFERROR(__xludf.DUMMYFUNCTION("""COMPUTED_VALUE"""),1.013)</f>
        <v>1.013</v>
      </c>
      <c r="E267" s="16">
        <f>IFERROR(__xludf.DUMMYFUNCTION("""COMPUTED_VALUE"""),64.0)</f>
        <v>64</v>
      </c>
      <c r="F267" s="19" t="str">
        <f>IFERROR(__xludf.DUMMYFUNCTION("""COMPUTED_VALUE"""),"BLACK")</f>
        <v>BLACK</v>
      </c>
      <c r="G267" s="20" t="str">
        <f>IFERROR(__xludf.DUMMYFUNCTION("""COMPUTED_VALUE"""),"Tap 6 Clone (10/15/2021)")</f>
        <v>Tap 6 Clone (10/15/2021)</v>
      </c>
      <c r="H267" s="19"/>
    </row>
    <row r="268">
      <c r="A268" s="9"/>
      <c r="B268" s="15"/>
      <c r="C268" s="9">
        <f>IFERROR(__xludf.DUMMYFUNCTION("""COMPUTED_VALUE"""),44509.0313361921)</f>
        <v>44509.03134</v>
      </c>
      <c r="D268" s="15">
        <f>IFERROR(__xludf.DUMMYFUNCTION("""COMPUTED_VALUE"""),1.013)</f>
        <v>1.013</v>
      </c>
      <c r="E268" s="16">
        <f>IFERROR(__xludf.DUMMYFUNCTION("""COMPUTED_VALUE"""),64.0)</f>
        <v>64</v>
      </c>
      <c r="F268" s="19" t="str">
        <f>IFERROR(__xludf.DUMMYFUNCTION("""COMPUTED_VALUE"""),"BLACK")</f>
        <v>BLACK</v>
      </c>
      <c r="G268" s="20" t="str">
        <f>IFERROR(__xludf.DUMMYFUNCTION("""COMPUTED_VALUE"""),"Tap 6 Clone (10/15/2021)")</f>
        <v>Tap 6 Clone (10/15/2021)</v>
      </c>
      <c r="H268" s="19"/>
    </row>
    <row r="269">
      <c r="A269" s="9"/>
      <c r="B269" s="15"/>
      <c r="C269" s="9">
        <f>IFERROR(__xludf.DUMMYFUNCTION("""COMPUTED_VALUE"""),44509.0209145023)</f>
        <v>44509.02091</v>
      </c>
      <c r="D269" s="15">
        <f>IFERROR(__xludf.DUMMYFUNCTION("""COMPUTED_VALUE"""),1.013)</f>
        <v>1.013</v>
      </c>
      <c r="E269" s="16">
        <f>IFERROR(__xludf.DUMMYFUNCTION("""COMPUTED_VALUE"""),64.0)</f>
        <v>64</v>
      </c>
      <c r="F269" s="19" t="str">
        <f>IFERROR(__xludf.DUMMYFUNCTION("""COMPUTED_VALUE"""),"BLACK")</f>
        <v>BLACK</v>
      </c>
      <c r="G269" s="20" t="str">
        <f>IFERROR(__xludf.DUMMYFUNCTION("""COMPUTED_VALUE"""),"Tap 6 Clone (10/15/2021)")</f>
        <v>Tap 6 Clone (10/15/2021)</v>
      </c>
      <c r="H269" s="19"/>
    </row>
    <row r="270">
      <c r="A270" s="9"/>
      <c r="B270" s="15"/>
      <c r="C270" s="9">
        <f>IFERROR(__xludf.DUMMYFUNCTION("""COMPUTED_VALUE"""),44509.0104936342)</f>
        <v>44509.01049</v>
      </c>
      <c r="D270" s="15">
        <f>IFERROR(__xludf.DUMMYFUNCTION("""COMPUTED_VALUE"""),1.013)</f>
        <v>1.013</v>
      </c>
      <c r="E270" s="16">
        <f>IFERROR(__xludf.DUMMYFUNCTION("""COMPUTED_VALUE"""),64.0)</f>
        <v>64</v>
      </c>
      <c r="F270" s="19" t="str">
        <f>IFERROR(__xludf.DUMMYFUNCTION("""COMPUTED_VALUE"""),"BLACK")</f>
        <v>BLACK</v>
      </c>
      <c r="G270" s="20" t="str">
        <f>IFERROR(__xludf.DUMMYFUNCTION("""COMPUTED_VALUE"""),"Tap 6 Clone (10/15/2021)")</f>
        <v>Tap 6 Clone (10/15/2021)</v>
      </c>
      <c r="H270" s="19"/>
    </row>
    <row r="271">
      <c r="A271" s="9"/>
      <c r="B271" s="15"/>
      <c r="C271" s="9">
        <f>IFERROR(__xludf.DUMMYFUNCTION("""COMPUTED_VALUE"""),44509.0000507754)</f>
        <v>44509.00005</v>
      </c>
      <c r="D271" s="15">
        <f>IFERROR(__xludf.DUMMYFUNCTION("""COMPUTED_VALUE"""),1.013)</f>
        <v>1.013</v>
      </c>
      <c r="E271" s="16">
        <f>IFERROR(__xludf.DUMMYFUNCTION("""COMPUTED_VALUE"""),64.0)</f>
        <v>64</v>
      </c>
      <c r="F271" s="19" t="str">
        <f>IFERROR(__xludf.DUMMYFUNCTION("""COMPUTED_VALUE"""),"BLACK")</f>
        <v>BLACK</v>
      </c>
      <c r="G271" s="20" t="str">
        <f>IFERROR(__xludf.DUMMYFUNCTION("""COMPUTED_VALUE"""),"Tap 6 Clone (10/15/2021)")</f>
        <v>Tap 6 Clone (10/15/2021)</v>
      </c>
      <c r="H271" s="19"/>
    </row>
    <row r="272">
      <c r="A272" s="9"/>
      <c r="B272" s="15"/>
      <c r="C272" s="9">
        <f>IFERROR(__xludf.DUMMYFUNCTION("""COMPUTED_VALUE"""),44508.9896308101)</f>
        <v>44508.98963</v>
      </c>
      <c r="D272" s="15">
        <f>IFERROR(__xludf.DUMMYFUNCTION("""COMPUTED_VALUE"""),1.013)</f>
        <v>1.013</v>
      </c>
      <c r="E272" s="16">
        <f>IFERROR(__xludf.DUMMYFUNCTION("""COMPUTED_VALUE"""),64.0)</f>
        <v>64</v>
      </c>
      <c r="F272" s="19" t="str">
        <f>IFERROR(__xludf.DUMMYFUNCTION("""COMPUTED_VALUE"""),"BLACK")</f>
        <v>BLACK</v>
      </c>
      <c r="G272" s="20" t="str">
        <f>IFERROR(__xludf.DUMMYFUNCTION("""COMPUTED_VALUE"""),"Tap 6 Clone (10/15/2021)")</f>
        <v>Tap 6 Clone (10/15/2021)</v>
      </c>
      <c r="H272" s="19"/>
    </row>
    <row r="273">
      <c r="A273" s="9"/>
      <c r="B273" s="15"/>
      <c r="C273" s="9">
        <f>IFERROR(__xludf.DUMMYFUNCTION("""COMPUTED_VALUE"""),44508.9792117708)</f>
        <v>44508.97921</v>
      </c>
      <c r="D273" s="15">
        <f>IFERROR(__xludf.DUMMYFUNCTION("""COMPUTED_VALUE"""),1.013)</f>
        <v>1.013</v>
      </c>
      <c r="E273" s="16">
        <f>IFERROR(__xludf.DUMMYFUNCTION("""COMPUTED_VALUE"""),64.0)</f>
        <v>64</v>
      </c>
      <c r="F273" s="19" t="str">
        <f>IFERROR(__xludf.DUMMYFUNCTION("""COMPUTED_VALUE"""),"BLACK")</f>
        <v>BLACK</v>
      </c>
      <c r="G273" s="20" t="str">
        <f>IFERROR(__xludf.DUMMYFUNCTION("""COMPUTED_VALUE"""),"Tap 6 Clone (10/15/2021)")</f>
        <v>Tap 6 Clone (10/15/2021)</v>
      </c>
      <c r="H273" s="19"/>
    </row>
    <row r="274">
      <c r="A274" s="9"/>
      <c r="B274" s="15"/>
      <c r="C274" s="9">
        <f>IFERROR(__xludf.DUMMYFUNCTION("""COMPUTED_VALUE"""),44508.9687896527)</f>
        <v>44508.96879</v>
      </c>
      <c r="D274" s="15">
        <f>IFERROR(__xludf.DUMMYFUNCTION("""COMPUTED_VALUE"""),1.013)</f>
        <v>1.013</v>
      </c>
      <c r="E274" s="16">
        <f>IFERROR(__xludf.DUMMYFUNCTION("""COMPUTED_VALUE"""),64.0)</f>
        <v>64</v>
      </c>
      <c r="F274" s="19" t="str">
        <f>IFERROR(__xludf.DUMMYFUNCTION("""COMPUTED_VALUE"""),"BLACK")</f>
        <v>BLACK</v>
      </c>
      <c r="G274" s="20" t="str">
        <f>IFERROR(__xludf.DUMMYFUNCTION("""COMPUTED_VALUE"""),"Tap 6 Clone (10/15/2021)")</f>
        <v>Tap 6 Clone (10/15/2021)</v>
      </c>
      <c r="H274" s="19"/>
    </row>
    <row r="275">
      <c r="A275" s="9"/>
      <c r="B275" s="15"/>
      <c r="C275" s="9">
        <f>IFERROR(__xludf.DUMMYFUNCTION("""COMPUTED_VALUE"""),44508.9583673148)</f>
        <v>44508.95837</v>
      </c>
      <c r="D275" s="15">
        <f>IFERROR(__xludf.DUMMYFUNCTION("""COMPUTED_VALUE"""),1.013)</f>
        <v>1.013</v>
      </c>
      <c r="E275" s="16">
        <f>IFERROR(__xludf.DUMMYFUNCTION("""COMPUTED_VALUE"""),64.0)</f>
        <v>64</v>
      </c>
      <c r="F275" s="19" t="str">
        <f>IFERROR(__xludf.DUMMYFUNCTION("""COMPUTED_VALUE"""),"BLACK")</f>
        <v>BLACK</v>
      </c>
      <c r="G275" s="20" t="str">
        <f>IFERROR(__xludf.DUMMYFUNCTION("""COMPUTED_VALUE"""),"Tap 6 Clone (10/15/2021)")</f>
        <v>Tap 6 Clone (10/15/2021)</v>
      </c>
      <c r="H275" s="19"/>
    </row>
    <row r="276">
      <c r="A276" s="9"/>
      <c r="B276" s="15"/>
      <c r="C276" s="9">
        <f>IFERROR(__xludf.DUMMYFUNCTION("""COMPUTED_VALUE"""),44508.9479448958)</f>
        <v>44508.94794</v>
      </c>
      <c r="D276" s="15">
        <f>IFERROR(__xludf.DUMMYFUNCTION("""COMPUTED_VALUE"""),1.013)</f>
        <v>1.013</v>
      </c>
      <c r="E276" s="16">
        <f>IFERROR(__xludf.DUMMYFUNCTION("""COMPUTED_VALUE"""),64.0)</f>
        <v>64</v>
      </c>
      <c r="F276" s="19" t="str">
        <f>IFERROR(__xludf.DUMMYFUNCTION("""COMPUTED_VALUE"""),"BLACK")</f>
        <v>BLACK</v>
      </c>
      <c r="G276" s="20" t="str">
        <f>IFERROR(__xludf.DUMMYFUNCTION("""COMPUTED_VALUE"""),"Tap 6 Clone (10/15/2021)")</f>
        <v>Tap 6 Clone (10/15/2021)</v>
      </c>
      <c r="H276" s="19"/>
    </row>
    <row r="277">
      <c r="A277" s="9"/>
      <c r="B277" s="15"/>
      <c r="C277" s="9">
        <f>IFERROR(__xludf.DUMMYFUNCTION("""COMPUTED_VALUE"""),44508.9375230439)</f>
        <v>44508.93752</v>
      </c>
      <c r="D277" s="15">
        <f>IFERROR(__xludf.DUMMYFUNCTION("""COMPUTED_VALUE"""),1.013)</f>
        <v>1.013</v>
      </c>
      <c r="E277" s="16">
        <f>IFERROR(__xludf.DUMMYFUNCTION("""COMPUTED_VALUE"""),64.0)</f>
        <v>64</v>
      </c>
      <c r="F277" s="19" t="str">
        <f>IFERROR(__xludf.DUMMYFUNCTION("""COMPUTED_VALUE"""),"BLACK")</f>
        <v>BLACK</v>
      </c>
      <c r="G277" s="20" t="str">
        <f>IFERROR(__xludf.DUMMYFUNCTION("""COMPUTED_VALUE"""),"Tap 6 Clone (10/15/2021)")</f>
        <v>Tap 6 Clone (10/15/2021)</v>
      </c>
      <c r="H277" s="19"/>
    </row>
    <row r="278">
      <c r="A278" s="9"/>
      <c r="B278" s="15"/>
      <c r="C278" s="9">
        <f>IFERROR(__xludf.DUMMYFUNCTION("""COMPUTED_VALUE"""),44508.9166695833)</f>
        <v>44508.91667</v>
      </c>
      <c r="D278" s="15">
        <f>IFERROR(__xludf.DUMMYFUNCTION("""COMPUTED_VALUE"""),1.013)</f>
        <v>1.013</v>
      </c>
      <c r="E278" s="16">
        <f>IFERROR(__xludf.DUMMYFUNCTION("""COMPUTED_VALUE"""),64.0)</f>
        <v>64</v>
      </c>
      <c r="F278" s="19" t="str">
        <f>IFERROR(__xludf.DUMMYFUNCTION("""COMPUTED_VALUE"""),"BLACK")</f>
        <v>BLACK</v>
      </c>
      <c r="G278" s="20" t="str">
        <f>IFERROR(__xludf.DUMMYFUNCTION("""COMPUTED_VALUE"""),"Tap 6 Clone (10/15/2021)")</f>
        <v>Tap 6 Clone (10/15/2021)</v>
      </c>
      <c r="H278" s="19"/>
    </row>
    <row r="279">
      <c r="A279" s="9"/>
      <c r="B279" s="15"/>
      <c r="C279" s="9">
        <f>IFERROR(__xludf.DUMMYFUNCTION("""COMPUTED_VALUE"""),44508.9062375347)</f>
        <v>44508.90624</v>
      </c>
      <c r="D279" s="15">
        <f>IFERROR(__xludf.DUMMYFUNCTION("""COMPUTED_VALUE"""),1.013)</f>
        <v>1.013</v>
      </c>
      <c r="E279" s="16">
        <f>IFERROR(__xludf.DUMMYFUNCTION("""COMPUTED_VALUE"""),64.0)</f>
        <v>64</v>
      </c>
      <c r="F279" s="19" t="str">
        <f>IFERROR(__xludf.DUMMYFUNCTION("""COMPUTED_VALUE"""),"BLACK")</f>
        <v>BLACK</v>
      </c>
      <c r="G279" s="20" t="str">
        <f>IFERROR(__xludf.DUMMYFUNCTION("""COMPUTED_VALUE"""),"Tap 6 Clone (10/15/2021)")</f>
        <v>Tap 6 Clone (10/15/2021)</v>
      </c>
      <c r="H279" s="19"/>
    </row>
    <row r="280">
      <c r="A280" s="9"/>
      <c r="B280" s="15"/>
      <c r="C280" s="9">
        <f>IFERROR(__xludf.DUMMYFUNCTION("""COMPUTED_VALUE"""),44508.8958160416)</f>
        <v>44508.89582</v>
      </c>
      <c r="D280" s="15">
        <f>IFERROR(__xludf.DUMMYFUNCTION("""COMPUTED_VALUE"""),1.013)</f>
        <v>1.013</v>
      </c>
      <c r="E280" s="16">
        <f>IFERROR(__xludf.DUMMYFUNCTION("""COMPUTED_VALUE"""),64.0)</f>
        <v>64</v>
      </c>
      <c r="F280" s="19" t="str">
        <f>IFERROR(__xludf.DUMMYFUNCTION("""COMPUTED_VALUE"""),"BLACK")</f>
        <v>BLACK</v>
      </c>
      <c r="G280" s="20" t="str">
        <f>IFERROR(__xludf.DUMMYFUNCTION("""COMPUTED_VALUE"""),"Tap 6 Clone (10/15/2021)")</f>
        <v>Tap 6 Clone (10/15/2021)</v>
      </c>
      <c r="H280" s="19"/>
    </row>
    <row r="281">
      <c r="A281" s="9"/>
      <c r="B281" s="15"/>
      <c r="C281" s="9">
        <f>IFERROR(__xludf.DUMMYFUNCTION("""COMPUTED_VALUE"""),44508.885393831)</f>
        <v>44508.88539</v>
      </c>
      <c r="D281" s="15">
        <f>IFERROR(__xludf.DUMMYFUNCTION("""COMPUTED_VALUE"""),1.013)</f>
        <v>1.013</v>
      </c>
      <c r="E281" s="16">
        <f>IFERROR(__xludf.DUMMYFUNCTION("""COMPUTED_VALUE"""),64.0)</f>
        <v>64</v>
      </c>
      <c r="F281" s="19" t="str">
        <f>IFERROR(__xludf.DUMMYFUNCTION("""COMPUTED_VALUE"""),"BLACK")</f>
        <v>BLACK</v>
      </c>
      <c r="G281" s="20" t="str">
        <f>IFERROR(__xludf.DUMMYFUNCTION("""COMPUTED_VALUE"""),"Tap 6 Clone (10/15/2021)")</f>
        <v>Tap 6 Clone (10/15/2021)</v>
      </c>
      <c r="H281" s="19"/>
    </row>
    <row r="282">
      <c r="A282" s="9"/>
      <c r="B282" s="15"/>
      <c r="C282" s="9">
        <f>IFERROR(__xludf.DUMMYFUNCTION("""COMPUTED_VALUE"""),44508.8749707638)</f>
        <v>44508.87497</v>
      </c>
      <c r="D282" s="15">
        <f>IFERROR(__xludf.DUMMYFUNCTION("""COMPUTED_VALUE"""),1.013)</f>
        <v>1.013</v>
      </c>
      <c r="E282" s="16">
        <f>IFERROR(__xludf.DUMMYFUNCTION("""COMPUTED_VALUE"""),65.0)</f>
        <v>65</v>
      </c>
      <c r="F282" s="19" t="str">
        <f>IFERROR(__xludf.DUMMYFUNCTION("""COMPUTED_VALUE"""),"BLACK")</f>
        <v>BLACK</v>
      </c>
      <c r="G282" s="20" t="str">
        <f>IFERROR(__xludf.DUMMYFUNCTION("""COMPUTED_VALUE"""),"Tap 6 Clone (10/15/2021)")</f>
        <v>Tap 6 Clone (10/15/2021)</v>
      </c>
      <c r="H282" s="19"/>
    </row>
    <row r="283">
      <c r="A283" s="9"/>
      <c r="B283" s="15"/>
      <c r="C283" s="9">
        <f>IFERROR(__xludf.DUMMYFUNCTION("""COMPUTED_VALUE"""),44508.8645385416)</f>
        <v>44508.86454</v>
      </c>
      <c r="D283" s="15">
        <f>IFERROR(__xludf.DUMMYFUNCTION("""COMPUTED_VALUE"""),1.013)</f>
        <v>1.013</v>
      </c>
      <c r="E283" s="16">
        <f>IFERROR(__xludf.DUMMYFUNCTION("""COMPUTED_VALUE"""),64.0)</f>
        <v>64</v>
      </c>
      <c r="F283" s="19" t="str">
        <f>IFERROR(__xludf.DUMMYFUNCTION("""COMPUTED_VALUE"""),"BLACK")</f>
        <v>BLACK</v>
      </c>
      <c r="G283" s="20" t="str">
        <f>IFERROR(__xludf.DUMMYFUNCTION("""COMPUTED_VALUE"""),"Tap 6 Clone (10/15/2021)")</f>
        <v>Tap 6 Clone (10/15/2021)</v>
      </c>
      <c r="H283" s="19"/>
    </row>
    <row r="284">
      <c r="A284" s="9"/>
      <c r="B284" s="15"/>
      <c r="C284" s="9">
        <f>IFERROR(__xludf.DUMMYFUNCTION("""COMPUTED_VALUE"""),44508.8541182291)</f>
        <v>44508.85412</v>
      </c>
      <c r="D284" s="15">
        <f>IFERROR(__xludf.DUMMYFUNCTION("""COMPUTED_VALUE"""),1.013)</f>
        <v>1.013</v>
      </c>
      <c r="E284" s="16">
        <f>IFERROR(__xludf.DUMMYFUNCTION("""COMPUTED_VALUE"""),64.0)</f>
        <v>64</v>
      </c>
      <c r="F284" s="19" t="str">
        <f>IFERROR(__xludf.DUMMYFUNCTION("""COMPUTED_VALUE"""),"BLACK")</f>
        <v>BLACK</v>
      </c>
      <c r="G284" s="20" t="str">
        <f>IFERROR(__xludf.DUMMYFUNCTION("""COMPUTED_VALUE"""),"Tap 6 Clone (10/15/2021)")</f>
        <v>Tap 6 Clone (10/15/2021)</v>
      </c>
      <c r="H284" s="19"/>
    </row>
    <row r="285">
      <c r="A285" s="9"/>
      <c r="B285" s="15"/>
      <c r="C285" s="9">
        <f>IFERROR(__xludf.DUMMYFUNCTION("""COMPUTED_VALUE"""),44508.8436969444)</f>
        <v>44508.8437</v>
      </c>
      <c r="D285" s="15">
        <f>IFERROR(__xludf.DUMMYFUNCTION("""COMPUTED_VALUE"""),1.013)</f>
        <v>1.013</v>
      </c>
      <c r="E285" s="16">
        <f>IFERROR(__xludf.DUMMYFUNCTION("""COMPUTED_VALUE"""),64.0)</f>
        <v>64</v>
      </c>
      <c r="F285" s="19" t="str">
        <f>IFERROR(__xludf.DUMMYFUNCTION("""COMPUTED_VALUE"""),"BLACK")</f>
        <v>BLACK</v>
      </c>
      <c r="G285" s="20" t="str">
        <f>IFERROR(__xludf.DUMMYFUNCTION("""COMPUTED_VALUE"""),"Tap 6 Clone (10/15/2021)")</f>
        <v>Tap 6 Clone (10/15/2021)</v>
      </c>
      <c r="H285" s="19"/>
    </row>
    <row r="286">
      <c r="A286" s="9"/>
      <c r="B286" s="15"/>
      <c r="C286" s="9">
        <f>IFERROR(__xludf.DUMMYFUNCTION("""COMPUTED_VALUE"""),44508.8332734374)</f>
        <v>44508.83327</v>
      </c>
      <c r="D286" s="15">
        <f>IFERROR(__xludf.DUMMYFUNCTION("""COMPUTED_VALUE"""),1.013)</f>
        <v>1.013</v>
      </c>
      <c r="E286" s="16">
        <f>IFERROR(__xludf.DUMMYFUNCTION("""COMPUTED_VALUE"""),64.0)</f>
        <v>64</v>
      </c>
      <c r="F286" s="19" t="str">
        <f>IFERROR(__xludf.DUMMYFUNCTION("""COMPUTED_VALUE"""),"BLACK")</f>
        <v>BLACK</v>
      </c>
      <c r="G286" s="20" t="str">
        <f>IFERROR(__xludf.DUMMYFUNCTION("""COMPUTED_VALUE"""),"Tap 6 Clone (10/15/2021)")</f>
        <v>Tap 6 Clone (10/15/2021)</v>
      </c>
      <c r="H286" s="19"/>
    </row>
    <row r="287">
      <c r="A287" s="9"/>
      <c r="B287" s="15"/>
      <c r="C287" s="9">
        <f>IFERROR(__xludf.DUMMYFUNCTION("""COMPUTED_VALUE"""),44508.8228403703)</f>
        <v>44508.82284</v>
      </c>
      <c r="D287" s="15">
        <f>IFERROR(__xludf.DUMMYFUNCTION("""COMPUTED_VALUE"""),1.013)</f>
        <v>1.013</v>
      </c>
      <c r="E287" s="16">
        <f>IFERROR(__xludf.DUMMYFUNCTION("""COMPUTED_VALUE"""),64.0)</f>
        <v>64</v>
      </c>
      <c r="F287" s="19" t="str">
        <f>IFERROR(__xludf.DUMMYFUNCTION("""COMPUTED_VALUE"""),"BLACK")</f>
        <v>BLACK</v>
      </c>
      <c r="G287" s="20" t="str">
        <f>IFERROR(__xludf.DUMMYFUNCTION("""COMPUTED_VALUE"""),"Tap 6 Clone (10/15/2021)")</f>
        <v>Tap 6 Clone (10/15/2021)</v>
      </c>
      <c r="H287" s="19"/>
    </row>
    <row r="288">
      <c r="A288" s="9"/>
      <c r="B288" s="15"/>
      <c r="C288" s="9">
        <f>IFERROR(__xludf.DUMMYFUNCTION("""COMPUTED_VALUE"""),44508.8124184837)</f>
        <v>44508.81242</v>
      </c>
      <c r="D288" s="15">
        <f>IFERROR(__xludf.DUMMYFUNCTION("""COMPUTED_VALUE"""),1.013)</f>
        <v>1.013</v>
      </c>
      <c r="E288" s="16">
        <f>IFERROR(__xludf.DUMMYFUNCTION("""COMPUTED_VALUE"""),64.0)</f>
        <v>64</v>
      </c>
      <c r="F288" s="19" t="str">
        <f>IFERROR(__xludf.DUMMYFUNCTION("""COMPUTED_VALUE"""),"BLACK")</f>
        <v>BLACK</v>
      </c>
      <c r="G288" s="20" t="str">
        <f>IFERROR(__xludf.DUMMYFUNCTION("""COMPUTED_VALUE"""),"Tap 6 Clone (10/15/2021)")</f>
        <v>Tap 6 Clone (10/15/2021)</v>
      </c>
      <c r="H288" s="19"/>
    </row>
    <row r="289">
      <c r="A289" s="9"/>
      <c r="B289" s="15"/>
      <c r="C289" s="9">
        <f>IFERROR(__xludf.DUMMYFUNCTION("""COMPUTED_VALUE"""),44508.8019849305)</f>
        <v>44508.80198</v>
      </c>
      <c r="D289" s="15">
        <f>IFERROR(__xludf.DUMMYFUNCTION("""COMPUTED_VALUE"""),1.013)</f>
        <v>1.013</v>
      </c>
      <c r="E289" s="16">
        <f>IFERROR(__xludf.DUMMYFUNCTION("""COMPUTED_VALUE"""),64.0)</f>
        <v>64</v>
      </c>
      <c r="F289" s="19" t="str">
        <f>IFERROR(__xludf.DUMMYFUNCTION("""COMPUTED_VALUE"""),"BLACK")</f>
        <v>BLACK</v>
      </c>
      <c r="G289" s="20" t="str">
        <f>IFERROR(__xludf.DUMMYFUNCTION("""COMPUTED_VALUE"""),"Tap 6 Clone (10/15/2021)")</f>
        <v>Tap 6 Clone (10/15/2021)</v>
      </c>
      <c r="H289" s="19"/>
    </row>
    <row r="290">
      <c r="A290" s="9"/>
      <c r="B290" s="15"/>
      <c r="C290" s="9">
        <f>IFERROR(__xludf.DUMMYFUNCTION("""COMPUTED_VALUE"""),44508.7915635763)</f>
        <v>44508.79156</v>
      </c>
      <c r="D290" s="15">
        <f>IFERROR(__xludf.DUMMYFUNCTION("""COMPUTED_VALUE"""),1.013)</f>
        <v>1.013</v>
      </c>
      <c r="E290" s="16">
        <f>IFERROR(__xludf.DUMMYFUNCTION("""COMPUTED_VALUE"""),64.0)</f>
        <v>64</v>
      </c>
      <c r="F290" s="19" t="str">
        <f>IFERROR(__xludf.DUMMYFUNCTION("""COMPUTED_VALUE"""),"BLACK")</f>
        <v>BLACK</v>
      </c>
      <c r="G290" s="20" t="str">
        <f>IFERROR(__xludf.DUMMYFUNCTION("""COMPUTED_VALUE"""),"Tap 6 Clone (10/15/2021)")</f>
        <v>Tap 6 Clone (10/15/2021)</v>
      </c>
      <c r="H290" s="19"/>
    </row>
    <row r="291">
      <c r="A291" s="9"/>
      <c r="B291" s="15"/>
      <c r="C291" s="9">
        <f>IFERROR(__xludf.DUMMYFUNCTION("""COMPUTED_VALUE"""),44508.7811429629)</f>
        <v>44508.78114</v>
      </c>
      <c r="D291" s="15">
        <f>IFERROR(__xludf.DUMMYFUNCTION("""COMPUTED_VALUE"""),1.013)</f>
        <v>1.013</v>
      </c>
      <c r="E291" s="16">
        <f>IFERROR(__xludf.DUMMYFUNCTION("""COMPUTED_VALUE"""),64.0)</f>
        <v>64</v>
      </c>
      <c r="F291" s="19" t="str">
        <f>IFERROR(__xludf.DUMMYFUNCTION("""COMPUTED_VALUE"""),"BLACK")</f>
        <v>BLACK</v>
      </c>
      <c r="G291" s="20" t="str">
        <f>IFERROR(__xludf.DUMMYFUNCTION("""COMPUTED_VALUE"""),"Tap 6 Clone (10/15/2021)")</f>
        <v>Tap 6 Clone (10/15/2021)</v>
      </c>
      <c r="H291" s="19"/>
    </row>
    <row r="292">
      <c r="A292" s="9"/>
      <c r="B292" s="15"/>
      <c r="C292" s="9">
        <f>IFERROR(__xludf.DUMMYFUNCTION("""COMPUTED_VALUE"""),44508.7706982523)</f>
        <v>44508.7707</v>
      </c>
      <c r="D292" s="15">
        <f>IFERROR(__xludf.DUMMYFUNCTION("""COMPUTED_VALUE"""),1.013)</f>
        <v>1.013</v>
      </c>
      <c r="E292" s="16">
        <f>IFERROR(__xludf.DUMMYFUNCTION("""COMPUTED_VALUE"""),64.0)</f>
        <v>64</v>
      </c>
      <c r="F292" s="19" t="str">
        <f>IFERROR(__xludf.DUMMYFUNCTION("""COMPUTED_VALUE"""),"BLACK")</f>
        <v>BLACK</v>
      </c>
      <c r="G292" s="20" t="str">
        <f>IFERROR(__xludf.DUMMYFUNCTION("""COMPUTED_VALUE"""),"Tap 6 Clone (10/15/2021)")</f>
        <v>Tap 6 Clone (10/15/2021)</v>
      </c>
      <c r="H292" s="19"/>
    </row>
    <row r="293">
      <c r="A293" s="9"/>
      <c r="B293" s="15"/>
      <c r="C293" s="9">
        <f>IFERROR(__xludf.DUMMYFUNCTION("""COMPUTED_VALUE"""),44508.7602757986)</f>
        <v>44508.76028</v>
      </c>
      <c r="D293" s="15">
        <f>IFERROR(__xludf.DUMMYFUNCTION("""COMPUTED_VALUE"""),1.013)</f>
        <v>1.013</v>
      </c>
      <c r="E293" s="16">
        <f>IFERROR(__xludf.DUMMYFUNCTION("""COMPUTED_VALUE"""),64.0)</f>
        <v>64</v>
      </c>
      <c r="F293" s="19" t="str">
        <f>IFERROR(__xludf.DUMMYFUNCTION("""COMPUTED_VALUE"""),"BLACK")</f>
        <v>BLACK</v>
      </c>
      <c r="G293" s="20" t="str">
        <f>IFERROR(__xludf.DUMMYFUNCTION("""COMPUTED_VALUE"""),"Tap 6 Clone (10/15/2021)")</f>
        <v>Tap 6 Clone (10/15/2021)</v>
      </c>
      <c r="H293" s="19"/>
    </row>
    <row r="294">
      <c r="A294" s="9"/>
      <c r="B294" s="15"/>
      <c r="C294" s="9">
        <f>IFERROR(__xludf.DUMMYFUNCTION("""COMPUTED_VALUE"""),44508.7498543287)</f>
        <v>44508.74985</v>
      </c>
      <c r="D294" s="15">
        <f>IFERROR(__xludf.DUMMYFUNCTION("""COMPUTED_VALUE"""),1.013)</f>
        <v>1.013</v>
      </c>
      <c r="E294" s="16">
        <f>IFERROR(__xludf.DUMMYFUNCTION("""COMPUTED_VALUE"""),64.0)</f>
        <v>64</v>
      </c>
      <c r="F294" s="19" t="str">
        <f>IFERROR(__xludf.DUMMYFUNCTION("""COMPUTED_VALUE"""),"BLACK")</f>
        <v>BLACK</v>
      </c>
      <c r="G294" s="20" t="str">
        <f>IFERROR(__xludf.DUMMYFUNCTION("""COMPUTED_VALUE"""),"Tap 6 Clone (10/15/2021)")</f>
        <v>Tap 6 Clone (10/15/2021)</v>
      </c>
      <c r="H294" s="19"/>
    </row>
    <row r="295">
      <c r="A295" s="9"/>
      <c r="B295" s="15"/>
      <c r="C295" s="9">
        <f>IFERROR(__xludf.DUMMYFUNCTION("""COMPUTED_VALUE"""),44508.7394326851)</f>
        <v>44508.73943</v>
      </c>
      <c r="D295" s="15">
        <f>IFERROR(__xludf.DUMMYFUNCTION("""COMPUTED_VALUE"""),1.013)</f>
        <v>1.013</v>
      </c>
      <c r="E295" s="16">
        <f>IFERROR(__xludf.DUMMYFUNCTION("""COMPUTED_VALUE"""),64.0)</f>
        <v>64</v>
      </c>
      <c r="F295" s="19" t="str">
        <f>IFERROR(__xludf.DUMMYFUNCTION("""COMPUTED_VALUE"""),"BLACK")</f>
        <v>BLACK</v>
      </c>
      <c r="G295" s="20" t="str">
        <f>IFERROR(__xludf.DUMMYFUNCTION("""COMPUTED_VALUE"""),"Tap 6 Clone (10/15/2021)")</f>
        <v>Tap 6 Clone (10/15/2021)</v>
      </c>
      <c r="H295" s="19"/>
    </row>
    <row r="296">
      <c r="A296" s="9"/>
      <c r="B296" s="15"/>
      <c r="C296" s="9">
        <f>IFERROR(__xludf.DUMMYFUNCTION("""COMPUTED_VALUE"""),44508.7290130902)</f>
        <v>44508.72901</v>
      </c>
      <c r="D296" s="15">
        <f>IFERROR(__xludf.DUMMYFUNCTION("""COMPUTED_VALUE"""),1.013)</f>
        <v>1.013</v>
      </c>
      <c r="E296" s="16">
        <f>IFERROR(__xludf.DUMMYFUNCTION("""COMPUTED_VALUE"""),64.0)</f>
        <v>64</v>
      </c>
      <c r="F296" s="19" t="str">
        <f>IFERROR(__xludf.DUMMYFUNCTION("""COMPUTED_VALUE"""),"BLACK")</f>
        <v>BLACK</v>
      </c>
      <c r="G296" s="20" t="str">
        <f>IFERROR(__xludf.DUMMYFUNCTION("""COMPUTED_VALUE"""),"Tap 6 Clone (10/15/2021)")</f>
        <v>Tap 6 Clone (10/15/2021)</v>
      </c>
      <c r="H296" s="19"/>
    </row>
    <row r="297">
      <c r="A297" s="9"/>
      <c r="B297" s="15"/>
      <c r="C297" s="9">
        <f>IFERROR(__xludf.DUMMYFUNCTION("""COMPUTED_VALUE"""),44508.718590324)</f>
        <v>44508.71859</v>
      </c>
      <c r="D297" s="15">
        <f>IFERROR(__xludf.DUMMYFUNCTION("""COMPUTED_VALUE"""),1.013)</f>
        <v>1.013</v>
      </c>
      <c r="E297" s="16">
        <f>IFERROR(__xludf.DUMMYFUNCTION("""COMPUTED_VALUE"""),64.0)</f>
        <v>64</v>
      </c>
      <c r="F297" s="19" t="str">
        <f>IFERROR(__xludf.DUMMYFUNCTION("""COMPUTED_VALUE"""),"BLACK")</f>
        <v>BLACK</v>
      </c>
      <c r="G297" s="20" t="str">
        <f>IFERROR(__xludf.DUMMYFUNCTION("""COMPUTED_VALUE"""),"Tap 6 Clone (10/15/2021)")</f>
        <v>Tap 6 Clone (10/15/2021)</v>
      </c>
      <c r="H297" s="19"/>
    </row>
    <row r="298">
      <c r="A298" s="9"/>
      <c r="B298" s="15"/>
      <c r="C298" s="9">
        <f>IFERROR(__xludf.DUMMYFUNCTION("""COMPUTED_VALUE"""),44508.7081589236)</f>
        <v>44508.70816</v>
      </c>
      <c r="D298" s="15">
        <f>IFERROR(__xludf.DUMMYFUNCTION("""COMPUTED_VALUE"""),1.013)</f>
        <v>1.013</v>
      </c>
      <c r="E298" s="16">
        <f>IFERROR(__xludf.DUMMYFUNCTION("""COMPUTED_VALUE"""),64.0)</f>
        <v>64</v>
      </c>
      <c r="F298" s="19" t="str">
        <f>IFERROR(__xludf.DUMMYFUNCTION("""COMPUTED_VALUE"""),"BLACK")</f>
        <v>BLACK</v>
      </c>
      <c r="G298" s="20" t="str">
        <f>IFERROR(__xludf.DUMMYFUNCTION("""COMPUTED_VALUE"""),"Tap 6 Clone (10/15/2021)")</f>
        <v>Tap 6 Clone (10/15/2021)</v>
      </c>
      <c r="H298" s="19"/>
    </row>
    <row r="299">
      <c r="A299" s="9"/>
      <c r="B299" s="15"/>
      <c r="C299" s="9">
        <f>IFERROR(__xludf.DUMMYFUNCTION("""COMPUTED_VALUE"""),44508.6977374305)</f>
        <v>44508.69774</v>
      </c>
      <c r="D299" s="15">
        <f>IFERROR(__xludf.DUMMYFUNCTION("""COMPUTED_VALUE"""),1.013)</f>
        <v>1.013</v>
      </c>
      <c r="E299" s="16">
        <f>IFERROR(__xludf.DUMMYFUNCTION("""COMPUTED_VALUE"""),64.0)</f>
        <v>64</v>
      </c>
      <c r="F299" s="19" t="str">
        <f>IFERROR(__xludf.DUMMYFUNCTION("""COMPUTED_VALUE"""),"BLACK")</f>
        <v>BLACK</v>
      </c>
      <c r="G299" s="20" t="str">
        <f>IFERROR(__xludf.DUMMYFUNCTION("""COMPUTED_VALUE"""),"Tap 6 Clone (10/15/2021)")</f>
        <v>Tap 6 Clone (10/15/2021)</v>
      </c>
      <c r="H299" s="19"/>
    </row>
    <row r="300">
      <c r="A300" s="9"/>
      <c r="B300" s="15"/>
      <c r="C300" s="9">
        <f>IFERROR(__xludf.DUMMYFUNCTION("""COMPUTED_VALUE"""),44508.6873041319)</f>
        <v>44508.6873</v>
      </c>
      <c r="D300" s="15">
        <f>IFERROR(__xludf.DUMMYFUNCTION("""COMPUTED_VALUE"""),1.013)</f>
        <v>1.013</v>
      </c>
      <c r="E300" s="16">
        <f>IFERROR(__xludf.DUMMYFUNCTION("""COMPUTED_VALUE"""),64.0)</f>
        <v>64</v>
      </c>
      <c r="F300" s="19" t="str">
        <f>IFERROR(__xludf.DUMMYFUNCTION("""COMPUTED_VALUE"""),"BLACK")</f>
        <v>BLACK</v>
      </c>
      <c r="G300" s="20" t="str">
        <f>IFERROR(__xludf.DUMMYFUNCTION("""COMPUTED_VALUE"""),"Tap 6 Clone (10/15/2021)")</f>
        <v>Tap 6 Clone (10/15/2021)</v>
      </c>
      <c r="H300" s="19"/>
    </row>
    <row r="301">
      <c r="A301" s="9"/>
      <c r="B301" s="15"/>
      <c r="C301" s="9">
        <f>IFERROR(__xludf.DUMMYFUNCTION("""COMPUTED_VALUE"""),44508.6768849074)</f>
        <v>44508.67688</v>
      </c>
      <c r="D301" s="15">
        <f>IFERROR(__xludf.DUMMYFUNCTION("""COMPUTED_VALUE"""),1.013)</f>
        <v>1.013</v>
      </c>
      <c r="E301" s="16">
        <f>IFERROR(__xludf.DUMMYFUNCTION("""COMPUTED_VALUE"""),64.0)</f>
        <v>64</v>
      </c>
      <c r="F301" s="19" t="str">
        <f>IFERROR(__xludf.DUMMYFUNCTION("""COMPUTED_VALUE"""),"BLACK")</f>
        <v>BLACK</v>
      </c>
      <c r="G301" s="20" t="str">
        <f>IFERROR(__xludf.DUMMYFUNCTION("""COMPUTED_VALUE"""),"Tap 6 Clone (10/15/2021)")</f>
        <v>Tap 6 Clone (10/15/2021)</v>
      </c>
      <c r="H301" s="19"/>
    </row>
    <row r="302">
      <c r="A302" s="9"/>
      <c r="B302" s="15"/>
      <c r="C302" s="9">
        <f>IFERROR(__xludf.DUMMYFUNCTION("""COMPUTED_VALUE"""),44508.666463831)</f>
        <v>44508.66646</v>
      </c>
      <c r="D302" s="15">
        <f>IFERROR(__xludf.DUMMYFUNCTION("""COMPUTED_VALUE"""),1.013)</f>
        <v>1.013</v>
      </c>
      <c r="E302" s="16">
        <f>IFERROR(__xludf.DUMMYFUNCTION("""COMPUTED_VALUE"""),64.0)</f>
        <v>64</v>
      </c>
      <c r="F302" s="19" t="str">
        <f>IFERROR(__xludf.DUMMYFUNCTION("""COMPUTED_VALUE"""),"BLACK")</f>
        <v>BLACK</v>
      </c>
      <c r="G302" s="20" t="str">
        <f>IFERROR(__xludf.DUMMYFUNCTION("""COMPUTED_VALUE"""),"Tap 6 Clone (10/15/2021)")</f>
        <v>Tap 6 Clone (10/15/2021)</v>
      </c>
      <c r="H302" s="19"/>
    </row>
    <row r="303">
      <c r="A303" s="9"/>
      <c r="B303" s="15"/>
      <c r="C303" s="9">
        <f>IFERROR(__xludf.DUMMYFUNCTION("""COMPUTED_VALUE"""),44508.6560421759)</f>
        <v>44508.65604</v>
      </c>
      <c r="D303" s="15">
        <f>IFERROR(__xludf.DUMMYFUNCTION("""COMPUTED_VALUE"""),1.013)</f>
        <v>1.013</v>
      </c>
      <c r="E303" s="16">
        <f>IFERROR(__xludf.DUMMYFUNCTION("""COMPUTED_VALUE"""),64.0)</f>
        <v>64</v>
      </c>
      <c r="F303" s="19" t="str">
        <f>IFERROR(__xludf.DUMMYFUNCTION("""COMPUTED_VALUE"""),"BLACK")</f>
        <v>BLACK</v>
      </c>
      <c r="G303" s="20" t="str">
        <f>IFERROR(__xludf.DUMMYFUNCTION("""COMPUTED_VALUE"""),"Tap 6 Clone (10/15/2021)")</f>
        <v>Tap 6 Clone (10/15/2021)</v>
      </c>
      <c r="H303" s="19"/>
    </row>
    <row r="304">
      <c r="A304" s="9"/>
      <c r="B304" s="15"/>
      <c r="C304" s="9">
        <f>IFERROR(__xludf.DUMMYFUNCTION("""COMPUTED_VALUE"""),44508.6456111458)</f>
        <v>44508.64561</v>
      </c>
      <c r="D304" s="15">
        <f>IFERROR(__xludf.DUMMYFUNCTION("""COMPUTED_VALUE"""),1.013)</f>
        <v>1.013</v>
      </c>
      <c r="E304" s="16">
        <f>IFERROR(__xludf.DUMMYFUNCTION("""COMPUTED_VALUE"""),64.0)</f>
        <v>64</v>
      </c>
      <c r="F304" s="19" t="str">
        <f>IFERROR(__xludf.DUMMYFUNCTION("""COMPUTED_VALUE"""),"BLACK")</f>
        <v>BLACK</v>
      </c>
      <c r="G304" s="20" t="str">
        <f>IFERROR(__xludf.DUMMYFUNCTION("""COMPUTED_VALUE"""),"Tap 6 Clone (10/15/2021)")</f>
        <v>Tap 6 Clone (10/15/2021)</v>
      </c>
      <c r="H304" s="19"/>
    </row>
    <row r="305">
      <c r="A305" s="9"/>
      <c r="B305" s="15"/>
      <c r="C305" s="9">
        <f>IFERROR(__xludf.DUMMYFUNCTION("""COMPUTED_VALUE"""),44508.6351911226)</f>
        <v>44508.63519</v>
      </c>
      <c r="D305" s="15">
        <f>IFERROR(__xludf.DUMMYFUNCTION("""COMPUTED_VALUE"""),1.013)</f>
        <v>1.013</v>
      </c>
      <c r="E305" s="16">
        <f>IFERROR(__xludf.DUMMYFUNCTION("""COMPUTED_VALUE"""),64.0)</f>
        <v>64</v>
      </c>
      <c r="F305" s="19" t="str">
        <f>IFERROR(__xludf.DUMMYFUNCTION("""COMPUTED_VALUE"""),"BLACK")</f>
        <v>BLACK</v>
      </c>
      <c r="G305" s="20" t="str">
        <f>IFERROR(__xludf.DUMMYFUNCTION("""COMPUTED_VALUE"""),"Tap 6 Clone (10/15/2021)")</f>
        <v>Tap 6 Clone (10/15/2021)</v>
      </c>
      <c r="H305" s="19"/>
    </row>
    <row r="306">
      <c r="A306" s="9"/>
      <c r="B306" s="15"/>
      <c r="C306" s="9">
        <f>IFERROR(__xludf.DUMMYFUNCTION("""COMPUTED_VALUE"""),44508.6247698032)</f>
        <v>44508.62477</v>
      </c>
      <c r="D306" s="15">
        <f>IFERROR(__xludf.DUMMYFUNCTION("""COMPUTED_VALUE"""),1.013)</f>
        <v>1.013</v>
      </c>
      <c r="E306" s="16">
        <f>IFERROR(__xludf.DUMMYFUNCTION("""COMPUTED_VALUE"""),64.0)</f>
        <v>64</v>
      </c>
      <c r="F306" s="19" t="str">
        <f>IFERROR(__xludf.DUMMYFUNCTION("""COMPUTED_VALUE"""),"BLACK")</f>
        <v>BLACK</v>
      </c>
      <c r="G306" s="20" t="str">
        <f>IFERROR(__xludf.DUMMYFUNCTION("""COMPUTED_VALUE"""),"Tap 6 Clone (10/15/2021)")</f>
        <v>Tap 6 Clone (10/15/2021)</v>
      </c>
      <c r="H306" s="19"/>
    </row>
    <row r="307">
      <c r="A307" s="9"/>
      <c r="B307" s="15"/>
      <c r="C307" s="9">
        <f>IFERROR(__xludf.DUMMYFUNCTION("""COMPUTED_VALUE"""),44508.614348206)</f>
        <v>44508.61435</v>
      </c>
      <c r="D307" s="15">
        <f>IFERROR(__xludf.DUMMYFUNCTION("""COMPUTED_VALUE"""),1.013)</f>
        <v>1.013</v>
      </c>
      <c r="E307" s="16">
        <f>IFERROR(__xludf.DUMMYFUNCTION("""COMPUTED_VALUE"""),64.0)</f>
        <v>64</v>
      </c>
      <c r="F307" s="19" t="str">
        <f>IFERROR(__xludf.DUMMYFUNCTION("""COMPUTED_VALUE"""),"BLACK")</f>
        <v>BLACK</v>
      </c>
      <c r="G307" s="20" t="str">
        <f>IFERROR(__xludf.DUMMYFUNCTION("""COMPUTED_VALUE"""),"Tap 6 Clone (10/15/2021)")</f>
        <v>Tap 6 Clone (10/15/2021)</v>
      </c>
      <c r="H307" s="19"/>
    </row>
    <row r="308">
      <c r="A308" s="9"/>
      <c r="B308" s="15"/>
      <c r="C308" s="9">
        <f>IFERROR(__xludf.DUMMYFUNCTION("""COMPUTED_VALUE"""),44508.6039142013)</f>
        <v>44508.60391</v>
      </c>
      <c r="D308" s="15">
        <f>IFERROR(__xludf.DUMMYFUNCTION("""COMPUTED_VALUE"""),1.013)</f>
        <v>1.013</v>
      </c>
      <c r="E308" s="16">
        <f>IFERROR(__xludf.DUMMYFUNCTION("""COMPUTED_VALUE"""),64.0)</f>
        <v>64</v>
      </c>
      <c r="F308" s="19" t="str">
        <f>IFERROR(__xludf.DUMMYFUNCTION("""COMPUTED_VALUE"""),"BLACK")</f>
        <v>BLACK</v>
      </c>
      <c r="G308" s="20" t="str">
        <f>IFERROR(__xludf.DUMMYFUNCTION("""COMPUTED_VALUE"""),"Tap 6 Clone (10/15/2021)")</f>
        <v>Tap 6 Clone (10/15/2021)</v>
      </c>
      <c r="H308" s="19"/>
    </row>
    <row r="309">
      <c r="A309" s="9"/>
      <c r="B309" s="15"/>
      <c r="C309" s="9">
        <f>IFERROR(__xludf.DUMMYFUNCTION("""COMPUTED_VALUE"""),44508.5934928703)</f>
        <v>44508.59349</v>
      </c>
      <c r="D309" s="15">
        <f>IFERROR(__xludf.DUMMYFUNCTION("""COMPUTED_VALUE"""),1.013)</f>
        <v>1.013</v>
      </c>
      <c r="E309" s="16">
        <f>IFERROR(__xludf.DUMMYFUNCTION("""COMPUTED_VALUE"""),64.0)</f>
        <v>64</v>
      </c>
      <c r="F309" s="19" t="str">
        <f>IFERROR(__xludf.DUMMYFUNCTION("""COMPUTED_VALUE"""),"BLACK")</f>
        <v>BLACK</v>
      </c>
      <c r="G309" s="20" t="str">
        <f>IFERROR(__xludf.DUMMYFUNCTION("""COMPUTED_VALUE"""),"Tap 6 Clone (10/15/2021)")</f>
        <v>Tap 6 Clone (10/15/2021)</v>
      </c>
      <c r="H309" s="19"/>
    </row>
    <row r="310">
      <c r="A310" s="9"/>
      <c r="B310" s="15"/>
      <c r="C310" s="9">
        <f>IFERROR(__xludf.DUMMYFUNCTION("""COMPUTED_VALUE"""),44508.5830494444)</f>
        <v>44508.58305</v>
      </c>
      <c r="D310" s="15">
        <f>IFERROR(__xludf.DUMMYFUNCTION("""COMPUTED_VALUE"""),1.013)</f>
        <v>1.013</v>
      </c>
      <c r="E310" s="16">
        <f>IFERROR(__xludf.DUMMYFUNCTION("""COMPUTED_VALUE"""),64.0)</f>
        <v>64</v>
      </c>
      <c r="F310" s="19" t="str">
        <f>IFERROR(__xludf.DUMMYFUNCTION("""COMPUTED_VALUE"""),"BLACK")</f>
        <v>BLACK</v>
      </c>
      <c r="G310" s="20" t="str">
        <f>IFERROR(__xludf.DUMMYFUNCTION("""COMPUTED_VALUE"""),"Tap 6 Clone (10/15/2021)")</f>
        <v>Tap 6 Clone (10/15/2021)</v>
      </c>
      <c r="H310" s="19"/>
    </row>
    <row r="311">
      <c r="A311" s="9"/>
      <c r="B311" s="15"/>
      <c r="C311" s="9">
        <f>IFERROR(__xludf.DUMMYFUNCTION("""COMPUTED_VALUE"""),44508.5726295601)</f>
        <v>44508.57263</v>
      </c>
      <c r="D311" s="15">
        <f>IFERROR(__xludf.DUMMYFUNCTION("""COMPUTED_VALUE"""),1.013)</f>
        <v>1.013</v>
      </c>
      <c r="E311" s="16">
        <f>IFERROR(__xludf.DUMMYFUNCTION("""COMPUTED_VALUE"""),64.0)</f>
        <v>64</v>
      </c>
      <c r="F311" s="19" t="str">
        <f>IFERROR(__xludf.DUMMYFUNCTION("""COMPUTED_VALUE"""),"BLACK")</f>
        <v>BLACK</v>
      </c>
      <c r="G311" s="20" t="str">
        <f>IFERROR(__xludf.DUMMYFUNCTION("""COMPUTED_VALUE"""),"Tap 6 Clone (10/15/2021)")</f>
        <v>Tap 6 Clone (10/15/2021)</v>
      </c>
      <c r="H311" s="19"/>
    </row>
    <row r="312">
      <c r="A312" s="9"/>
      <c r="B312" s="15"/>
      <c r="C312" s="9">
        <f>IFERROR(__xludf.DUMMYFUNCTION("""COMPUTED_VALUE"""),44508.5622090046)</f>
        <v>44508.56221</v>
      </c>
      <c r="D312" s="15">
        <f>IFERROR(__xludf.DUMMYFUNCTION("""COMPUTED_VALUE"""),1.013)</f>
        <v>1.013</v>
      </c>
      <c r="E312" s="16">
        <f>IFERROR(__xludf.DUMMYFUNCTION("""COMPUTED_VALUE"""),64.0)</f>
        <v>64</v>
      </c>
      <c r="F312" s="19" t="str">
        <f>IFERROR(__xludf.DUMMYFUNCTION("""COMPUTED_VALUE"""),"BLACK")</f>
        <v>BLACK</v>
      </c>
      <c r="G312" s="20" t="str">
        <f>IFERROR(__xludf.DUMMYFUNCTION("""COMPUTED_VALUE"""),"Tap 6 Clone (10/15/2021)")</f>
        <v>Tap 6 Clone (10/15/2021)</v>
      </c>
      <c r="H312" s="19"/>
    </row>
    <row r="313">
      <c r="A313" s="9"/>
      <c r="B313" s="15"/>
      <c r="C313" s="9">
        <f>IFERROR(__xludf.DUMMYFUNCTION("""COMPUTED_VALUE"""),44508.551789375)</f>
        <v>44508.55179</v>
      </c>
      <c r="D313" s="15">
        <f>IFERROR(__xludf.DUMMYFUNCTION("""COMPUTED_VALUE"""),1.013)</f>
        <v>1.013</v>
      </c>
      <c r="E313" s="16">
        <f>IFERROR(__xludf.DUMMYFUNCTION("""COMPUTED_VALUE"""),64.0)</f>
        <v>64</v>
      </c>
      <c r="F313" s="19" t="str">
        <f>IFERROR(__xludf.DUMMYFUNCTION("""COMPUTED_VALUE"""),"BLACK")</f>
        <v>BLACK</v>
      </c>
      <c r="G313" s="20" t="str">
        <f>IFERROR(__xludf.DUMMYFUNCTION("""COMPUTED_VALUE"""),"Tap 6 Clone (10/15/2021)")</f>
        <v>Tap 6 Clone (10/15/2021)</v>
      </c>
      <c r="H313" s="19"/>
    </row>
    <row r="314">
      <c r="A314" s="9"/>
      <c r="B314" s="15"/>
      <c r="C314" s="9">
        <f>IFERROR(__xludf.DUMMYFUNCTION("""COMPUTED_VALUE"""),44508.5413702777)</f>
        <v>44508.54137</v>
      </c>
      <c r="D314" s="15">
        <f>IFERROR(__xludf.DUMMYFUNCTION("""COMPUTED_VALUE"""),1.013)</f>
        <v>1.013</v>
      </c>
      <c r="E314" s="16">
        <f>IFERROR(__xludf.DUMMYFUNCTION("""COMPUTED_VALUE"""),64.0)</f>
        <v>64</v>
      </c>
      <c r="F314" s="19" t="str">
        <f>IFERROR(__xludf.DUMMYFUNCTION("""COMPUTED_VALUE"""),"BLACK")</f>
        <v>BLACK</v>
      </c>
      <c r="G314" s="20" t="str">
        <f>IFERROR(__xludf.DUMMYFUNCTION("""COMPUTED_VALUE"""),"Tap 6 Clone (10/15/2021)")</f>
        <v>Tap 6 Clone (10/15/2021)</v>
      </c>
      <c r="H314" s="19"/>
    </row>
    <row r="315">
      <c r="A315" s="9"/>
      <c r="B315" s="15"/>
      <c r="C315" s="9">
        <f>IFERROR(__xludf.DUMMYFUNCTION("""COMPUTED_VALUE"""),44508.5309484027)</f>
        <v>44508.53095</v>
      </c>
      <c r="D315" s="15">
        <f>IFERROR(__xludf.DUMMYFUNCTION("""COMPUTED_VALUE"""),1.013)</f>
        <v>1.013</v>
      </c>
      <c r="E315" s="16">
        <f>IFERROR(__xludf.DUMMYFUNCTION("""COMPUTED_VALUE"""),64.0)</f>
        <v>64</v>
      </c>
      <c r="F315" s="19" t="str">
        <f>IFERROR(__xludf.DUMMYFUNCTION("""COMPUTED_VALUE"""),"BLACK")</f>
        <v>BLACK</v>
      </c>
      <c r="G315" s="20" t="str">
        <f>IFERROR(__xludf.DUMMYFUNCTION("""COMPUTED_VALUE"""),"Tap 6 Clone (10/15/2021)")</f>
        <v>Tap 6 Clone (10/15/2021)</v>
      </c>
      <c r="H315" s="19"/>
    </row>
    <row r="316">
      <c r="A316" s="9"/>
      <c r="B316" s="15"/>
      <c r="C316" s="9">
        <f>IFERROR(__xludf.DUMMYFUNCTION("""COMPUTED_VALUE"""),44508.520492118)</f>
        <v>44508.52049</v>
      </c>
      <c r="D316" s="15">
        <f>IFERROR(__xludf.DUMMYFUNCTION("""COMPUTED_VALUE"""),1.013)</f>
        <v>1.013</v>
      </c>
      <c r="E316" s="16">
        <f>IFERROR(__xludf.DUMMYFUNCTION("""COMPUTED_VALUE"""),64.0)</f>
        <v>64</v>
      </c>
      <c r="F316" s="19" t="str">
        <f>IFERROR(__xludf.DUMMYFUNCTION("""COMPUTED_VALUE"""),"BLACK")</f>
        <v>BLACK</v>
      </c>
      <c r="G316" s="20" t="str">
        <f>IFERROR(__xludf.DUMMYFUNCTION("""COMPUTED_VALUE"""),"Tap 6 Clone (10/15/2021)")</f>
        <v>Tap 6 Clone (10/15/2021)</v>
      </c>
      <c r="H316" s="19"/>
    </row>
    <row r="317">
      <c r="A317" s="9"/>
      <c r="B317" s="15"/>
      <c r="C317" s="9">
        <f>IFERROR(__xludf.DUMMYFUNCTION("""COMPUTED_VALUE"""),44508.5100592939)</f>
        <v>44508.51006</v>
      </c>
      <c r="D317" s="15">
        <f>IFERROR(__xludf.DUMMYFUNCTION("""COMPUTED_VALUE"""),1.013)</f>
        <v>1.013</v>
      </c>
      <c r="E317" s="16">
        <f>IFERROR(__xludf.DUMMYFUNCTION("""COMPUTED_VALUE"""),64.0)</f>
        <v>64</v>
      </c>
      <c r="F317" s="19" t="str">
        <f>IFERROR(__xludf.DUMMYFUNCTION("""COMPUTED_VALUE"""),"BLACK")</f>
        <v>BLACK</v>
      </c>
      <c r="G317" s="20" t="str">
        <f>IFERROR(__xludf.DUMMYFUNCTION("""COMPUTED_VALUE"""),"Tap 6 Clone (10/15/2021)")</f>
        <v>Tap 6 Clone (10/15/2021)</v>
      </c>
      <c r="H317" s="19"/>
    </row>
    <row r="318">
      <c r="A318" s="9"/>
      <c r="B318" s="15"/>
      <c r="C318" s="9">
        <f>IFERROR(__xludf.DUMMYFUNCTION("""COMPUTED_VALUE"""),44508.4996149652)</f>
        <v>44508.49961</v>
      </c>
      <c r="D318" s="15">
        <f>IFERROR(__xludf.DUMMYFUNCTION("""COMPUTED_VALUE"""),1.013)</f>
        <v>1.013</v>
      </c>
      <c r="E318" s="16">
        <f>IFERROR(__xludf.DUMMYFUNCTION("""COMPUTED_VALUE"""),65.0)</f>
        <v>65</v>
      </c>
      <c r="F318" s="19" t="str">
        <f>IFERROR(__xludf.DUMMYFUNCTION("""COMPUTED_VALUE"""),"BLACK")</f>
        <v>BLACK</v>
      </c>
      <c r="G318" s="20" t="str">
        <f>IFERROR(__xludf.DUMMYFUNCTION("""COMPUTED_VALUE"""),"Tap 6 Clone (10/15/2021)")</f>
        <v>Tap 6 Clone (10/15/2021)</v>
      </c>
      <c r="H318" s="19"/>
    </row>
    <row r="319">
      <c r="A319" s="9"/>
      <c r="B319" s="15"/>
      <c r="C319" s="9">
        <f>IFERROR(__xludf.DUMMYFUNCTION("""COMPUTED_VALUE"""),44508.4891943402)</f>
        <v>44508.48919</v>
      </c>
      <c r="D319" s="15">
        <f>IFERROR(__xludf.DUMMYFUNCTION("""COMPUTED_VALUE"""),1.013)</f>
        <v>1.013</v>
      </c>
      <c r="E319" s="16">
        <f>IFERROR(__xludf.DUMMYFUNCTION("""COMPUTED_VALUE"""),65.0)</f>
        <v>65</v>
      </c>
      <c r="F319" s="19" t="str">
        <f>IFERROR(__xludf.DUMMYFUNCTION("""COMPUTED_VALUE"""),"BLACK")</f>
        <v>BLACK</v>
      </c>
      <c r="G319" s="20" t="str">
        <f>IFERROR(__xludf.DUMMYFUNCTION("""COMPUTED_VALUE"""),"Tap 6 Clone (10/15/2021)")</f>
        <v>Tap 6 Clone (10/15/2021)</v>
      </c>
      <c r="H319" s="19"/>
    </row>
    <row r="320">
      <c r="A320" s="9"/>
      <c r="B320" s="15"/>
      <c r="C320" s="9">
        <f>IFERROR(__xludf.DUMMYFUNCTION("""COMPUTED_VALUE"""),44508.4787727546)</f>
        <v>44508.47877</v>
      </c>
      <c r="D320" s="15">
        <f>IFERROR(__xludf.DUMMYFUNCTION("""COMPUTED_VALUE"""),1.013)</f>
        <v>1.013</v>
      </c>
      <c r="E320" s="16">
        <f>IFERROR(__xludf.DUMMYFUNCTION("""COMPUTED_VALUE"""),64.0)</f>
        <v>64</v>
      </c>
      <c r="F320" s="19" t="str">
        <f>IFERROR(__xludf.DUMMYFUNCTION("""COMPUTED_VALUE"""),"BLACK")</f>
        <v>BLACK</v>
      </c>
      <c r="G320" s="20" t="str">
        <f>IFERROR(__xludf.DUMMYFUNCTION("""COMPUTED_VALUE"""),"Tap 6 Clone (10/15/2021)")</f>
        <v>Tap 6 Clone (10/15/2021)</v>
      </c>
      <c r="H320" s="19"/>
    </row>
    <row r="321">
      <c r="A321" s="9"/>
      <c r="B321" s="15"/>
      <c r="C321" s="9">
        <f>IFERROR(__xludf.DUMMYFUNCTION("""COMPUTED_VALUE"""),44508.4683516203)</f>
        <v>44508.46835</v>
      </c>
      <c r="D321" s="15">
        <f>IFERROR(__xludf.DUMMYFUNCTION("""COMPUTED_VALUE"""),1.013)</f>
        <v>1.013</v>
      </c>
      <c r="E321" s="16">
        <f>IFERROR(__xludf.DUMMYFUNCTION("""COMPUTED_VALUE"""),64.0)</f>
        <v>64</v>
      </c>
      <c r="F321" s="19" t="str">
        <f>IFERROR(__xludf.DUMMYFUNCTION("""COMPUTED_VALUE"""),"BLACK")</f>
        <v>BLACK</v>
      </c>
      <c r="G321" s="20" t="str">
        <f>IFERROR(__xludf.DUMMYFUNCTION("""COMPUTED_VALUE"""),"Tap 6 Clone (10/15/2021)")</f>
        <v>Tap 6 Clone (10/15/2021)</v>
      </c>
      <c r="H321" s="19"/>
    </row>
    <row r="322">
      <c r="A322" s="9"/>
      <c r="B322" s="15"/>
      <c r="C322" s="9">
        <f>IFERROR(__xludf.DUMMYFUNCTION("""COMPUTED_VALUE"""),44508.457917581)</f>
        <v>44508.45792</v>
      </c>
      <c r="D322" s="15">
        <f>IFERROR(__xludf.DUMMYFUNCTION("""COMPUTED_VALUE"""),1.013)</f>
        <v>1.013</v>
      </c>
      <c r="E322" s="16">
        <f>IFERROR(__xludf.DUMMYFUNCTION("""COMPUTED_VALUE"""),64.0)</f>
        <v>64</v>
      </c>
      <c r="F322" s="19" t="str">
        <f>IFERROR(__xludf.DUMMYFUNCTION("""COMPUTED_VALUE"""),"BLACK")</f>
        <v>BLACK</v>
      </c>
      <c r="G322" s="20" t="str">
        <f>IFERROR(__xludf.DUMMYFUNCTION("""COMPUTED_VALUE"""),"Tap 6 Clone (10/15/2021)")</f>
        <v>Tap 6 Clone (10/15/2021)</v>
      </c>
      <c r="H322" s="19"/>
    </row>
    <row r="323">
      <c r="A323" s="9"/>
      <c r="B323" s="15"/>
      <c r="C323" s="9">
        <f>IFERROR(__xludf.DUMMYFUNCTION("""COMPUTED_VALUE"""),44508.4474960995)</f>
        <v>44508.4475</v>
      </c>
      <c r="D323" s="15">
        <f>IFERROR(__xludf.DUMMYFUNCTION("""COMPUTED_VALUE"""),1.013)</f>
        <v>1.013</v>
      </c>
      <c r="E323" s="16">
        <f>IFERROR(__xludf.DUMMYFUNCTION("""COMPUTED_VALUE"""),64.0)</f>
        <v>64</v>
      </c>
      <c r="F323" s="19" t="str">
        <f>IFERROR(__xludf.DUMMYFUNCTION("""COMPUTED_VALUE"""),"BLACK")</f>
        <v>BLACK</v>
      </c>
      <c r="G323" s="20" t="str">
        <f>IFERROR(__xludf.DUMMYFUNCTION("""COMPUTED_VALUE"""),"Tap 6 Clone (10/15/2021)")</f>
        <v>Tap 6 Clone (10/15/2021)</v>
      </c>
      <c r="H323" s="19"/>
    </row>
    <row r="324">
      <c r="A324" s="9"/>
      <c r="B324" s="15"/>
      <c r="C324" s="9">
        <f>IFERROR(__xludf.DUMMYFUNCTION("""COMPUTED_VALUE"""),44508.4370737731)</f>
        <v>44508.43707</v>
      </c>
      <c r="D324" s="15">
        <f>IFERROR(__xludf.DUMMYFUNCTION("""COMPUTED_VALUE"""),1.013)</f>
        <v>1.013</v>
      </c>
      <c r="E324" s="16">
        <f>IFERROR(__xludf.DUMMYFUNCTION("""COMPUTED_VALUE"""),64.0)</f>
        <v>64</v>
      </c>
      <c r="F324" s="19" t="str">
        <f>IFERROR(__xludf.DUMMYFUNCTION("""COMPUTED_VALUE"""),"BLACK")</f>
        <v>BLACK</v>
      </c>
      <c r="G324" s="20" t="str">
        <f>IFERROR(__xludf.DUMMYFUNCTION("""COMPUTED_VALUE"""),"Tap 6 Clone (10/15/2021)")</f>
        <v>Tap 6 Clone (10/15/2021)</v>
      </c>
      <c r="H324" s="19"/>
    </row>
    <row r="325">
      <c r="A325" s="9"/>
      <c r="B325" s="15"/>
      <c r="C325" s="9">
        <f>IFERROR(__xludf.DUMMYFUNCTION("""COMPUTED_VALUE"""),44508.4266391435)</f>
        <v>44508.42664</v>
      </c>
      <c r="D325" s="15">
        <f>IFERROR(__xludf.DUMMYFUNCTION("""COMPUTED_VALUE"""),1.013)</f>
        <v>1.013</v>
      </c>
      <c r="E325" s="16">
        <f>IFERROR(__xludf.DUMMYFUNCTION("""COMPUTED_VALUE"""),64.0)</f>
        <v>64</v>
      </c>
      <c r="F325" s="19" t="str">
        <f>IFERROR(__xludf.DUMMYFUNCTION("""COMPUTED_VALUE"""),"BLACK")</f>
        <v>BLACK</v>
      </c>
      <c r="G325" s="20" t="str">
        <f>IFERROR(__xludf.DUMMYFUNCTION("""COMPUTED_VALUE"""),"Tap 6 Clone (10/15/2021)")</f>
        <v>Tap 6 Clone (10/15/2021)</v>
      </c>
      <c r="H325" s="19"/>
    </row>
    <row r="326">
      <c r="A326" s="9"/>
      <c r="B326" s="15"/>
      <c r="C326" s="9">
        <f>IFERROR(__xludf.DUMMYFUNCTION("""COMPUTED_VALUE"""),44508.4162177662)</f>
        <v>44508.41622</v>
      </c>
      <c r="D326" s="15">
        <f>IFERROR(__xludf.DUMMYFUNCTION("""COMPUTED_VALUE"""),1.013)</f>
        <v>1.013</v>
      </c>
      <c r="E326" s="16">
        <f>IFERROR(__xludf.DUMMYFUNCTION("""COMPUTED_VALUE"""),64.0)</f>
        <v>64</v>
      </c>
      <c r="F326" s="19" t="str">
        <f>IFERROR(__xludf.DUMMYFUNCTION("""COMPUTED_VALUE"""),"BLACK")</f>
        <v>BLACK</v>
      </c>
      <c r="G326" s="20" t="str">
        <f>IFERROR(__xludf.DUMMYFUNCTION("""COMPUTED_VALUE"""),"Tap 6 Clone (10/15/2021)")</f>
        <v>Tap 6 Clone (10/15/2021)</v>
      </c>
      <c r="H326" s="19"/>
    </row>
    <row r="327">
      <c r="A327" s="9"/>
      <c r="B327" s="15"/>
      <c r="C327" s="9">
        <f>IFERROR(__xludf.DUMMYFUNCTION("""COMPUTED_VALUE"""),44508.4057851041)</f>
        <v>44508.40579</v>
      </c>
      <c r="D327" s="15">
        <f>IFERROR(__xludf.DUMMYFUNCTION("""COMPUTED_VALUE"""),1.013)</f>
        <v>1.013</v>
      </c>
      <c r="E327" s="16">
        <f>IFERROR(__xludf.DUMMYFUNCTION("""COMPUTED_VALUE"""),64.0)</f>
        <v>64</v>
      </c>
      <c r="F327" s="19" t="str">
        <f>IFERROR(__xludf.DUMMYFUNCTION("""COMPUTED_VALUE"""),"BLACK")</f>
        <v>BLACK</v>
      </c>
      <c r="G327" s="20" t="str">
        <f>IFERROR(__xludf.DUMMYFUNCTION("""COMPUTED_VALUE"""),"Tap 6 Clone (10/15/2021)")</f>
        <v>Tap 6 Clone (10/15/2021)</v>
      </c>
      <c r="H327" s="19"/>
    </row>
    <row r="328">
      <c r="A328" s="9"/>
      <c r="B328" s="15"/>
      <c r="C328" s="9">
        <f>IFERROR(__xludf.DUMMYFUNCTION("""COMPUTED_VALUE"""),44508.3953626157)</f>
        <v>44508.39536</v>
      </c>
      <c r="D328" s="15">
        <f>IFERROR(__xludf.DUMMYFUNCTION("""COMPUTED_VALUE"""),1.013)</f>
        <v>1.013</v>
      </c>
      <c r="E328" s="16">
        <f>IFERROR(__xludf.DUMMYFUNCTION("""COMPUTED_VALUE"""),64.0)</f>
        <v>64</v>
      </c>
      <c r="F328" s="19" t="str">
        <f>IFERROR(__xludf.DUMMYFUNCTION("""COMPUTED_VALUE"""),"BLACK")</f>
        <v>BLACK</v>
      </c>
      <c r="G328" s="20" t="str">
        <f>IFERROR(__xludf.DUMMYFUNCTION("""COMPUTED_VALUE"""),"Tap 6 Clone (10/15/2021)")</f>
        <v>Tap 6 Clone (10/15/2021)</v>
      </c>
      <c r="H328" s="19"/>
    </row>
    <row r="329">
      <c r="A329" s="9"/>
      <c r="B329" s="15"/>
      <c r="C329" s="9">
        <f>IFERROR(__xludf.DUMMYFUNCTION("""COMPUTED_VALUE"""),44508.3849305439)</f>
        <v>44508.38493</v>
      </c>
      <c r="D329" s="15">
        <f>IFERROR(__xludf.DUMMYFUNCTION("""COMPUTED_VALUE"""),1.013)</f>
        <v>1.013</v>
      </c>
      <c r="E329" s="16">
        <f>IFERROR(__xludf.DUMMYFUNCTION("""COMPUTED_VALUE"""),64.0)</f>
        <v>64</v>
      </c>
      <c r="F329" s="19" t="str">
        <f>IFERROR(__xludf.DUMMYFUNCTION("""COMPUTED_VALUE"""),"BLACK")</f>
        <v>BLACK</v>
      </c>
      <c r="G329" s="20" t="str">
        <f>IFERROR(__xludf.DUMMYFUNCTION("""COMPUTED_VALUE"""),"Tap 6 Clone (10/15/2021)")</f>
        <v>Tap 6 Clone (10/15/2021)</v>
      </c>
      <c r="H329" s="19"/>
    </row>
    <row r="330">
      <c r="A330" s="9"/>
      <c r="B330" s="15"/>
      <c r="C330" s="9">
        <f>IFERROR(__xludf.DUMMYFUNCTION("""COMPUTED_VALUE"""),44508.3745090509)</f>
        <v>44508.37451</v>
      </c>
      <c r="D330" s="15">
        <f>IFERROR(__xludf.DUMMYFUNCTION("""COMPUTED_VALUE"""),1.013)</f>
        <v>1.013</v>
      </c>
      <c r="E330" s="16">
        <f>IFERROR(__xludf.DUMMYFUNCTION("""COMPUTED_VALUE"""),64.0)</f>
        <v>64</v>
      </c>
      <c r="F330" s="19" t="str">
        <f>IFERROR(__xludf.DUMMYFUNCTION("""COMPUTED_VALUE"""),"BLACK")</f>
        <v>BLACK</v>
      </c>
      <c r="G330" s="20" t="str">
        <f>IFERROR(__xludf.DUMMYFUNCTION("""COMPUTED_VALUE"""),"Tap 6 Clone (10/15/2021)")</f>
        <v>Tap 6 Clone (10/15/2021)</v>
      </c>
      <c r="H330" s="19"/>
    </row>
    <row r="331">
      <c r="A331" s="9"/>
      <c r="B331" s="15"/>
      <c r="C331" s="9">
        <f>IFERROR(__xludf.DUMMYFUNCTION("""COMPUTED_VALUE"""),44508.364085324)</f>
        <v>44508.36409</v>
      </c>
      <c r="D331" s="15">
        <f>IFERROR(__xludf.DUMMYFUNCTION("""COMPUTED_VALUE"""),1.013)</f>
        <v>1.013</v>
      </c>
      <c r="E331" s="16">
        <f>IFERROR(__xludf.DUMMYFUNCTION("""COMPUTED_VALUE"""),64.0)</f>
        <v>64</v>
      </c>
      <c r="F331" s="19" t="str">
        <f>IFERROR(__xludf.DUMMYFUNCTION("""COMPUTED_VALUE"""),"BLACK")</f>
        <v>BLACK</v>
      </c>
      <c r="G331" s="20" t="str">
        <f>IFERROR(__xludf.DUMMYFUNCTION("""COMPUTED_VALUE"""),"Tap 6 Clone (10/15/2021)")</f>
        <v>Tap 6 Clone (10/15/2021)</v>
      </c>
      <c r="H331" s="19"/>
    </row>
    <row r="332">
      <c r="A332" s="9"/>
      <c r="B332" s="15"/>
      <c r="C332" s="9">
        <f>IFERROR(__xludf.DUMMYFUNCTION("""COMPUTED_VALUE"""),44508.353664375)</f>
        <v>44508.35366</v>
      </c>
      <c r="D332" s="15">
        <f>IFERROR(__xludf.DUMMYFUNCTION("""COMPUTED_VALUE"""),1.013)</f>
        <v>1.013</v>
      </c>
      <c r="E332" s="16">
        <f>IFERROR(__xludf.DUMMYFUNCTION("""COMPUTED_VALUE"""),65.0)</f>
        <v>65</v>
      </c>
      <c r="F332" s="19" t="str">
        <f>IFERROR(__xludf.DUMMYFUNCTION("""COMPUTED_VALUE"""),"BLACK")</f>
        <v>BLACK</v>
      </c>
      <c r="G332" s="20" t="str">
        <f>IFERROR(__xludf.DUMMYFUNCTION("""COMPUTED_VALUE"""),"Tap 6 Clone (10/15/2021)")</f>
        <v>Tap 6 Clone (10/15/2021)</v>
      </c>
      <c r="H332" s="19"/>
    </row>
    <row r="333">
      <c r="A333" s="9"/>
      <c r="B333" s="15"/>
      <c r="C333" s="9">
        <f>IFERROR(__xludf.DUMMYFUNCTION("""COMPUTED_VALUE"""),44508.3432322453)</f>
        <v>44508.34323</v>
      </c>
      <c r="D333" s="15">
        <f>IFERROR(__xludf.DUMMYFUNCTION("""COMPUTED_VALUE"""),1.013)</f>
        <v>1.013</v>
      </c>
      <c r="E333" s="16">
        <f>IFERROR(__xludf.DUMMYFUNCTION("""COMPUTED_VALUE"""),64.0)</f>
        <v>64</v>
      </c>
      <c r="F333" s="19" t="str">
        <f>IFERROR(__xludf.DUMMYFUNCTION("""COMPUTED_VALUE"""),"BLACK")</f>
        <v>BLACK</v>
      </c>
      <c r="G333" s="20" t="str">
        <f>IFERROR(__xludf.DUMMYFUNCTION("""COMPUTED_VALUE"""),"Tap 6 Clone (10/15/2021)")</f>
        <v>Tap 6 Clone (10/15/2021)</v>
      </c>
      <c r="H333" s="19"/>
    </row>
    <row r="334">
      <c r="A334" s="9"/>
      <c r="B334" s="15"/>
      <c r="C334" s="9">
        <f>IFERROR(__xludf.DUMMYFUNCTION("""COMPUTED_VALUE"""),44508.3328122685)</f>
        <v>44508.33281</v>
      </c>
      <c r="D334" s="15">
        <f>IFERROR(__xludf.DUMMYFUNCTION("""COMPUTED_VALUE"""),1.013)</f>
        <v>1.013</v>
      </c>
      <c r="E334" s="16">
        <f>IFERROR(__xludf.DUMMYFUNCTION("""COMPUTED_VALUE"""),64.0)</f>
        <v>64</v>
      </c>
      <c r="F334" s="19" t="str">
        <f>IFERROR(__xludf.DUMMYFUNCTION("""COMPUTED_VALUE"""),"BLACK")</f>
        <v>BLACK</v>
      </c>
      <c r="G334" s="20" t="str">
        <f>IFERROR(__xludf.DUMMYFUNCTION("""COMPUTED_VALUE"""),"Tap 6 Clone (10/15/2021)")</f>
        <v>Tap 6 Clone (10/15/2021)</v>
      </c>
      <c r="H334" s="19"/>
    </row>
    <row r="335">
      <c r="A335" s="9"/>
      <c r="B335" s="15"/>
      <c r="C335" s="9">
        <f>IFERROR(__xludf.DUMMYFUNCTION("""COMPUTED_VALUE"""),44508.3223897222)</f>
        <v>44508.32239</v>
      </c>
      <c r="D335" s="15">
        <f>IFERROR(__xludf.DUMMYFUNCTION("""COMPUTED_VALUE"""),1.013)</f>
        <v>1.013</v>
      </c>
      <c r="E335" s="16">
        <f>IFERROR(__xludf.DUMMYFUNCTION("""COMPUTED_VALUE"""),64.0)</f>
        <v>64</v>
      </c>
      <c r="F335" s="19" t="str">
        <f>IFERROR(__xludf.DUMMYFUNCTION("""COMPUTED_VALUE"""),"BLACK")</f>
        <v>BLACK</v>
      </c>
      <c r="G335" s="20" t="str">
        <f>IFERROR(__xludf.DUMMYFUNCTION("""COMPUTED_VALUE"""),"Tap 6 Clone (10/15/2021)")</f>
        <v>Tap 6 Clone (10/15/2021)</v>
      </c>
      <c r="H335" s="19"/>
    </row>
    <row r="336">
      <c r="A336" s="9"/>
      <c r="B336" s="15"/>
      <c r="C336" s="9">
        <f>IFERROR(__xludf.DUMMYFUNCTION("""COMPUTED_VALUE"""),44508.3119699305)</f>
        <v>44508.31197</v>
      </c>
      <c r="D336" s="15">
        <f>IFERROR(__xludf.DUMMYFUNCTION("""COMPUTED_VALUE"""),1.013)</f>
        <v>1.013</v>
      </c>
      <c r="E336" s="16">
        <f>IFERROR(__xludf.DUMMYFUNCTION("""COMPUTED_VALUE"""),64.0)</f>
        <v>64</v>
      </c>
      <c r="F336" s="19" t="str">
        <f>IFERROR(__xludf.DUMMYFUNCTION("""COMPUTED_VALUE"""),"BLACK")</f>
        <v>BLACK</v>
      </c>
      <c r="G336" s="20" t="str">
        <f>IFERROR(__xludf.DUMMYFUNCTION("""COMPUTED_VALUE"""),"Tap 6 Clone (10/15/2021)")</f>
        <v>Tap 6 Clone (10/15/2021)</v>
      </c>
      <c r="H336" s="19"/>
    </row>
    <row r="337">
      <c r="A337" s="9"/>
      <c r="B337" s="15"/>
      <c r="C337" s="9">
        <f>IFERROR(__xludf.DUMMYFUNCTION("""COMPUTED_VALUE"""),44508.3015489004)</f>
        <v>44508.30155</v>
      </c>
      <c r="D337" s="15">
        <f>IFERROR(__xludf.DUMMYFUNCTION("""COMPUTED_VALUE"""),1.013)</f>
        <v>1.013</v>
      </c>
      <c r="E337" s="16">
        <f>IFERROR(__xludf.DUMMYFUNCTION("""COMPUTED_VALUE"""),64.0)</f>
        <v>64</v>
      </c>
      <c r="F337" s="19" t="str">
        <f>IFERROR(__xludf.DUMMYFUNCTION("""COMPUTED_VALUE"""),"BLACK")</f>
        <v>BLACK</v>
      </c>
      <c r="G337" s="20" t="str">
        <f>IFERROR(__xludf.DUMMYFUNCTION("""COMPUTED_VALUE"""),"Tap 6 Clone (10/15/2021)")</f>
        <v>Tap 6 Clone (10/15/2021)</v>
      </c>
      <c r="H337" s="19"/>
    </row>
    <row r="338">
      <c r="A338" s="9"/>
      <c r="B338" s="15"/>
      <c r="C338" s="9">
        <f>IFERROR(__xludf.DUMMYFUNCTION("""COMPUTED_VALUE"""),44508.2911275694)</f>
        <v>44508.29113</v>
      </c>
      <c r="D338" s="15">
        <f>IFERROR(__xludf.DUMMYFUNCTION("""COMPUTED_VALUE"""),1.013)</f>
        <v>1.013</v>
      </c>
      <c r="E338" s="16">
        <f>IFERROR(__xludf.DUMMYFUNCTION("""COMPUTED_VALUE"""),64.0)</f>
        <v>64</v>
      </c>
      <c r="F338" s="19" t="str">
        <f>IFERROR(__xludf.DUMMYFUNCTION("""COMPUTED_VALUE"""),"BLACK")</f>
        <v>BLACK</v>
      </c>
      <c r="G338" s="20" t="str">
        <f>IFERROR(__xludf.DUMMYFUNCTION("""COMPUTED_VALUE"""),"Tap 6 Clone (10/15/2021)")</f>
        <v>Tap 6 Clone (10/15/2021)</v>
      </c>
      <c r="H338" s="19"/>
    </row>
    <row r="339">
      <c r="A339" s="9"/>
      <c r="B339" s="15"/>
      <c r="C339" s="9">
        <f>IFERROR(__xludf.DUMMYFUNCTION("""COMPUTED_VALUE"""),44508.2807068865)</f>
        <v>44508.28071</v>
      </c>
      <c r="D339" s="15">
        <f>IFERROR(__xludf.DUMMYFUNCTION("""COMPUTED_VALUE"""),1.013)</f>
        <v>1.013</v>
      </c>
      <c r="E339" s="16">
        <f>IFERROR(__xludf.DUMMYFUNCTION("""COMPUTED_VALUE"""),64.0)</f>
        <v>64</v>
      </c>
      <c r="F339" s="19" t="str">
        <f>IFERROR(__xludf.DUMMYFUNCTION("""COMPUTED_VALUE"""),"BLACK")</f>
        <v>BLACK</v>
      </c>
      <c r="G339" s="20" t="str">
        <f>IFERROR(__xludf.DUMMYFUNCTION("""COMPUTED_VALUE"""),"Tap 6 Clone (10/15/2021)")</f>
        <v>Tap 6 Clone (10/15/2021)</v>
      </c>
      <c r="H339" s="19"/>
    </row>
    <row r="340">
      <c r="A340" s="9"/>
      <c r="B340" s="15"/>
      <c r="C340" s="9">
        <f>IFERROR(__xludf.DUMMYFUNCTION("""COMPUTED_VALUE"""),44508.2702831481)</f>
        <v>44508.27028</v>
      </c>
      <c r="D340" s="15">
        <f>IFERROR(__xludf.DUMMYFUNCTION("""COMPUTED_VALUE"""),1.013)</f>
        <v>1.013</v>
      </c>
      <c r="E340" s="16">
        <f>IFERROR(__xludf.DUMMYFUNCTION("""COMPUTED_VALUE"""),64.0)</f>
        <v>64</v>
      </c>
      <c r="F340" s="19" t="str">
        <f>IFERROR(__xludf.DUMMYFUNCTION("""COMPUTED_VALUE"""),"BLACK")</f>
        <v>BLACK</v>
      </c>
      <c r="G340" s="20" t="str">
        <f>IFERROR(__xludf.DUMMYFUNCTION("""COMPUTED_VALUE"""),"Tap 6 Clone (10/15/2021)")</f>
        <v>Tap 6 Clone (10/15/2021)</v>
      </c>
      <c r="H340" s="19"/>
    </row>
    <row r="341">
      <c r="A341" s="9"/>
      <c r="B341" s="15"/>
      <c r="C341" s="9">
        <f>IFERROR(__xludf.DUMMYFUNCTION("""COMPUTED_VALUE"""),44508.2598392013)</f>
        <v>44508.25984</v>
      </c>
      <c r="D341" s="15">
        <f>IFERROR(__xludf.DUMMYFUNCTION("""COMPUTED_VALUE"""),1.013)</f>
        <v>1.013</v>
      </c>
      <c r="E341" s="16">
        <f>IFERROR(__xludf.DUMMYFUNCTION("""COMPUTED_VALUE"""),64.0)</f>
        <v>64</v>
      </c>
      <c r="F341" s="19" t="str">
        <f>IFERROR(__xludf.DUMMYFUNCTION("""COMPUTED_VALUE"""),"BLACK")</f>
        <v>BLACK</v>
      </c>
      <c r="G341" s="20" t="str">
        <f>IFERROR(__xludf.DUMMYFUNCTION("""COMPUTED_VALUE"""),"Tap 6 Clone (10/15/2021)")</f>
        <v>Tap 6 Clone (10/15/2021)</v>
      </c>
      <c r="H341" s="19"/>
    </row>
    <row r="342">
      <c r="A342" s="9"/>
      <c r="B342" s="15"/>
      <c r="C342" s="9">
        <f>IFERROR(__xludf.DUMMYFUNCTION("""COMPUTED_VALUE"""),44508.2494086342)</f>
        <v>44508.24941</v>
      </c>
      <c r="D342" s="15">
        <f>IFERROR(__xludf.DUMMYFUNCTION("""COMPUTED_VALUE"""),1.013)</f>
        <v>1.013</v>
      </c>
      <c r="E342" s="16">
        <f>IFERROR(__xludf.DUMMYFUNCTION("""COMPUTED_VALUE"""),64.0)</f>
        <v>64</v>
      </c>
      <c r="F342" s="19" t="str">
        <f>IFERROR(__xludf.DUMMYFUNCTION("""COMPUTED_VALUE"""),"BLACK")</f>
        <v>BLACK</v>
      </c>
      <c r="G342" s="20" t="str">
        <f>IFERROR(__xludf.DUMMYFUNCTION("""COMPUTED_VALUE"""),"Tap 6 Clone (10/15/2021)")</f>
        <v>Tap 6 Clone (10/15/2021)</v>
      </c>
      <c r="H342" s="19"/>
    </row>
    <row r="343">
      <c r="A343" s="9"/>
      <c r="B343" s="15"/>
      <c r="C343" s="9">
        <f>IFERROR(__xludf.DUMMYFUNCTION("""COMPUTED_VALUE"""),44508.2389878472)</f>
        <v>44508.23899</v>
      </c>
      <c r="D343" s="15">
        <f>IFERROR(__xludf.DUMMYFUNCTION("""COMPUTED_VALUE"""),1.013)</f>
        <v>1.013</v>
      </c>
      <c r="E343" s="16">
        <f>IFERROR(__xludf.DUMMYFUNCTION("""COMPUTED_VALUE"""),64.0)</f>
        <v>64</v>
      </c>
      <c r="F343" s="19" t="str">
        <f>IFERROR(__xludf.DUMMYFUNCTION("""COMPUTED_VALUE"""),"BLACK")</f>
        <v>BLACK</v>
      </c>
      <c r="G343" s="20" t="str">
        <f>IFERROR(__xludf.DUMMYFUNCTION("""COMPUTED_VALUE"""),"Tap 6 Clone (10/15/2021)")</f>
        <v>Tap 6 Clone (10/15/2021)</v>
      </c>
      <c r="H343" s="19"/>
    </row>
    <row r="344">
      <c r="A344" s="9"/>
      <c r="B344" s="15"/>
      <c r="C344" s="9">
        <f>IFERROR(__xludf.DUMMYFUNCTION("""COMPUTED_VALUE"""),44508.228567037)</f>
        <v>44508.22857</v>
      </c>
      <c r="D344" s="15">
        <f>IFERROR(__xludf.DUMMYFUNCTION("""COMPUTED_VALUE"""),1.013)</f>
        <v>1.013</v>
      </c>
      <c r="E344" s="16">
        <f>IFERROR(__xludf.DUMMYFUNCTION("""COMPUTED_VALUE"""),64.0)</f>
        <v>64</v>
      </c>
      <c r="F344" s="19" t="str">
        <f>IFERROR(__xludf.DUMMYFUNCTION("""COMPUTED_VALUE"""),"BLACK")</f>
        <v>BLACK</v>
      </c>
      <c r="G344" s="20" t="str">
        <f>IFERROR(__xludf.DUMMYFUNCTION("""COMPUTED_VALUE"""),"Tap 6 Clone (10/15/2021)")</f>
        <v>Tap 6 Clone (10/15/2021)</v>
      </c>
      <c r="H344" s="19"/>
    </row>
    <row r="345">
      <c r="A345" s="9"/>
      <c r="B345" s="15"/>
      <c r="C345" s="9">
        <f>IFERROR(__xludf.DUMMYFUNCTION("""COMPUTED_VALUE"""),44508.2181447685)</f>
        <v>44508.21814</v>
      </c>
      <c r="D345" s="15">
        <f>IFERROR(__xludf.DUMMYFUNCTION("""COMPUTED_VALUE"""),1.013)</f>
        <v>1.013</v>
      </c>
      <c r="E345" s="16">
        <f>IFERROR(__xludf.DUMMYFUNCTION("""COMPUTED_VALUE"""),64.0)</f>
        <v>64</v>
      </c>
      <c r="F345" s="19" t="str">
        <f>IFERROR(__xludf.DUMMYFUNCTION("""COMPUTED_VALUE"""),"BLACK")</f>
        <v>BLACK</v>
      </c>
      <c r="G345" s="20" t="str">
        <f>IFERROR(__xludf.DUMMYFUNCTION("""COMPUTED_VALUE"""),"Tap 6 Clone (10/15/2021)")</f>
        <v>Tap 6 Clone (10/15/2021)</v>
      </c>
      <c r="H345" s="19"/>
    </row>
    <row r="346">
      <c r="A346" s="9"/>
      <c r="B346" s="15"/>
      <c r="C346" s="9">
        <f>IFERROR(__xludf.DUMMYFUNCTION("""COMPUTED_VALUE"""),44508.2077112152)</f>
        <v>44508.20771</v>
      </c>
      <c r="D346" s="15">
        <f>IFERROR(__xludf.DUMMYFUNCTION("""COMPUTED_VALUE"""),1.013)</f>
        <v>1.013</v>
      </c>
      <c r="E346" s="16">
        <f>IFERROR(__xludf.DUMMYFUNCTION("""COMPUTED_VALUE"""),64.0)</f>
        <v>64</v>
      </c>
      <c r="F346" s="19" t="str">
        <f>IFERROR(__xludf.DUMMYFUNCTION("""COMPUTED_VALUE"""),"BLACK")</f>
        <v>BLACK</v>
      </c>
      <c r="G346" s="20" t="str">
        <f>IFERROR(__xludf.DUMMYFUNCTION("""COMPUTED_VALUE"""),"Tap 6 Clone (10/15/2021)")</f>
        <v>Tap 6 Clone (10/15/2021)</v>
      </c>
      <c r="H346" s="19"/>
    </row>
    <row r="347">
      <c r="A347" s="9"/>
      <c r="B347" s="15"/>
      <c r="C347" s="9">
        <f>IFERROR(__xludf.DUMMYFUNCTION("""COMPUTED_VALUE"""),44508.1972898611)</f>
        <v>44508.19729</v>
      </c>
      <c r="D347" s="15">
        <f>IFERROR(__xludf.DUMMYFUNCTION("""COMPUTED_VALUE"""),1.013)</f>
        <v>1.013</v>
      </c>
      <c r="E347" s="16">
        <f>IFERROR(__xludf.DUMMYFUNCTION("""COMPUTED_VALUE"""),64.0)</f>
        <v>64</v>
      </c>
      <c r="F347" s="19" t="str">
        <f>IFERROR(__xludf.DUMMYFUNCTION("""COMPUTED_VALUE"""),"BLACK")</f>
        <v>BLACK</v>
      </c>
      <c r="G347" s="20" t="str">
        <f>IFERROR(__xludf.DUMMYFUNCTION("""COMPUTED_VALUE"""),"Tap 6 Clone (10/15/2021)")</f>
        <v>Tap 6 Clone (10/15/2021)</v>
      </c>
      <c r="H347" s="19"/>
    </row>
    <row r="348">
      <c r="A348" s="9"/>
      <c r="B348" s="15"/>
      <c r="C348" s="9">
        <f>IFERROR(__xludf.DUMMYFUNCTION("""COMPUTED_VALUE"""),44508.1868679861)</f>
        <v>44508.18687</v>
      </c>
      <c r="D348" s="15">
        <f>IFERROR(__xludf.DUMMYFUNCTION("""COMPUTED_VALUE"""),1.013)</f>
        <v>1.013</v>
      </c>
      <c r="E348" s="16">
        <f>IFERROR(__xludf.DUMMYFUNCTION("""COMPUTED_VALUE"""),64.0)</f>
        <v>64</v>
      </c>
      <c r="F348" s="19" t="str">
        <f>IFERROR(__xludf.DUMMYFUNCTION("""COMPUTED_VALUE"""),"BLACK")</f>
        <v>BLACK</v>
      </c>
      <c r="G348" s="20" t="str">
        <f>IFERROR(__xludf.DUMMYFUNCTION("""COMPUTED_VALUE"""),"Tap 6 Clone (10/15/2021)")</f>
        <v>Tap 6 Clone (10/15/2021)</v>
      </c>
      <c r="H348" s="19"/>
    </row>
    <row r="349">
      <c r="A349" s="9"/>
      <c r="B349" s="15"/>
      <c r="C349" s="9">
        <f>IFERROR(__xludf.DUMMYFUNCTION("""COMPUTED_VALUE"""),44508.1660125925)</f>
        <v>44508.16601</v>
      </c>
      <c r="D349" s="15">
        <f>IFERROR(__xludf.DUMMYFUNCTION("""COMPUTED_VALUE"""),1.013)</f>
        <v>1.013</v>
      </c>
      <c r="E349" s="16">
        <f>IFERROR(__xludf.DUMMYFUNCTION("""COMPUTED_VALUE"""),64.0)</f>
        <v>64</v>
      </c>
      <c r="F349" s="19" t="str">
        <f>IFERROR(__xludf.DUMMYFUNCTION("""COMPUTED_VALUE"""),"BLACK")</f>
        <v>BLACK</v>
      </c>
      <c r="G349" s="20" t="str">
        <f>IFERROR(__xludf.DUMMYFUNCTION("""COMPUTED_VALUE"""),"Tap 6 Clone (10/15/2021)")</f>
        <v>Tap 6 Clone (10/15/2021)</v>
      </c>
      <c r="H349" s="19"/>
    </row>
    <row r="350">
      <c r="A350" s="9"/>
      <c r="B350" s="15"/>
      <c r="C350" s="9">
        <f>IFERROR(__xludf.DUMMYFUNCTION("""COMPUTED_VALUE"""),44508.1555915625)</f>
        <v>44508.15559</v>
      </c>
      <c r="D350" s="15">
        <f>IFERROR(__xludf.DUMMYFUNCTION("""COMPUTED_VALUE"""),1.013)</f>
        <v>1.013</v>
      </c>
      <c r="E350" s="16">
        <f>IFERROR(__xludf.DUMMYFUNCTION("""COMPUTED_VALUE"""),64.0)</f>
        <v>64</v>
      </c>
      <c r="F350" s="19" t="str">
        <f>IFERROR(__xludf.DUMMYFUNCTION("""COMPUTED_VALUE"""),"BLACK")</f>
        <v>BLACK</v>
      </c>
      <c r="G350" s="20" t="str">
        <f>IFERROR(__xludf.DUMMYFUNCTION("""COMPUTED_VALUE"""),"Tap 6 Clone (10/15/2021)")</f>
        <v>Tap 6 Clone (10/15/2021)</v>
      </c>
      <c r="H350" s="19"/>
    </row>
    <row r="351">
      <c r="A351" s="9"/>
      <c r="B351" s="15"/>
      <c r="C351" s="9">
        <f>IFERROR(__xludf.DUMMYFUNCTION("""COMPUTED_VALUE"""),44508.1451696064)</f>
        <v>44508.14517</v>
      </c>
      <c r="D351" s="15">
        <f>IFERROR(__xludf.DUMMYFUNCTION("""COMPUTED_VALUE"""),1.013)</f>
        <v>1.013</v>
      </c>
      <c r="E351" s="16">
        <f>IFERROR(__xludf.DUMMYFUNCTION("""COMPUTED_VALUE"""),64.0)</f>
        <v>64</v>
      </c>
      <c r="F351" s="19" t="str">
        <f>IFERROR(__xludf.DUMMYFUNCTION("""COMPUTED_VALUE"""),"BLACK")</f>
        <v>BLACK</v>
      </c>
      <c r="G351" s="20" t="str">
        <f>IFERROR(__xludf.DUMMYFUNCTION("""COMPUTED_VALUE"""),"Tap 6 Clone (10/15/2021)")</f>
        <v>Tap 6 Clone (10/15/2021)</v>
      </c>
      <c r="H351" s="19"/>
    </row>
    <row r="352">
      <c r="A352" s="9"/>
      <c r="B352" s="15"/>
      <c r="C352" s="9">
        <f>IFERROR(__xludf.DUMMYFUNCTION("""COMPUTED_VALUE"""),44508.13474728)</f>
        <v>44508.13475</v>
      </c>
      <c r="D352" s="15">
        <f>IFERROR(__xludf.DUMMYFUNCTION("""COMPUTED_VALUE"""),1.013)</f>
        <v>1.013</v>
      </c>
      <c r="E352" s="16">
        <f>IFERROR(__xludf.DUMMYFUNCTION("""COMPUTED_VALUE"""),64.0)</f>
        <v>64</v>
      </c>
      <c r="F352" s="19" t="str">
        <f>IFERROR(__xludf.DUMMYFUNCTION("""COMPUTED_VALUE"""),"BLACK")</f>
        <v>BLACK</v>
      </c>
      <c r="G352" s="20" t="str">
        <f>IFERROR(__xludf.DUMMYFUNCTION("""COMPUTED_VALUE"""),"Tap 6 Clone (10/15/2021)")</f>
        <v>Tap 6 Clone (10/15/2021)</v>
      </c>
      <c r="H352" s="19"/>
    </row>
    <row r="353">
      <c r="A353" s="9"/>
      <c r="B353" s="15"/>
      <c r="C353" s="9">
        <f>IFERROR(__xludf.DUMMYFUNCTION("""COMPUTED_VALUE"""),44508.1243273495)</f>
        <v>44508.12433</v>
      </c>
      <c r="D353" s="15">
        <f>IFERROR(__xludf.DUMMYFUNCTION("""COMPUTED_VALUE"""),1.013)</f>
        <v>1.013</v>
      </c>
      <c r="E353" s="16">
        <f>IFERROR(__xludf.DUMMYFUNCTION("""COMPUTED_VALUE"""),64.0)</f>
        <v>64</v>
      </c>
      <c r="F353" s="19" t="str">
        <f>IFERROR(__xludf.DUMMYFUNCTION("""COMPUTED_VALUE"""),"BLACK")</f>
        <v>BLACK</v>
      </c>
      <c r="G353" s="20" t="str">
        <f>IFERROR(__xludf.DUMMYFUNCTION("""COMPUTED_VALUE"""),"Tap 6 Clone (10/15/2021)")</f>
        <v>Tap 6 Clone (10/15/2021)</v>
      </c>
      <c r="H353" s="19"/>
    </row>
    <row r="354">
      <c r="A354" s="9"/>
      <c r="B354" s="15"/>
      <c r="C354" s="9">
        <f>IFERROR(__xludf.DUMMYFUNCTION("""COMPUTED_VALUE"""),44508.1138931249)</f>
        <v>44508.11389</v>
      </c>
      <c r="D354" s="15">
        <f>IFERROR(__xludf.DUMMYFUNCTION("""COMPUTED_VALUE"""),1.013)</f>
        <v>1.013</v>
      </c>
      <c r="E354" s="16">
        <f>IFERROR(__xludf.DUMMYFUNCTION("""COMPUTED_VALUE"""),65.0)</f>
        <v>65</v>
      </c>
      <c r="F354" s="19" t="str">
        <f>IFERROR(__xludf.DUMMYFUNCTION("""COMPUTED_VALUE"""),"BLACK")</f>
        <v>BLACK</v>
      </c>
      <c r="G354" s="20" t="str">
        <f>IFERROR(__xludf.DUMMYFUNCTION("""COMPUTED_VALUE"""),"Tap 6 Clone (10/15/2021)")</f>
        <v>Tap 6 Clone (10/15/2021)</v>
      </c>
      <c r="H354" s="19"/>
    </row>
    <row r="355">
      <c r="A355" s="9"/>
      <c r="B355" s="15"/>
      <c r="C355" s="9">
        <f>IFERROR(__xludf.DUMMYFUNCTION("""COMPUTED_VALUE"""),44508.1034737152)</f>
        <v>44508.10347</v>
      </c>
      <c r="D355" s="15">
        <f>IFERROR(__xludf.DUMMYFUNCTION("""COMPUTED_VALUE"""),1.013)</f>
        <v>1.013</v>
      </c>
      <c r="E355" s="16">
        <f>IFERROR(__xludf.DUMMYFUNCTION("""COMPUTED_VALUE"""),64.0)</f>
        <v>64</v>
      </c>
      <c r="F355" s="19" t="str">
        <f>IFERROR(__xludf.DUMMYFUNCTION("""COMPUTED_VALUE"""),"BLACK")</f>
        <v>BLACK</v>
      </c>
      <c r="G355" s="20" t="str">
        <f>IFERROR(__xludf.DUMMYFUNCTION("""COMPUTED_VALUE"""),"Tap 6 Clone (10/15/2021)")</f>
        <v>Tap 6 Clone (10/15/2021)</v>
      </c>
      <c r="H355" s="19"/>
    </row>
    <row r="356">
      <c r="A356" s="9"/>
      <c r="B356" s="15"/>
      <c r="C356" s="9">
        <f>IFERROR(__xludf.DUMMYFUNCTION("""COMPUTED_VALUE"""),44508.09305375)</f>
        <v>44508.09305</v>
      </c>
      <c r="D356" s="15">
        <f>IFERROR(__xludf.DUMMYFUNCTION("""COMPUTED_VALUE"""),1.013)</f>
        <v>1.013</v>
      </c>
      <c r="E356" s="16">
        <f>IFERROR(__xludf.DUMMYFUNCTION("""COMPUTED_VALUE"""),65.0)</f>
        <v>65</v>
      </c>
      <c r="F356" s="19" t="str">
        <f>IFERROR(__xludf.DUMMYFUNCTION("""COMPUTED_VALUE"""),"BLACK")</f>
        <v>BLACK</v>
      </c>
      <c r="G356" s="20" t="str">
        <f>IFERROR(__xludf.DUMMYFUNCTION("""COMPUTED_VALUE"""),"Tap 6 Clone (10/15/2021)")</f>
        <v>Tap 6 Clone (10/15/2021)</v>
      </c>
      <c r="H356" s="19"/>
    </row>
    <row r="357">
      <c r="A357" s="9"/>
      <c r="B357" s="15"/>
      <c r="C357" s="9">
        <f>IFERROR(__xludf.DUMMYFUNCTION("""COMPUTED_VALUE"""),44508.0826318634)</f>
        <v>44508.08263</v>
      </c>
      <c r="D357" s="15">
        <f>IFERROR(__xludf.DUMMYFUNCTION("""COMPUTED_VALUE"""),1.013)</f>
        <v>1.013</v>
      </c>
      <c r="E357" s="16">
        <f>IFERROR(__xludf.DUMMYFUNCTION("""COMPUTED_VALUE"""),65.0)</f>
        <v>65</v>
      </c>
      <c r="F357" s="19" t="str">
        <f>IFERROR(__xludf.DUMMYFUNCTION("""COMPUTED_VALUE"""),"BLACK")</f>
        <v>BLACK</v>
      </c>
      <c r="G357" s="20" t="str">
        <f>IFERROR(__xludf.DUMMYFUNCTION("""COMPUTED_VALUE"""),"Tap 6 Clone (10/15/2021)")</f>
        <v>Tap 6 Clone (10/15/2021)</v>
      </c>
      <c r="H357" s="19"/>
    </row>
    <row r="358">
      <c r="A358" s="9"/>
      <c r="B358" s="15"/>
      <c r="C358" s="9">
        <f>IFERROR(__xludf.DUMMYFUNCTION("""COMPUTED_VALUE"""),44508.0721870023)</f>
        <v>44508.07219</v>
      </c>
      <c r="D358" s="15">
        <f>IFERROR(__xludf.DUMMYFUNCTION("""COMPUTED_VALUE"""),1.013)</f>
        <v>1.013</v>
      </c>
      <c r="E358" s="16">
        <f>IFERROR(__xludf.DUMMYFUNCTION("""COMPUTED_VALUE"""),65.0)</f>
        <v>65</v>
      </c>
      <c r="F358" s="19" t="str">
        <f>IFERROR(__xludf.DUMMYFUNCTION("""COMPUTED_VALUE"""),"BLACK")</f>
        <v>BLACK</v>
      </c>
      <c r="G358" s="20" t="str">
        <f>IFERROR(__xludf.DUMMYFUNCTION("""COMPUTED_VALUE"""),"Tap 6 Clone (10/15/2021)")</f>
        <v>Tap 6 Clone (10/15/2021)</v>
      </c>
      <c r="H358" s="19"/>
    </row>
    <row r="359">
      <c r="A359" s="9"/>
      <c r="B359" s="15"/>
      <c r="C359" s="9">
        <f>IFERROR(__xludf.DUMMYFUNCTION("""COMPUTED_VALUE"""),44508.061764456)</f>
        <v>44508.06176</v>
      </c>
      <c r="D359" s="15">
        <f>IFERROR(__xludf.DUMMYFUNCTION("""COMPUTED_VALUE"""),1.013)</f>
        <v>1.013</v>
      </c>
      <c r="E359" s="16">
        <f>IFERROR(__xludf.DUMMYFUNCTION("""COMPUTED_VALUE"""),64.0)</f>
        <v>64</v>
      </c>
      <c r="F359" s="19" t="str">
        <f>IFERROR(__xludf.DUMMYFUNCTION("""COMPUTED_VALUE"""),"BLACK")</f>
        <v>BLACK</v>
      </c>
      <c r="G359" s="20" t="str">
        <f>IFERROR(__xludf.DUMMYFUNCTION("""COMPUTED_VALUE"""),"Tap 6 Clone (10/15/2021)")</f>
        <v>Tap 6 Clone (10/15/2021)</v>
      </c>
      <c r="H359" s="19"/>
    </row>
    <row r="360">
      <c r="A360" s="9"/>
      <c r="B360" s="15"/>
      <c r="C360" s="9">
        <f>IFERROR(__xludf.DUMMYFUNCTION("""COMPUTED_VALUE"""),44508.0513427546)</f>
        <v>44508.05134</v>
      </c>
      <c r="D360" s="15">
        <f>IFERROR(__xludf.DUMMYFUNCTION("""COMPUTED_VALUE"""),1.012)</f>
        <v>1.012</v>
      </c>
      <c r="E360" s="16">
        <f>IFERROR(__xludf.DUMMYFUNCTION("""COMPUTED_VALUE"""),65.0)</f>
        <v>65</v>
      </c>
      <c r="F360" s="19" t="str">
        <f>IFERROR(__xludf.DUMMYFUNCTION("""COMPUTED_VALUE"""),"BLACK")</f>
        <v>BLACK</v>
      </c>
      <c r="G360" s="20" t="str">
        <f>IFERROR(__xludf.DUMMYFUNCTION("""COMPUTED_VALUE"""),"Tap 6 Clone (10/15/2021)")</f>
        <v>Tap 6 Clone (10/15/2021)</v>
      </c>
      <c r="H360" s="19"/>
    </row>
    <row r="361">
      <c r="A361" s="9"/>
      <c r="B361" s="15"/>
      <c r="C361" s="9">
        <f>IFERROR(__xludf.DUMMYFUNCTION("""COMPUTED_VALUE"""),44508.0409208217)</f>
        <v>44508.04092</v>
      </c>
      <c r="D361" s="15">
        <f>IFERROR(__xludf.DUMMYFUNCTION("""COMPUTED_VALUE"""),1.013)</f>
        <v>1.013</v>
      </c>
      <c r="E361" s="16">
        <f>IFERROR(__xludf.DUMMYFUNCTION("""COMPUTED_VALUE"""),65.0)</f>
        <v>65</v>
      </c>
      <c r="F361" s="19" t="str">
        <f>IFERROR(__xludf.DUMMYFUNCTION("""COMPUTED_VALUE"""),"BLACK")</f>
        <v>BLACK</v>
      </c>
      <c r="G361" s="20" t="str">
        <f>IFERROR(__xludf.DUMMYFUNCTION("""COMPUTED_VALUE"""),"Tap 6 Clone (10/15/2021)")</f>
        <v>Tap 6 Clone (10/15/2021)</v>
      </c>
      <c r="H361" s="19"/>
    </row>
    <row r="362">
      <c r="A362" s="9"/>
      <c r="B362" s="15"/>
      <c r="C362" s="9">
        <f>IFERROR(__xludf.DUMMYFUNCTION("""COMPUTED_VALUE"""),44508.0304885416)</f>
        <v>44508.03049</v>
      </c>
      <c r="D362" s="15">
        <f>IFERROR(__xludf.DUMMYFUNCTION("""COMPUTED_VALUE"""),1.013)</f>
        <v>1.013</v>
      </c>
      <c r="E362" s="16">
        <f>IFERROR(__xludf.DUMMYFUNCTION("""COMPUTED_VALUE"""),65.0)</f>
        <v>65</v>
      </c>
      <c r="F362" s="19" t="str">
        <f>IFERROR(__xludf.DUMMYFUNCTION("""COMPUTED_VALUE"""),"BLACK")</f>
        <v>BLACK</v>
      </c>
      <c r="G362" s="20" t="str">
        <f>IFERROR(__xludf.DUMMYFUNCTION("""COMPUTED_VALUE"""),"Tap 6 Clone (10/15/2021)")</f>
        <v>Tap 6 Clone (10/15/2021)</v>
      </c>
      <c r="H362" s="19"/>
    </row>
    <row r="363">
      <c r="A363" s="9"/>
      <c r="B363" s="15"/>
      <c r="C363" s="9">
        <f>IFERROR(__xludf.DUMMYFUNCTION("""COMPUTED_VALUE"""),44508.0200674305)</f>
        <v>44508.02007</v>
      </c>
      <c r="D363" s="15">
        <f>IFERROR(__xludf.DUMMYFUNCTION("""COMPUTED_VALUE"""),1.013)</f>
        <v>1.013</v>
      </c>
      <c r="E363" s="16">
        <f>IFERROR(__xludf.DUMMYFUNCTION("""COMPUTED_VALUE"""),65.0)</f>
        <v>65</v>
      </c>
      <c r="F363" s="19" t="str">
        <f>IFERROR(__xludf.DUMMYFUNCTION("""COMPUTED_VALUE"""),"BLACK")</f>
        <v>BLACK</v>
      </c>
      <c r="G363" s="20" t="str">
        <f>IFERROR(__xludf.DUMMYFUNCTION("""COMPUTED_VALUE"""),"Tap 6 Clone (10/15/2021)")</f>
        <v>Tap 6 Clone (10/15/2021)</v>
      </c>
      <c r="H363" s="19"/>
    </row>
    <row r="364">
      <c r="A364" s="9"/>
      <c r="B364" s="15"/>
      <c r="C364" s="9">
        <f>IFERROR(__xludf.DUMMYFUNCTION("""COMPUTED_VALUE"""),44508.0096455208)</f>
        <v>44508.00965</v>
      </c>
      <c r="D364" s="15">
        <f>IFERROR(__xludf.DUMMYFUNCTION("""COMPUTED_VALUE"""),1.013)</f>
        <v>1.013</v>
      </c>
      <c r="E364" s="16">
        <f>IFERROR(__xludf.DUMMYFUNCTION("""COMPUTED_VALUE"""),65.0)</f>
        <v>65</v>
      </c>
      <c r="F364" s="19" t="str">
        <f>IFERROR(__xludf.DUMMYFUNCTION("""COMPUTED_VALUE"""),"BLACK")</f>
        <v>BLACK</v>
      </c>
      <c r="G364" s="20" t="str">
        <f>IFERROR(__xludf.DUMMYFUNCTION("""COMPUTED_VALUE"""),"Tap 6 Clone (10/15/2021)")</f>
        <v>Tap 6 Clone (10/15/2021)</v>
      </c>
      <c r="H364" s="19"/>
    </row>
    <row r="365">
      <c r="A365" s="9"/>
      <c r="B365" s="15"/>
      <c r="C365" s="9">
        <f>IFERROR(__xludf.DUMMYFUNCTION("""COMPUTED_VALUE"""),44507.9992248495)</f>
        <v>44507.99922</v>
      </c>
      <c r="D365" s="15">
        <f>IFERROR(__xludf.DUMMYFUNCTION("""COMPUTED_VALUE"""),1.013)</f>
        <v>1.013</v>
      </c>
      <c r="E365" s="16">
        <f>IFERROR(__xludf.DUMMYFUNCTION("""COMPUTED_VALUE"""),65.0)</f>
        <v>65</v>
      </c>
      <c r="F365" s="19" t="str">
        <f>IFERROR(__xludf.DUMMYFUNCTION("""COMPUTED_VALUE"""),"BLACK")</f>
        <v>BLACK</v>
      </c>
      <c r="G365" s="20" t="str">
        <f>IFERROR(__xludf.DUMMYFUNCTION("""COMPUTED_VALUE"""),"Tap 6 Clone (10/15/2021)")</f>
        <v>Tap 6 Clone (10/15/2021)</v>
      </c>
      <c r="H365" s="19"/>
    </row>
    <row r="366">
      <c r="A366" s="9"/>
      <c r="B366" s="15"/>
      <c r="C366" s="9">
        <f>IFERROR(__xludf.DUMMYFUNCTION("""COMPUTED_VALUE"""),44507.9888028124)</f>
        <v>44507.9888</v>
      </c>
      <c r="D366" s="15">
        <f>IFERROR(__xludf.DUMMYFUNCTION("""COMPUTED_VALUE"""),1.013)</f>
        <v>1.013</v>
      </c>
      <c r="E366" s="16">
        <f>IFERROR(__xludf.DUMMYFUNCTION("""COMPUTED_VALUE"""),65.0)</f>
        <v>65</v>
      </c>
      <c r="F366" s="19" t="str">
        <f>IFERROR(__xludf.DUMMYFUNCTION("""COMPUTED_VALUE"""),"BLACK")</f>
        <v>BLACK</v>
      </c>
      <c r="G366" s="20" t="str">
        <f>IFERROR(__xludf.DUMMYFUNCTION("""COMPUTED_VALUE"""),"Tap 6 Clone (10/15/2021)")</f>
        <v>Tap 6 Clone (10/15/2021)</v>
      </c>
      <c r="H366" s="19"/>
    </row>
    <row r="367">
      <c r="A367" s="9"/>
      <c r="B367" s="15"/>
      <c r="C367" s="9">
        <f>IFERROR(__xludf.DUMMYFUNCTION("""COMPUTED_VALUE"""),44507.9783474537)</f>
        <v>44507.97835</v>
      </c>
      <c r="D367" s="15">
        <f>IFERROR(__xludf.DUMMYFUNCTION("""COMPUTED_VALUE"""),1.013)</f>
        <v>1.013</v>
      </c>
      <c r="E367" s="16">
        <f>IFERROR(__xludf.DUMMYFUNCTION("""COMPUTED_VALUE"""),65.0)</f>
        <v>65</v>
      </c>
      <c r="F367" s="19" t="str">
        <f>IFERROR(__xludf.DUMMYFUNCTION("""COMPUTED_VALUE"""),"BLACK")</f>
        <v>BLACK</v>
      </c>
      <c r="G367" s="20" t="str">
        <f>IFERROR(__xludf.DUMMYFUNCTION("""COMPUTED_VALUE"""),"Tap 6 Clone (10/15/2021)")</f>
        <v>Tap 6 Clone (10/15/2021)</v>
      </c>
      <c r="H367" s="19"/>
    </row>
    <row r="368">
      <c r="A368" s="9"/>
      <c r="B368" s="15"/>
      <c r="C368" s="9">
        <f>IFERROR(__xludf.DUMMYFUNCTION("""COMPUTED_VALUE"""),44507.9679165046)</f>
        <v>44507.96792</v>
      </c>
      <c r="D368" s="15">
        <f>IFERROR(__xludf.DUMMYFUNCTION("""COMPUTED_VALUE"""),1.013)</f>
        <v>1.013</v>
      </c>
      <c r="E368" s="16">
        <f>IFERROR(__xludf.DUMMYFUNCTION("""COMPUTED_VALUE"""),65.0)</f>
        <v>65</v>
      </c>
      <c r="F368" s="19" t="str">
        <f>IFERROR(__xludf.DUMMYFUNCTION("""COMPUTED_VALUE"""),"BLACK")</f>
        <v>BLACK</v>
      </c>
      <c r="G368" s="20" t="str">
        <f>IFERROR(__xludf.DUMMYFUNCTION("""COMPUTED_VALUE"""),"Tap 6 Clone (10/15/2021)")</f>
        <v>Tap 6 Clone (10/15/2021)</v>
      </c>
      <c r="H368" s="19"/>
    </row>
    <row r="369">
      <c r="A369" s="9"/>
      <c r="B369" s="15"/>
      <c r="C369" s="9">
        <f>IFERROR(__xludf.DUMMYFUNCTION("""COMPUTED_VALUE"""),44507.9574934837)</f>
        <v>44507.95749</v>
      </c>
      <c r="D369" s="15">
        <f>IFERROR(__xludf.DUMMYFUNCTION("""COMPUTED_VALUE"""),1.013)</f>
        <v>1.013</v>
      </c>
      <c r="E369" s="16">
        <f>IFERROR(__xludf.DUMMYFUNCTION("""COMPUTED_VALUE"""),65.0)</f>
        <v>65</v>
      </c>
      <c r="F369" s="19" t="str">
        <f>IFERROR(__xludf.DUMMYFUNCTION("""COMPUTED_VALUE"""),"BLACK")</f>
        <v>BLACK</v>
      </c>
      <c r="G369" s="20" t="str">
        <f>IFERROR(__xludf.DUMMYFUNCTION("""COMPUTED_VALUE"""),"Tap 6 Clone (10/15/2021)")</f>
        <v>Tap 6 Clone (10/15/2021)</v>
      </c>
      <c r="H369" s="19"/>
    </row>
    <row r="370">
      <c r="A370" s="9"/>
      <c r="B370" s="15"/>
      <c r="C370" s="9">
        <f>IFERROR(__xludf.DUMMYFUNCTION("""COMPUTED_VALUE"""),44507.9470712847)</f>
        <v>44507.94707</v>
      </c>
      <c r="D370" s="15">
        <f>IFERROR(__xludf.DUMMYFUNCTION("""COMPUTED_VALUE"""),1.013)</f>
        <v>1.013</v>
      </c>
      <c r="E370" s="16">
        <f>IFERROR(__xludf.DUMMYFUNCTION("""COMPUTED_VALUE"""),65.0)</f>
        <v>65</v>
      </c>
      <c r="F370" s="19" t="str">
        <f>IFERROR(__xludf.DUMMYFUNCTION("""COMPUTED_VALUE"""),"BLACK")</f>
        <v>BLACK</v>
      </c>
      <c r="G370" s="20" t="str">
        <f>IFERROR(__xludf.DUMMYFUNCTION("""COMPUTED_VALUE"""),"Tap 6 Clone (10/15/2021)")</f>
        <v>Tap 6 Clone (10/15/2021)</v>
      </c>
      <c r="H370" s="19"/>
    </row>
    <row r="371">
      <c r="A371" s="9"/>
      <c r="B371" s="15"/>
      <c r="C371" s="9">
        <f>IFERROR(__xludf.DUMMYFUNCTION("""COMPUTED_VALUE"""),44507.9366520601)</f>
        <v>44507.93665</v>
      </c>
      <c r="D371" s="15">
        <f>IFERROR(__xludf.DUMMYFUNCTION("""COMPUTED_VALUE"""),1.013)</f>
        <v>1.013</v>
      </c>
      <c r="E371" s="16">
        <f>IFERROR(__xludf.DUMMYFUNCTION("""COMPUTED_VALUE"""),65.0)</f>
        <v>65</v>
      </c>
      <c r="F371" s="19" t="str">
        <f>IFERROR(__xludf.DUMMYFUNCTION("""COMPUTED_VALUE"""),"BLACK")</f>
        <v>BLACK</v>
      </c>
      <c r="G371" s="20" t="str">
        <f>IFERROR(__xludf.DUMMYFUNCTION("""COMPUTED_VALUE"""),"Tap 6 Clone (10/15/2021)")</f>
        <v>Tap 6 Clone (10/15/2021)</v>
      </c>
      <c r="H371" s="19"/>
    </row>
    <row r="372">
      <c r="A372" s="9"/>
      <c r="B372" s="15"/>
      <c r="C372" s="9">
        <f>IFERROR(__xludf.DUMMYFUNCTION("""COMPUTED_VALUE"""),44507.9262305671)</f>
        <v>44507.92623</v>
      </c>
      <c r="D372" s="15">
        <f>IFERROR(__xludf.DUMMYFUNCTION("""COMPUTED_VALUE"""),1.013)</f>
        <v>1.013</v>
      </c>
      <c r="E372" s="16">
        <f>IFERROR(__xludf.DUMMYFUNCTION("""COMPUTED_VALUE"""),65.0)</f>
        <v>65</v>
      </c>
      <c r="F372" s="19" t="str">
        <f>IFERROR(__xludf.DUMMYFUNCTION("""COMPUTED_VALUE"""),"BLACK")</f>
        <v>BLACK</v>
      </c>
      <c r="G372" s="20" t="str">
        <f>IFERROR(__xludf.DUMMYFUNCTION("""COMPUTED_VALUE"""),"Tap 6 Clone (10/15/2021)")</f>
        <v>Tap 6 Clone (10/15/2021)</v>
      </c>
      <c r="H372" s="19"/>
    </row>
    <row r="373">
      <c r="A373" s="9"/>
      <c r="B373" s="15"/>
      <c r="C373" s="9">
        <f>IFERROR(__xludf.DUMMYFUNCTION("""COMPUTED_VALUE"""),44507.9158090625)</f>
        <v>44507.91581</v>
      </c>
      <c r="D373" s="15">
        <f>IFERROR(__xludf.DUMMYFUNCTION("""COMPUTED_VALUE"""),1.013)</f>
        <v>1.013</v>
      </c>
      <c r="E373" s="16">
        <f>IFERROR(__xludf.DUMMYFUNCTION("""COMPUTED_VALUE"""),64.0)</f>
        <v>64</v>
      </c>
      <c r="F373" s="19" t="str">
        <f>IFERROR(__xludf.DUMMYFUNCTION("""COMPUTED_VALUE"""),"BLACK")</f>
        <v>BLACK</v>
      </c>
      <c r="G373" s="20" t="str">
        <f>IFERROR(__xludf.DUMMYFUNCTION("""COMPUTED_VALUE"""),"Tap 6 Clone (10/15/2021)")</f>
        <v>Tap 6 Clone (10/15/2021)</v>
      </c>
      <c r="H373" s="19"/>
    </row>
    <row r="374">
      <c r="A374" s="9"/>
      <c r="B374" s="15"/>
      <c r="C374" s="9">
        <f>IFERROR(__xludf.DUMMYFUNCTION("""COMPUTED_VALUE"""),44507.9053889351)</f>
        <v>44507.90539</v>
      </c>
      <c r="D374" s="15">
        <f>IFERROR(__xludf.DUMMYFUNCTION("""COMPUTED_VALUE"""),1.013)</f>
        <v>1.013</v>
      </c>
      <c r="E374" s="16">
        <f>IFERROR(__xludf.DUMMYFUNCTION("""COMPUTED_VALUE"""),64.0)</f>
        <v>64</v>
      </c>
      <c r="F374" s="19" t="str">
        <f>IFERROR(__xludf.DUMMYFUNCTION("""COMPUTED_VALUE"""),"BLACK")</f>
        <v>BLACK</v>
      </c>
      <c r="G374" s="20" t="str">
        <f>IFERROR(__xludf.DUMMYFUNCTION("""COMPUTED_VALUE"""),"Tap 6 Clone (10/15/2021)")</f>
        <v>Tap 6 Clone (10/15/2021)</v>
      </c>
      <c r="H374" s="19"/>
    </row>
    <row r="375">
      <c r="A375" s="9"/>
      <c r="B375" s="15"/>
      <c r="C375" s="9">
        <f>IFERROR(__xludf.DUMMYFUNCTION("""COMPUTED_VALUE"""),44507.8949660532)</f>
        <v>44507.89497</v>
      </c>
      <c r="D375" s="15">
        <f>IFERROR(__xludf.DUMMYFUNCTION("""COMPUTED_VALUE"""),1.013)</f>
        <v>1.013</v>
      </c>
      <c r="E375" s="16">
        <f>IFERROR(__xludf.DUMMYFUNCTION("""COMPUTED_VALUE"""),64.0)</f>
        <v>64</v>
      </c>
      <c r="F375" s="19" t="str">
        <f>IFERROR(__xludf.DUMMYFUNCTION("""COMPUTED_VALUE"""),"BLACK")</f>
        <v>BLACK</v>
      </c>
      <c r="G375" s="20" t="str">
        <f>IFERROR(__xludf.DUMMYFUNCTION("""COMPUTED_VALUE"""),"Tap 6 Clone (10/15/2021)")</f>
        <v>Tap 6 Clone (10/15/2021)</v>
      </c>
      <c r="H375" s="19"/>
    </row>
    <row r="376">
      <c r="A376" s="9"/>
      <c r="B376" s="15"/>
      <c r="C376" s="9">
        <f>IFERROR(__xludf.DUMMYFUNCTION("""COMPUTED_VALUE"""),44507.8845342245)</f>
        <v>44507.88453</v>
      </c>
      <c r="D376" s="15">
        <f>IFERROR(__xludf.DUMMYFUNCTION("""COMPUTED_VALUE"""),1.013)</f>
        <v>1.013</v>
      </c>
      <c r="E376" s="16">
        <f>IFERROR(__xludf.DUMMYFUNCTION("""COMPUTED_VALUE"""),64.0)</f>
        <v>64</v>
      </c>
      <c r="F376" s="19" t="str">
        <f>IFERROR(__xludf.DUMMYFUNCTION("""COMPUTED_VALUE"""),"BLACK")</f>
        <v>BLACK</v>
      </c>
      <c r="G376" s="20" t="str">
        <f>IFERROR(__xludf.DUMMYFUNCTION("""COMPUTED_VALUE"""),"Tap 6 Clone (10/15/2021)")</f>
        <v>Tap 6 Clone (10/15/2021)</v>
      </c>
      <c r="H376" s="19"/>
    </row>
    <row r="377">
      <c r="A377" s="9"/>
      <c r="B377" s="15"/>
      <c r="C377" s="9">
        <f>IFERROR(__xludf.DUMMYFUNCTION("""COMPUTED_VALUE"""),44507.8741000694)</f>
        <v>44507.8741</v>
      </c>
      <c r="D377" s="15">
        <f>IFERROR(__xludf.DUMMYFUNCTION("""COMPUTED_VALUE"""),1.013)</f>
        <v>1.013</v>
      </c>
      <c r="E377" s="16">
        <f>IFERROR(__xludf.DUMMYFUNCTION("""COMPUTED_VALUE"""),64.0)</f>
        <v>64</v>
      </c>
      <c r="F377" s="19" t="str">
        <f>IFERROR(__xludf.DUMMYFUNCTION("""COMPUTED_VALUE"""),"BLACK")</f>
        <v>BLACK</v>
      </c>
      <c r="G377" s="20" t="str">
        <f>IFERROR(__xludf.DUMMYFUNCTION("""COMPUTED_VALUE"""),"Tap 6 Clone (10/15/2021)")</f>
        <v>Tap 6 Clone (10/15/2021)</v>
      </c>
      <c r="H377" s="19"/>
    </row>
    <row r="378">
      <c r="A378" s="9"/>
      <c r="B378" s="15"/>
      <c r="C378" s="9">
        <f>IFERROR(__xludf.DUMMYFUNCTION("""COMPUTED_VALUE"""),44507.8636788773)</f>
        <v>44507.86368</v>
      </c>
      <c r="D378" s="15">
        <f>IFERROR(__xludf.DUMMYFUNCTION("""COMPUTED_VALUE"""),1.013)</f>
        <v>1.013</v>
      </c>
      <c r="E378" s="16">
        <f>IFERROR(__xludf.DUMMYFUNCTION("""COMPUTED_VALUE"""),65.0)</f>
        <v>65</v>
      </c>
      <c r="F378" s="19" t="str">
        <f>IFERROR(__xludf.DUMMYFUNCTION("""COMPUTED_VALUE"""),"BLACK")</f>
        <v>BLACK</v>
      </c>
      <c r="G378" s="20" t="str">
        <f>IFERROR(__xludf.DUMMYFUNCTION("""COMPUTED_VALUE"""),"Tap 6 Clone (10/15/2021)")</f>
        <v>Tap 6 Clone (10/15/2021)</v>
      </c>
      <c r="H378" s="19"/>
    </row>
    <row r="379">
      <c r="A379" s="9"/>
      <c r="B379" s="15"/>
      <c r="C379" s="9">
        <f>IFERROR(__xludf.DUMMYFUNCTION("""COMPUTED_VALUE"""),44507.8532585185)</f>
        <v>44507.85326</v>
      </c>
      <c r="D379" s="15">
        <f>IFERROR(__xludf.DUMMYFUNCTION("""COMPUTED_VALUE"""),1.013)</f>
        <v>1.013</v>
      </c>
      <c r="E379" s="16">
        <f>IFERROR(__xludf.DUMMYFUNCTION("""COMPUTED_VALUE"""),64.0)</f>
        <v>64</v>
      </c>
      <c r="F379" s="19" t="str">
        <f>IFERROR(__xludf.DUMMYFUNCTION("""COMPUTED_VALUE"""),"BLACK")</f>
        <v>BLACK</v>
      </c>
      <c r="G379" s="20" t="str">
        <f>IFERROR(__xludf.DUMMYFUNCTION("""COMPUTED_VALUE"""),"Tap 6 Clone (10/15/2021)")</f>
        <v>Tap 6 Clone (10/15/2021)</v>
      </c>
      <c r="H379" s="19"/>
    </row>
    <row r="380">
      <c r="A380" s="9"/>
      <c r="B380" s="15"/>
      <c r="C380" s="9">
        <f>IFERROR(__xludf.DUMMYFUNCTION("""COMPUTED_VALUE"""),44507.8428390393)</f>
        <v>44507.84284</v>
      </c>
      <c r="D380" s="15">
        <f>IFERROR(__xludf.DUMMYFUNCTION("""COMPUTED_VALUE"""),1.013)</f>
        <v>1.013</v>
      </c>
      <c r="E380" s="16">
        <f>IFERROR(__xludf.DUMMYFUNCTION("""COMPUTED_VALUE"""),65.0)</f>
        <v>65</v>
      </c>
      <c r="F380" s="19" t="str">
        <f>IFERROR(__xludf.DUMMYFUNCTION("""COMPUTED_VALUE"""),"BLACK")</f>
        <v>BLACK</v>
      </c>
      <c r="G380" s="20" t="str">
        <f>IFERROR(__xludf.DUMMYFUNCTION("""COMPUTED_VALUE"""),"Tap 6 Clone (10/15/2021)")</f>
        <v>Tap 6 Clone (10/15/2021)</v>
      </c>
      <c r="H380" s="19"/>
    </row>
    <row r="381">
      <c r="A381" s="9"/>
      <c r="B381" s="15"/>
      <c r="C381" s="9">
        <f>IFERROR(__xludf.DUMMYFUNCTION("""COMPUTED_VALUE"""),44507.8324066666)</f>
        <v>44507.83241</v>
      </c>
      <c r="D381" s="15">
        <f>IFERROR(__xludf.DUMMYFUNCTION("""COMPUTED_VALUE"""),1.013)</f>
        <v>1.013</v>
      </c>
      <c r="E381" s="16">
        <f>IFERROR(__xludf.DUMMYFUNCTION("""COMPUTED_VALUE"""),64.0)</f>
        <v>64</v>
      </c>
      <c r="F381" s="19" t="str">
        <f>IFERROR(__xludf.DUMMYFUNCTION("""COMPUTED_VALUE"""),"BLACK")</f>
        <v>BLACK</v>
      </c>
      <c r="G381" s="20" t="str">
        <f>IFERROR(__xludf.DUMMYFUNCTION("""COMPUTED_VALUE"""),"Tap 6 Clone (10/15/2021)")</f>
        <v>Tap 6 Clone (10/15/2021)</v>
      </c>
      <c r="H381" s="19"/>
    </row>
    <row r="382">
      <c r="A382" s="9"/>
      <c r="B382" s="15"/>
      <c r="C382" s="9">
        <f>IFERROR(__xludf.DUMMYFUNCTION("""COMPUTED_VALUE"""),44507.8219728356)</f>
        <v>44507.82197</v>
      </c>
      <c r="D382" s="15">
        <f>IFERROR(__xludf.DUMMYFUNCTION("""COMPUTED_VALUE"""),1.013)</f>
        <v>1.013</v>
      </c>
      <c r="E382" s="16">
        <f>IFERROR(__xludf.DUMMYFUNCTION("""COMPUTED_VALUE"""),64.0)</f>
        <v>64</v>
      </c>
      <c r="F382" s="19" t="str">
        <f>IFERROR(__xludf.DUMMYFUNCTION("""COMPUTED_VALUE"""),"BLACK")</f>
        <v>BLACK</v>
      </c>
      <c r="G382" s="20" t="str">
        <f>IFERROR(__xludf.DUMMYFUNCTION("""COMPUTED_VALUE"""),"Tap 6 Clone (10/15/2021)")</f>
        <v>Tap 6 Clone (10/15/2021)</v>
      </c>
      <c r="H382" s="19"/>
    </row>
    <row r="383">
      <c r="A383" s="9"/>
      <c r="B383" s="15"/>
      <c r="C383" s="9">
        <f>IFERROR(__xludf.DUMMYFUNCTION("""COMPUTED_VALUE"""),44507.8115498611)</f>
        <v>44507.81155</v>
      </c>
      <c r="D383" s="15">
        <f>IFERROR(__xludf.DUMMYFUNCTION("""COMPUTED_VALUE"""),1.013)</f>
        <v>1.013</v>
      </c>
      <c r="E383" s="16">
        <f>IFERROR(__xludf.DUMMYFUNCTION("""COMPUTED_VALUE"""),64.0)</f>
        <v>64</v>
      </c>
      <c r="F383" s="19" t="str">
        <f>IFERROR(__xludf.DUMMYFUNCTION("""COMPUTED_VALUE"""),"BLACK")</f>
        <v>BLACK</v>
      </c>
      <c r="G383" s="20" t="str">
        <f>IFERROR(__xludf.DUMMYFUNCTION("""COMPUTED_VALUE"""),"Tap 6 Clone (10/15/2021)")</f>
        <v>Tap 6 Clone (10/15/2021)</v>
      </c>
      <c r="H383" s="19"/>
    </row>
    <row r="384">
      <c r="A384" s="9"/>
      <c r="B384" s="15"/>
      <c r="C384" s="9">
        <f>IFERROR(__xludf.DUMMYFUNCTION("""COMPUTED_VALUE"""),44507.8011266898)</f>
        <v>44507.80113</v>
      </c>
      <c r="D384" s="15">
        <f>IFERROR(__xludf.DUMMYFUNCTION("""COMPUTED_VALUE"""),1.013)</f>
        <v>1.013</v>
      </c>
      <c r="E384" s="16">
        <f>IFERROR(__xludf.DUMMYFUNCTION("""COMPUTED_VALUE"""),64.0)</f>
        <v>64</v>
      </c>
      <c r="F384" s="19" t="str">
        <f>IFERROR(__xludf.DUMMYFUNCTION("""COMPUTED_VALUE"""),"BLACK")</f>
        <v>BLACK</v>
      </c>
      <c r="G384" s="20" t="str">
        <f>IFERROR(__xludf.DUMMYFUNCTION("""COMPUTED_VALUE"""),"Tap 6 Clone (10/15/2021)")</f>
        <v>Tap 6 Clone (10/15/2021)</v>
      </c>
      <c r="H384" s="19"/>
    </row>
    <row r="385">
      <c r="A385" s="9"/>
      <c r="B385" s="15"/>
      <c r="C385" s="9">
        <f>IFERROR(__xludf.DUMMYFUNCTION("""COMPUTED_VALUE"""),44507.7907045023)</f>
        <v>44507.7907</v>
      </c>
      <c r="D385" s="15">
        <f>IFERROR(__xludf.DUMMYFUNCTION("""COMPUTED_VALUE"""),1.013)</f>
        <v>1.013</v>
      </c>
      <c r="E385" s="16">
        <f>IFERROR(__xludf.DUMMYFUNCTION("""COMPUTED_VALUE"""),64.0)</f>
        <v>64</v>
      </c>
      <c r="F385" s="19" t="str">
        <f>IFERROR(__xludf.DUMMYFUNCTION("""COMPUTED_VALUE"""),"BLACK")</f>
        <v>BLACK</v>
      </c>
      <c r="G385" s="20" t="str">
        <f>IFERROR(__xludf.DUMMYFUNCTION("""COMPUTED_VALUE"""),"Tap 6 Clone (10/15/2021)")</f>
        <v>Tap 6 Clone (10/15/2021)</v>
      </c>
      <c r="H385" s="19"/>
    </row>
    <row r="386">
      <c r="A386" s="9"/>
      <c r="B386" s="15"/>
      <c r="C386" s="9">
        <f>IFERROR(__xludf.DUMMYFUNCTION("""COMPUTED_VALUE"""),44507.7802834953)</f>
        <v>44507.78028</v>
      </c>
      <c r="D386" s="15">
        <f>IFERROR(__xludf.DUMMYFUNCTION("""COMPUTED_VALUE"""),1.013)</f>
        <v>1.013</v>
      </c>
      <c r="E386" s="16">
        <f>IFERROR(__xludf.DUMMYFUNCTION("""COMPUTED_VALUE"""),64.0)</f>
        <v>64</v>
      </c>
      <c r="F386" s="19" t="str">
        <f>IFERROR(__xludf.DUMMYFUNCTION("""COMPUTED_VALUE"""),"BLACK")</f>
        <v>BLACK</v>
      </c>
      <c r="G386" s="20" t="str">
        <f>IFERROR(__xludf.DUMMYFUNCTION("""COMPUTED_VALUE"""),"Tap 6 Clone (10/15/2021)")</f>
        <v>Tap 6 Clone (10/15/2021)</v>
      </c>
      <c r="H386" s="19"/>
    </row>
    <row r="387">
      <c r="A387" s="9"/>
      <c r="B387" s="15"/>
      <c r="C387" s="9">
        <f>IFERROR(__xludf.DUMMYFUNCTION("""COMPUTED_VALUE"""),44507.7698620023)</f>
        <v>44507.76986</v>
      </c>
      <c r="D387" s="15">
        <f>IFERROR(__xludf.DUMMYFUNCTION("""COMPUTED_VALUE"""),1.013)</f>
        <v>1.013</v>
      </c>
      <c r="E387" s="16">
        <f>IFERROR(__xludf.DUMMYFUNCTION("""COMPUTED_VALUE"""),64.0)</f>
        <v>64</v>
      </c>
      <c r="F387" s="19" t="str">
        <f>IFERROR(__xludf.DUMMYFUNCTION("""COMPUTED_VALUE"""),"BLACK")</f>
        <v>BLACK</v>
      </c>
      <c r="G387" s="20" t="str">
        <f>IFERROR(__xludf.DUMMYFUNCTION("""COMPUTED_VALUE"""),"Tap 6 Clone (10/15/2021)")</f>
        <v>Tap 6 Clone (10/15/2021)</v>
      </c>
      <c r="H387" s="19"/>
    </row>
    <row r="388">
      <c r="A388" s="9"/>
      <c r="B388" s="15"/>
      <c r="C388" s="9">
        <f>IFERROR(__xludf.DUMMYFUNCTION("""COMPUTED_VALUE"""),44507.7594401851)</f>
        <v>44507.75944</v>
      </c>
      <c r="D388" s="15">
        <f>IFERROR(__xludf.DUMMYFUNCTION("""COMPUTED_VALUE"""),1.013)</f>
        <v>1.013</v>
      </c>
      <c r="E388" s="16">
        <f>IFERROR(__xludf.DUMMYFUNCTION("""COMPUTED_VALUE"""),65.0)</f>
        <v>65</v>
      </c>
      <c r="F388" s="19" t="str">
        <f>IFERROR(__xludf.DUMMYFUNCTION("""COMPUTED_VALUE"""),"BLACK")</f>
        <v>BLACK</v>
      </c>
      <c r="G388" s="20" t="str">
        <f>IFERROR(__xludf.DUMMYFUNCTION("""COMPUTED_VALUE"""),"Tap 6 Clone (10/15/2021)")</f>
        <v>Tap 6 Clone (10/15/2021)</v>
      </c>
      <c r="H388" s="19"/>
    </row>
    <row r="389">
      <c r="A389" s="9"/>
      <c r="B389" s="15"/>
      <c r="C389" s="9">
        <f>IFERROR(__xludf.DUMMYFUNCTION("""COMPUTED_VALUE"""),44507.749007199)</f>
        <v>44507.74901</v>
      </c>
      <c r="D389" s="15">
        <f>IFERROR(__xludf.DUMMYFUNCTION("""COMPUTED_VALUE"""),1.013)</f>
        <v>1.013</v>
      </c>
      <c r="E389" s="16">
        <f>IFERROR(__xludf.DUMMYFUNCTION("""COMPUTED_VALUE"""),64.0)</f>
        <v>64</v>
      </c>
      <c r="F389" s="19" t="str">
        <f>IFERROR(__xludf.DUMMYFUNCTION("""COMPUTED_VALUE"""),"BLACK")</f>
        <v>BLACK</v>
      </c>
      <c r="G389" s="20" t="str">
        <f>IFERROR(__xludf.DUMMYFUNCTION("""COMPUTED_VALUE"""),"Tap 6 Clone (10/15/2021)")</f>
        <v>Tap 6 Clone (10/15/2021)</v>
      </c>
      <c r="H389" s="19"/>
    </row>
    <row r="390">
      <c r="A390" s="9"/>
      <c r="B390" s="15"/>
      <c r="C390" s="9">
        <f>IFERROR(__xludf.DUMMYFUNCTION("""COMPUTED_VALUE"""),44507.7385858449)</f>
        <v>44507.73859</v>
      </c>
      <c r="D390" s="15">
        <f>IFERROR(__xludf.DUMMYFUNCTION("""COMPUTED_VALUE"""),1.013)</f>
        <v>1.013</v>
      </c>
      <c r="E390" s="16">
        <f>IFERROR(__xludf.DUMMYFUNCTION("""COMPUTED_VALUE"""),64.0)</f>
        <v>64</v>
      </c>
      <c r="F390" s="19" t="str">
        <f>IFERROR(__xludf.DUMMYFUNCTION("""COMPUTED_VALUE"""),"BLACK")</f>
        <v>BLACK</v>
      </c>
      <c r="G390" s="20" t="str">
        <f>IFERROR(__xludf.DUMMYFUNCTION("""COMPUTED_VALUE"""),"Tap 6 Clone (10/15/2021)")</f>
        <v>Tap 6 Clone (10/15/2021)</v>
      </c>
      <c r="H390" s="19"/>
    </row>
    <row r="391">
      <c r="A391" s="9"/>
      <c r="B391" s="15"/>
      <c r="C391" s="9">
        <f>IFERROR(__xludf.DUMMYFUNCTION("""COMPUTED_VALUE"""),44507.7281638078)</f>
        <v>44507.72816</v>
      </c>
      <c r="D391" s="15">
        <f>IFERROR(__xludf.DUMMYFUNCTION("""COMPUTED_VALUE"""),1.013)</f>
        <v>1.013</v>
      </c>
      <c r="E391" s="16">
        <f>IFERROR(__xludf.DUMMYFUNCTION("""COMPUTED_VALUE"""),64.0)</f>
        <v>64</v>
      </c>
      <c r="F391" s="19" t="str">
        <f>IFERROR(__xludf.DUMMYFUNCTION("""COMPUTED_VALUE"""),"BLACK")</f>
        <v>BLACK</v>
      </c>
      <c r="G391" s="20" t="str">
        <f>IFERROR(__xludf.DUMMYFUNCTION("""COMPUTED_VALUE"""),"Tap 6 Clone (10/15/2021)")</f>
        <v>Tap 6 Clone (10/15/2021)</v>
      </c>
      <c r="H391" s="19"/>
    </row>
    <row r="392">
      <c r="A392" s="9"/>
      <c r="B392" s="15"/>
      <c r="C392" s="9">
        <f>IFERROR(__xludf.DUMMYFUNCTION("""COMPUTED_VALUE"""),44507.7177419328)</f>
        <v>44507.71774</v>
      </c>
      <c r="D392" s="15">
        <f>IFERROR(__xludf.DUMMYFUNCTION("""COMPUTED_VALUE"""),1.013)</f>
        <v>1.013</v>
      </c>
      <c r="E392" s="16">
        <f>IFERROR(__xludf.DUMMYFUNCTION("""COMPUTED_VALUE"""),64.0)</f>
        <v>64</v>
      </c>
      <c r="F392" s="19" t="str">
        <f>IFERROR(__xludf.DUMMYFUNCTION("""COMPUTED_VALUE"""),"BLACK")</f>
        <v>BLACK</v>
      </c>
      <c r="G392" s="20" t="str">
        <f>IFERROR(__xludf.DUMMYFUNCTION("""COMPUTED_VALUE"""),"Tap 6 Clone (10/15/2021)")</f>
        <v>Tap 6 Clone (10/15/2021)</v>
      </c>
      <c r="H392" s="19"/>
    </row>
    <row r="393">
      <c r="A393" s="9"/>
      <c r="B393" s="15"/>
      <c r="C393" s="9">
        <f>IFERROR(__xludf.DUMMYFUNCTION("""COMPUTED_VALUE"""),44507.7073213888)</f>
        <v>44507.70732</v>
      </c>
      <c r="D393" s="15">
        <f>IFERROR(__xludf.DUMMYFUNCTION("""COMPUTED_VALUE"""),1.013)</f>
        <v>1.013</v>
      </c>
      <c r="E393" s="16">
        <f>IFERROR(__xludf.DUMMYFUNCTION("""COMPUTED_VALUE"""),64.0)</f>
        <v>64</v>
      </c>
      <c r="F393" s="19" t="str">
        <f>IFERROR(__xludf.DUMMYFUNCTION("""COMPUTED_VALUE"""),"BLACK")</f>
        <v>BLACK</v>
      </c>
      <c r="G393" s="20" t="str">
        <f>IFERROR(__xludf.DUMMYFUNCTION("""COMPUTED_VALUE"""),"Tap 6 Clone (10/15/2021)")</f>
        <v>Tap 6 Clone (10/15/2021)</v>
      </c>
      <c r="H393" s="19"/>
    </row>
    <row r="394">
      <c r="A394" s="9"/>
      <c r="B394" s="15"/>
      <c r="C394" s="9">
        <f>IFERROR(__xludf.DUMMYFUNCTION("""COMPUTED_VALUE"""),44507.6968994328)</f>
        <v>44507.6969</v>
      </c>
      <c r="D394" s="15">
        <f>IFERROR(__xludf.DUMMYFUNCTION("""COMPUTED_VALUE"""),1.013)</f>
        <v>1.013</v>
      </c>
      <c r="E394" s="16">
        <f>IFERROR(__xludf.DUMMYFUNCTION("""COMPUTED_VALUE"""),65.0)</f>
        <v>65</v>
      </c>
      <c r="F394" s="19" t="str">
        <f>IFERROR(__xludf.DUMMYFUNCTION("""COMPUTED_VALUE"""),"BLACK")</f>
        <v>BLACK</v>
      </c>
      <c r="G394" s="20" t="str">
        <f>IFERROR(__xludf.DUMMYFUNCTION("""COMPUTED_VALUE"""),"Tap 6 Clone (10/15/2021)")</f>
        <v>Tap 6 Clone (10/15/2021)</v>
      </c>
      <c r="H394" s="19"/>
    </row>
    <row r="395">
      <c r="A395" s="9"/>
      <c r="B395" s="15"/>
      <c r="C395" s="9">
        <f>IFERROR(__xludf.DUMMYFUNCTION("""COMPUTED_VALUE"""),44507.686478912)</f>
        <v>44507.68648</v>
      </c>
      <c r="D395" s="15">
        <f>IFERROR(__xludf.DUMMYFUNCTION("""COMPUTED_VALUE"""),1.013)</f>
        <v>1.013</v>
      </c>
      <c r="E395" s="16">
        <f>IFERROR(__xludf.DUMMYFUNCTION("""COMPUTED_VALUE"""),64.0)</f>
        <v>64</v>
      </c>
      <c r="F395" s="19" t="str">
        <f>IFERROR(__xludf.DUMMYFUNCTION("""COMPUTED_VALUE"""),"BLACK")</f>
        <v>BLACK</v>
      </c>
      <c r="G395" s="20" t="str">
        <f>IFERROR(__xludf.DUMMYFUNCTION("""COMPUTED_VALUE"""),"Tap 6 Clone (10/15/2021)")</f>
        <v>Tap 6 Clone (10/15/2021)</v>
      </c>
      <c r="H395" s="19"/>
    </row>
    <row r="396">
      <c r="A396" s="9"/>
      <c r="B396" s="15"/>
      <c r="C396" s="9">
        <f>IFERROR(__xludf.DUMMYFUNCTION("""COMPUTED_VALUE"""),44507.6760589467)</f>
        <v>44507.67606</v>
      </c>
      <c r="D396" s="15">
        <f>IFERROR(__xludf.DUMMYFUNCTION("""COMPUTED_VALUE"""),1.013)</f>
        <v>1.013</v>
      </c>
      <c r="E396" s="16">
        <f>IFERROR(__xludf.DUMMYFUNCTION("""COMPUTED_VALUE"""),64.0)</f>
        <v>64</v>
      </c>
      <c r="F396" s="19" t="str">
        <f>IFERROR(__xludf.DUMMYFUNCTION("""COMPUTED_VALUE"""),"BLACK")</f>
        <v>BLACK</v>
      </c>
      <c r="G396" s="20" t="str">
        <f>IFERROR(__xludf.DUMMYFUNCTION("""COMPUTED_VALUE"""),"Tap 6 Clone (10/15/2021)")</f>
        <v>Tap 6 Clone (10/15/2021)</v>
      </c>
      <c r="H396" s="19"/>
    </row>
    <row r="397">
      <c r="A397" s="9"/>
      <c r="B397" s="15"/>
      <c r="C397" s="9">
        <f>IFERROR(__xludf.DUMMYFUNCTION("""COMPUTED_VALUE"""),44507.6656371874)</f>
        <v>44507.66564</v>
      </c>
      <c r="D397" s="15">
        <f>IFERROR(__xludf.DUMMYFUNCTION("""COMPUTED_VALUE"""),1.013)</f>
        <v>1.013</v>
      </c>
      <c r="E397" s="16">
        <f>IFERROR(__xludf.DUMMYFUNCTION("""COMPUTED_VALUE"""),64.0)</f>
        <v>64</v>
      </c>
      <c r="F397" s="19" t="str">
        <f>IFERROR(__xludf.DUMMYFUNCTION("""COMPUTED_VALUE"""),"BLACK")</f>
        <v>BLACK</v>
      </c>
      <c r="G397" s="20" t="str">
        <f>IFERROR(__xludf.DUMMYFUNCTION("""COMPUTED_VALUE"""),"Tap 6 Clone (10/15/2021)")</f>
        <v>Tap 6 Clone (10/15/2021)</v>
      </c>
      <c r="H397" s="19"/>
    </row>
    <row r="398">
      <c r="A398" s="9"/>
      <c r="B398" s="15"/>
      <c r="C398" s="9">
        <f>IFERROR(__xludf.DUMMYFUNCTION("""COMPUTED_VALUE"""),44507.6552043981)</f>
        <v>44507.6552</v>
      </c>
      <c r="D398" s="15">
        <f>IFERROR(__xludf.DUMMYFUNCTION("""COMPUTED_VALUE"""),1.013)</f>
        <v>1.013</v>
      </c>
      <c r="E398" s="16">
        <f>IFERROR(__xludf.DUMMYFUNCTION("""COMPUTED_VALUE"""),64.0)</f>
        <v>64</v>
      </c>
      <c r="F398" s="19" t="str">
        <f>IFERROR(__xludf.DUMMYFUNCTION("""COMPUTED_VALUE"""),"BLACK")</f>
        <v>BLACK</v>
      </c>
      <c r="G398" s="20" t="str">
        <f>IFERROR(__xludf.DUMMYFUNCTION("""COMPUTED_VALUE"""),"Tap 6 Clone (10/15/2021)")</f>
        <v>Tap 6 Clone (10/15/2021)</v>
      </c>
      <c r="H398" s="19"/>
    </row>
    <row r="399">
      <c r="A399" s="9"/>
      <c r="B399" s="15"/>
      <c r="C399" s="9">
        <f>IFERROR(__xludf.DUMMYFUNCTION("""COMPUTED_VALUE"""),44507.6447724999)</f>
        <v>44507.64477</v>
      </c>
      <c r="D399" s="15">
        <f>IFERROR(__xludf.DUMMYFUNCTION("""COMPUTED_VALUE"""),1.013)</f>
        <v>1.013</v>
      </c>
      <c r="E399" s="16">
        <f>IFERROR(__xludf.DUMMYFUNCTION("""COMPUTED_VALUE"""),64.0)</f>
        <v>64</v>
      </c>
      <c r="F399" s="19" t="str">
        <f>IFERROR(__xludf.DUMMYFUNCTION("""COMPUTED_VALUE"""),"BLACK")</f>
        <v>BLACK</v>
      </c>
      <c r="G399" s="20" t="str">
        <f>IFERROR(__xludf.DUMMYFUNCTION("""COMPUTED_VALUE"""),"Tap 6 Clone (10/15/2021)")</f>
        <v>Tap 6 Clone (10/15/2021)</v>
      </c>
      <c r="H399" s="19"/>
    </row>
    <row r="400">
      <c r="A400" s="9"/>
      <c r="B400" s="15"/>
      <c r="C400" s="9">
        <f>IFERROR(__xludf.DUMMYFUNCTION("""COMPUTED_VALUE"""),44507.6343526273)</f>
        <v>44507.63435</v>
      </c>
      <c r="D400" s="15">
        <f>IFERROR(__xludf.DUMMYFUNCTION("""COMPUTED_VALUE"""),1.013)</f>
        <v>1.013</v>
      </c>
      <c r="E400" s="16">
        <f>IFERROR(__xludf.DUMMYFUNCTION("""COMPUTED_VALUE"""),64.0)</f>
        <v>64</v>
      </c>
      <c r="F400" s="19" t="str">
        <f>IFERROR(__xludf.DUMMYFUNCTION("""COMPUTED_VALUE"""),"BLACK")</f>
        <v>BLACK</v>
      </c>
      <c r="G400" s="20" t="str">
        <f>IFERROR(__xludf.DUMMYFUNCTION("""COMPUTED_VALUE"""),"Tap 6 Clone (10/15/2021)")</f>
        <v>Tap 6 Clone (10/15/2021)</v>
      </c>
      <c r="H400" s="19"/>
    </row>
    <row r="401">
      <c r="A401" s="9"/>
      <c r="B401" s="15"/>
      <c r="C401" s="9">
        <f>IFERROR(__xludf.DUMMYFUNCTION("""COMPUTED_VALUE"""),44507.62393228)</f>
        <v>44507.62393</v>
      </c>
      <c r="D401" s="15">
        <f>IFERROR(__xludf.DUMMYFUNCTION("""COMPUTED_VALUE"""),1.013)</f>
        <v>1.013</v>
      </c>
      <c r="E401" s="16">
        <f>IFERROR(__xludf.DUMMYFUNCTION("""COMPUTED_VALUE"""),64.0)</f>
        <v>64</v>
      </c>
      <c r="F401" s="19" t="str">
        <f>IFERROR(__xludf.DUMMYFUNCTION("""COMPUTED_VALUE"""),"BLACK")</f>
        <v>BLACK</v>
      </c>
      <c r="G401" s="20" t="str">
        <f>IFERROR(__xludf.DUMMYFUNCTION("""COMPUTED_VALUE"""),"Tap 6 Clone (10/15/2021)")</f>
        <v>Tap 6 Clone (10/15/2021)</v>
      </c>
      <c r="H401" s="19"/>
    </row>
    <row r="402">
      <c r="A402" s="9"/>
      <c r="B402" s="15"/>
      <c r="C402" s="9">
        <f>IFERROR(__xludf.DUMMYFUNCTION("""COMPUTED_VALUE"""),44507.6134995023)</f>
        <v>44507.6135</v>
      </c>
      <c r="D402" s="15">
        <f>IFERROR(__xludf.DUMMYFUNCTION("""COMPUTED_VALUE"""),1.013)</f>
        <v>1.013</v>
      </c>
      <c r="E402" s="16">
        <f>IFERROR(__xludf.DUMMYFUNCTION("""COMPUTED_VALUE"""),64.0)</f>
        <v>64</v>
      </c>
      <c r="F402" s="19" t="str">
        <f>IFERROR(__xludf.DUMMYFUNCTION("""COMPUTED_VALUE"""),"BLACK")</f>
        <v>BLACK</v>
      </c>
      <c r="G402" s="20" t="str">
        <f>IFERROR(__xludf.DUMMYFUNCTION("""COMPUTED_VALUE"""),"Tap 6 Clone (10/15/2021)")</f>
        <v>Tap 6 Clone (10/15/2021)</v>
      </c>
      <c r="H402" s="19"/>
    </row>
    <row r="403">
      <c r="A403" s="9"/>
      <c r="B403" s="15"/>
      <c r="C403" s="9">
        <f>IFERROR(__xludf.DUMMYFUNCTION("""COMPUTED_VALUE"""),44507.6030657638)</f>
        <v>44507.60307</v>
      </c>
      <c r="D403" s="15">
        <f>IFERROR(__xludf.DUMMYFUNCTION("""COMPUTED_VALUE"""),1.013)</f>
        <v>1.013</v>
      </c>
      <c r="E403" s="16">
        <f>IFERROR(__xludf.DUMMYFUNCTION("""COMPUTED_VALUE"""),64.0)</f>
        <v>64</v>
      </c>
      <c r="F403" s="19" t="str">
        <f>IFERROR(__xludf.DUMMYFUNCTION("""COMPUTED_VALUE"""),"BLACK")</f>
        <v>BLACK</v>
      </c>
      <c r="G403" s="20" t="str">
        <f>IFERROR(__xludf.DUMMYFUNCTION("""COMPUTED_VALUE"""),"Tap 6 Clone (10/15/2021)")</f>
        <v>Tap 6 Clone (10/15/2021)</v>
      </c>
      <c r="H403" s="19"/>
    </row>
    <row r="404">
      <c r="A404" s="9"/>
      <c r="B404" s="15"/>
      <c r="C404" s="9">
        <f>IFERROR(__xludf.DUMMYFUNCTION("""COMPUTED_VALUE"""),44507.5926330671)</f>
        <v>44507.59263</v>
      </c>
      <c r="D404" s="15">
        <f>IFERROR(__xludf.DUMMYFUNCTION("""COMPUTED_VALUE"""),1.013)</f>
        <v>1.013</v>
      </c>
      <c r="E404" s="16">
        <f>IFERROR(__xludf.DUMMYFUNCTION("""COMPUTED_VALUE"""),64.0)</f>
        <v>64</v>
      </c>
      <c r="F404" s="19" t="str">
        <f>IFERROR(__xludf.DUMMYFUNCTION("""COMPUTED_VALUE"""),"BLACK")</f>
        <v>BLACK</v>
      </c>
      <c r="G404" s="20" t="str">
        <f>IFERROR(__xludf.DUMMYFUNCTION("""COMPUTED_VALUE"""),"Tap 6 Clone (10/15/2021)")</f>
        <v>Tap 6 Clone (10/15/2021)</v>
      </c>
      <c r="H404" s="19"/>
    </row>
    <row r="405">
      <c r="A405" s="9"/>
      <c r="B405" s="15"/>
      <c r="C405" s="9">
        <f>IFERROR(__xludf.DUMMYFUNCTION("""COMPUTED_VALUE"""),44507.5822011805)</f>
        <v>44507.5822</v>
      </c>
      <c r="D405" s="15">
        <f>IFERROR(__xludf.DUMMYFUNCTION("""COMPUTED_VALUE"""),1.013)</f>
        <v>1.013</v>
      </c>
      <c r="E405" s="16">
        <f>IFERROR(__xludf.DUMMYFUNCTION("""COMPUTED_VALUE"""),64.0)</f>
        <v>64</v>
      </c>
      <c r="F405" s="19" t="str">
        <f>IFERROR(__xludf.DUMMYFUNCTION("""COMPUTED_VALUE"""),"BLACK")</f>
        <v>BLACK</v>
      </c>
      <c r="G405" s="20" t="str">
        <f>IFERROR(__xludf.DUMMYFUNCTION("""COMPUTED_VALUE"""),"Tap 6 Clone (10/15/2021)")</f>
        <v>Tap 6 Clone (10/15/2021)</v>
      </c>
      <c r="H405" s="19"/>
    </row>
    <row r="406">
      <c r="A406" s="9"/>
      <c r="B406" s="15"/>
      <c r="C406" s="9">
        <f>IFERROR(__xludf.DUMMYFUNCTION("""COMPUTED_VALUE"""),44507.5717570486)</f>
        <v>44507.57176</v>
      </c>
      <c r="D406" s="15">
        <f>IFERROR(__xludf.DUMMYFUNCTION("""COMPUTED_VALUE"""),1.013)</f>
        <v>1.013</v>
      </c>
      <c r="E406" s="16">
        <f>IFERROR(__xludf.DUMMYFUNCTION("""COMPUTED_VALUE"""),64.0)</f>
        <v>64</v>
      </c>
      <c r="F406" s="19" t="str">
        <f>IFERROR(__xludf.DUMMYFUNCTION("""COMPUTED_VALUE"""),"BLACK")</f>
        <v>BLACK</v>
      </c>
      <c r="G406" s="20" t="str">
        <f>IFERROR(__xludf.DUMMYFUNCTION("""COMPUTED_VALUE"""),"Tap 6 Clone (10/15/2021)")</f>
        <v>Tap 6 Clone (10/15/2021)</v>
      </c>
      <c r="H406" s="19"/>
    </row>
    <row r="407">
      <c r="A407" s="9"/>
      <c r="B407" s="15"/>
      <c r="C407" s="9">
        <f>IFERROR(__xludf.DUMMYFUNCTION("""COMPUTED_VALUE"""),44507.5613346759)</f>
        <v>44507.56133</v>
      </c>
      <c r="D407" s="15">
        <f>IFERROR(__xludf.DUMMYFUNCTION("""COMPUTED_VALUE"""),1.013)</f>
        <v>1.013</v>
      </c>
      <c r="E407" s="16">
        <f>IFERROR(__xludf.DUMMYFUNCTION("""COMPUTED_VALUE"""),64.0)</f>
        <v>64</v>
      </c>
      <c r="F407" s="19" t="str">
        <f>IFERROR(__xludf.DUMMYFUNCTION("""COMPUTED_VALUE"""),"BLACK")</f>
        <v>BLACK</v>
      </c>
      <c r="G407" s="20" t="str">
        <f>IFERROR(__xludf.DUMMYFUNCTION("""COMPUTED_VALUE"""),"Tap 6 Clone (10/15/2021)")</f>
        <v>Tap 6 Clone (10/15/2021)</v>
      </c>
      <c r="H407" s="19"/>
    </row>
    <row r="408">
      <c r="A408" s="9"/>
      <c r="B408" s="15"/>
      <c r="C408" s="9">
        <f>IFERROR(__xludf.DUMMYFUNCTION("""COMPUTED_VALUE"""),44507.5509159606)</f>
        <v>44507.55092</v>
      </c>
      <c r="D408" s="15">
        <f>IFERROR(__xludf.DUMMYFUNCTION("""COMPUTED_VALUE"""),1.013)</f>
        <v>1.013</v>
      </c>
      <c r="E408" s="16">
        <f>IFERROR(__xludf.DUMMYFUNCTION("""COMPUTED_VALUE"""),64.0)</f>
        <v>64</v>
      </c>
      <c r="F408" s="19" t="str">
        <f>IFERROR(__xludf.DUMMYFUNCTION("""COMPUTED_VALUE"""),"BLACK")</f>
        <v>BLACK</v>
      </c>
      <c r="G408" s="20" t="str">
        <f>IFERROR(__xludf.DUMMYFUNCTION("""COMPUTED_VALUE"""),"Tap 6 Clone (10/15/2021)")</f>
        <v>Tap 6 Clone (10/15/2021)</v>
      </c>
      <c r="H408" s="19"/>
    </row>
    <row r="409">
      <c r="A409" s="9"/>
      <c r="B409" s="15"/>
      <c r="C409" s="9">
        <f>IFERROR(__xludf.DUMMYFUNCTION("""COMPUTED_VALUE"""),44507.5404843865)</f>
        <v>44507.54048</v>
      </c>
      <c r="D409" s="15">
        <f>IFERROR(__xludf.DUMMYFUNCTION("""COMPUTED_VALUE"""),1.013)</f>
        <v>1.013</v>
      </c>
      <c r="E409" s="16">
        <f>IFERROR(__xludf.DUMMYFUNCTION("""COMPUTED_VALUE"""),64.0)</f>
        <v>64</v>
      </c>
      <c r="F409" s="19" t="str">
        <f>IFERROR(__xludf.DUMMYFUNCTION("""COMPUTED_VALUE"""),"BLACK")</f>
        <v>BLACK</v>
      </c>
      <c r="G409" s="20" t="str">
        <f>IFERROR(__xludf.DUMMYFUNCTION("""COMPUTED_VALUE"""),"Tap 6 Clone (10/15/2021)")</f>
        <v>Tap 6 Clone (10/15/2021)</v>
      </c>
      <c r="H409" s="19"/>
    </row>
    <row r="410">
      <c r="A410" s="9"/>
      <c r="B410" s="15"/>
      <c r="C410" s="9">
        <f>IFERROR(__xludf.DUMMYFUNCTION("""COMPUTED_VALUE"""),44507.5315401157)</f>
        <v>44507.53154</v>
      </c>
      <c r="D410" s="15">
        <f>IFERROR(__xludf.DUMMYFUNCTION("""COMPUTED_VALUE"""),1.013)</f>
        <v>1.013</v>
      </c>
      <c r="E410" s="16">
        <f>IFERROR(__xludf.DUMMYFUNCTION("""COMPUTED_VALUE"""),64.0)</f>
        <v>64</v>
      </c>
      <c r="F410" s="19" t="str">
        <f>IFERROR(__xludf.DUMMYFUNCTION("""COMPUTED_VALUE"""),"BLACK")</f>
        <v>BLACK</v>
      </c>
      <c r="G410" s="20" t="str">
        <f>IFERROR(__xludf.DUMMYFUNCTION("""COMPUTED_VALUE"""),"Tap 6 Clone (10/15/2021)")</f>
        <v>Tap 6 Clone (10/15/2021)</v>
      </c>
      <c r="H410" s="19"/>
    </row>
    <row r="411">
      <c r="A411" s="9"/>
      <c r="B411" s="15"/>
      <c r="C411" s="9">
        <f>IFERROR(__xludf.DUMMYFUNCTION("""COMPUTED_VALUE"""),44507.5211197106)</f>
        <v>44507.52112</v>
      </c>
      <c r="D411" s="15">
        <f>IFERROR(__xludf.DUMMYFUNCTION("""COMPUTED_VALUE"""),1.013)</f>
        <v>1.013</v>
      </c>
      <c r="E411" s="16">
        <f>IFERROR(__xludf.DUMMYFUNCTION("""COMPUTED_VALUE"""),64.0)</f>
        <v>64</v>
      </c>
      <c r="F411" s="19" t="str">
        <f>IFERROR(__xludf.DUMMYFUNCTION("""COMPUTED_VALUE"""),"BLACK")</f>
        <v>BLACK</v>
      </c>
      <c r="G411" s="20" t="str">
        <f>IFERROR(__xludf.DUMMYFUNCTION("""COMPUTED_VALUE"""),"Tap 6 Clone (10/15/2021)")</f>
        <v>Tap 6 Clone (10/15/2021)</v>
      </c>
      <c r="H411" s="19"/>
    </row>
    <row r="412">
      <c r="A412" s="9"/>
      <c r="B412" s="15"/>
      <c r="C412" s="9">
        <f>IFERROR(__xludf.DUMMYFUNCTION("""COMPUTED_VALUE"""),44507.510698993)</f>
        <v>44507.5107</v>
      </c>
      <c r="D412" s="15">
        <f>IFERROR(__xludf.DUMMYFUNCTION("""COMPUTED_VALUE"""),1.013)</f>
        <v>1.013</v>
      </c>
      <c r="E412" s="16">
        <f>IFERROR(__xludf.DUMMYFUNCTION("""COMPUTED_VALUE"""),64.0)</f>
        <v>64</v>
      </c>
      <c r="F412" s="19" t="str">
        <f>IFERROR(__xludf.DUMMYFUNCTION("""COMPUTED_VALUE"""),"BLACK")</f>
        <v>BLACK</v>
      </c>
      <c r="G412" s="20" t="str">
        <f>IFERROR(__xludf.DUMMYFUNCTION("""COMPUTED_VALUE"""),"Tap 6 Clone (10/15/2021)")</f>
        <v>Tap 6 Clone (10/15/2021)</v>
      </c>
      <c r="H412" s="19"/>
    </row>
    <row r="413">
      <c r="A413" s="9"/>
      <c r="B413" s="15"/>
      <c r="C413" s="9">
        <f>IFERROR(__xludf.DUMMYFUNCTION("""COMPUTED_VALUE"""),44507.5002774421)</f>
        <v>44507.50028</v>
      </c>
      <c r="D413" s="15">
        <f>IFERROR(__xludf.DUMMYFUNCTION("""COMPUTED_VALUE"""),1.013)</f>
        <v>1.013</v>
      </c>
      <c r="E413" s="16">
        <f>IFERROR(__xludf.DUMMYFUNCTION("""COMPUTED_VALUE"""),64.0)</f>
        <v>64</v>
      </c>
      <c r="F413" s="19" t="str">
        <f>IFERROR(__xludf.DUMMYFUNCTION("""COMPUTED_VALUE"""),"BLACK")</f>
        <v>BLACK</v>
      </c>
      <c r="G413" s="20" t="str">
        <f>IFERROR(__xludf.DUMMYFUNCTION("""COMPUTED_VALUE"""),"Tap 6 Clone (10/15/2021)")</f>
        <v>Tap 6 Clone (10/15/2021)</v>
      </c>
      <c r="H413" s="19"/>
    </row>
    <row r="414">
      <c r="A414" s="9"/>
      <c r="B414" s="15"/>
      <c r="C414" s="9">
        <f>IFERROR(__xludf.DUMMYFUNCTION("""COMPUTED_VALUE"""),44507.489855081)</f>
        <v>44507.48986</v>
      </c>
      <c r="D414" s="15">
        <f>IFERROR(__xludf.DUMMYFUNCTION("""COMPUTED_VALUE"""),1.013)</f>
        <v>1.013</v>
      </c>
      <c r="E414" s="16">
        <f>IFERROR(__xludf.DUMMYFUNCTION("""COMPUTED_VALUE"""),64.0)</f>
        <v>64</v>
      </c>
      <c r="F414" s="19" t="str">
        <f>IFERROR(__xludf.DUMMYFUNCTION("""COMPUTED_VALUE"""),"BLACK")</f>
        <v>BLACK</v>
      </c>
      <c r="G414" s="20" t="str">
        <f>IFERROR(__xludf.DUMMYFUNCTION("""COMPUTED_VALUE"""),"Tap 6 Clone (10/15/2021)")</f>
        <v>Tap 6 Clone (10/15/2021)</v>
      </c>
      <c r="H414" s="19"/>
    </row>
    <row r="415">
      <c r="A415" s="9"/>
      <c r="B415" s="15"/>
      <c r="C415" s="9">
        <f>IFERROR(__xludf.DUMMYFUNCTION("""COMPUTED_VALUE"""),44507.4794092592)</f>
        <v>44507.47941</v>
      </c>
      <c r="D415" s="15">
        <f>IFERROR(__xludf.DUMMYFUNCTION("""COMPUTED_VALUE"""),1.013)</f>
        <v>1.013</v>
      </c>
      <c r="E415" s="16">
        <f>IFERROR(__xludf.DUMMYFUNCTION("""COMPUTED_VALUE"""),64.0)</f>
        <v>64</v>
      </c>
      <c r="F415" s="19" t="str">
        <f>IFERROR(__xludf.DUMMYFUNCTION("""COMPUTED_VALUE"""),"BLACK")</f>
        <v>BLACK</v>
      </c>
      <c r="G415" s="20" t="str">
        <f>IFERROR(__xludf.DUMMYFUNCTION("""COMPUTED_VALUE"""),"Tap 6 Clone (10/15/2021)")</f>
        <v>Tap 6 Clone (10/15/2021)</v>
      </c>
      <c r="H415" s="19"/>
    </row>
    <row r="416">
      <c r="A416" s="9"/>
      <c r="B416" s="15"/>
      <c r="C416" s="9">
        <f>IFERROR(__xludf.DUMMYFUNCTION("""COMPUTED_VALUE"""),44507.468975787)</f>
        <v>44507.46898</v>
      </c>
      <c r="D416" s="15">
        <f>IFERROR(__xludf.DUMMYFUNCTION("""COMPUTED_VALUE"""),1.013)</f>
        <v>1.013</v>
      </c>
      <c r="E416" s="16">
        <f>IFERROR(__xludf.DUMMYFUNCTION("""COMPUTED_VALUE"""),64.0)</f>
        <v>64</v>
      </c>
      <c r="F416" s="19" t="str">
        <f>IFERROR(__xludf.DUMMYFUNCTION("""COMPUTED_VALUE"""),"BLACK")</f>
        <v>BLACK</v>
      </c>
      <c r="G416" s="20" t="str">
        <f>IFERROR(__xludf.DUMMYFUNCTION("""COMPUTED_VALUE"""),"Tap 6 Clone (10/15/2021)")</f>
        <v>Tap 6 Clone (10/15/2021)</v>
      </c>
      <c r="H416" s="19"/>
    </row>
    <row r="417">
      <c r="A417" s="9"/>
      <c r="B417" s="15"/>
      <c r="C417" s="9">
        <f>IFERROR(__xludf.DUMMYFUNCTION("""COMPUTED_VALUE"""),44507.4585549884)</f>
        <v>44507.45855</v>
      </c>
      <c r="D417" s="15">
        <f>IFERROR(__xludf.DUMMYFUNCTION("""COMPUTED_VALUE"""),1.013)</f>
        <v>1.013</v>
      </c>
      <c r="E417" s="16">
        <f>IFERROR(__xludf.DUMMYFUNCTION("""COMPUTED_VALUE"""),64.0)</f>
        <v>64</v>
      </c>
      <c r="F417" s="19" t="str">
        <f>IFERROR(__xludf.DUMMYFUNCTION("""COMPUTED_VALUE"""),"BLACK")</f>
        <v>BLACK</v>
      </c>
      <c r="G417" s="20" t="str">
        <f>IFERROR(__xludf.DUMMYFUNCTION("""COMPUTED_VALUE"""),"Tap 6 Clone (10/15/2021)")</f>
        <v>Tap 6 Clone (10/15/2021)</v>
      </c>
      <c r="H417" s="19"/>
    </row>
    <row r="418">
      <c r="A418" s="9"/>
      <c r="B418" s="15"/>
      <c r="C418" s="9">
        <f>IFERROR(__xludf.DUMMYFUNCTION("""COMPUTED_VALUE"""),44507.4481340972)</f>
        <v>44507.44813</v>
      </c>
      <c r="D418" s="15">
        <f>IFERROR(__xludf.DUMMYFUNCTION("""COMPUTED_VALUE"""),1.013)</f>
        <v>1.013</v>
      </c>
      <c r="E418" s="16">
        <f>IFERROR(__xludf.DUMMYFUNCTION("""COMPUTED_VALUE"""),64.0)</f>
        <v>64</v>
      </c>
      <c r="F418" s="19" t="str">
        <f>IFERROR(__xludf.DUMMYFUNCTION("""COMPUTED_VALUE"""),"BLACK")</f>
        <v>BLACK</v>
      </c>
      <c r="G418" s="20" t="str">
        <f>IFERROR(__xludf.DUMMYFUNCTION("""COMPUTED_VALUE"""),"Tap 6 Clone (10/15/2021)")</f>
        <v>Tap 6 Clone (10/15/2021)</v>
      </c>
      <c r="H418" s="19"/>
    </row>
    <row r="419">
      <c r="A419" s="9"/>
      <c r="B419" s="15"/>
      <c r="C419" s="9">
        <f>IFERROR(__xludf.DUMMYFUNCTION("""COMPUTED_VALUE"""),44507.4377118865)</f>
        <v>44507.43771</v>
      </c>
      <c r="D419" s="15">
        <f>IFERROR(__xludf.DUMMYFUNCTION("""COMPUTED_VALUE"""),1.013)</f>
        <v>1.013</v>
      </c>
      <c r="E419" s="16">
        <f>IFERROR(__xludf.DUMMYFUNCTION("""COMPUTED_VALUE"""),64.0)</f>
        <v>64</v>
      </c>
      <c r="F419" s="19" t="str">
        <f>IFERROR(__xludf.DUMMYFUNCTION("""COMPUTED_VALUE"""),"BLACK")</f>
        <v>BLACK</v>
      </c>
      <c r="G419" s="20" t="str">
        <f>IFERROR(__xludf.DUMMYFUNCTION("""COMPUTED_VALUE"""),"Tap 6 Clone (10/15/2021)")</f>
        <v>Tap 6 Clone (10/15/2021)</v>
      </c>
      <c r="H419" s="19"/>
    </row>
    <row r="420">
      <c r="A420" s="9"/>
      <c r="B420" s="15"/>
      <c r="C420" s="9">
        <f>IFERROR(__xludf.DUMMYFUNCTION("""COMPUTED_VALUE"""),44507.4272888773)</f>
        <v>44507.42729</v>
      </c>
      <c r="D420" s="15">
        <f>IFERROR(__xludf.DUMMYFUNCTION("""COMPUTED_VALUE"""),1.013)</f>
        <v>1.013</v>
      </c>
      <c r="E420" s="16">
        <f>IFERROR(__xludf.DUMMYFUNCTION("""COMPUTED_VALUE"""),64.0)</f>
        <v>64</v>
      </c>
      <c r="F420" s="19" t="str">
        <f>IFERROR(__xludf.DUMMYFUNCTION("""COMPUTED_VALUE"""),"BLACK")</f>
        <v>BLACK</v>
      </c>
      <c r="G420" s="20" t="str">
        <f>IFERROR(__xludf.DUMMYFUNCTION("""COMPUTED_VALUE"""),"Tap 6 Clone (10/15/2021)")</f>
        <v>Tap 6 Clone (10/15/2021)</v>
      </c>
      <c r="H420" s="19"/>
    </row>
    <row r="421">
      <c r="A421" s="9"/>
      <c r="B421" s="15"/>
      <c r="C421" s="9">
        <f>IFERROR(__xludf.DUMMYFUNCTION("""COMPUTED_VALUE"""),44507.4168556712)</f>
        <v>44507.41686</v>
      </c>
      <c r="D421" s="15">
        <f>IFERROR(__xludf.DUMMYFUNCTION("""COMPUTED_VALUE"""),1.013)</f>
        <v>1.013</v>
      </c>
      <c r="E421" s="16">
        <f>IFERROR(__xludf.DUMMYFUNCTION("""COMPUTED_VALUE"""),64.0)</f>
        <v>64</v>
      </c>
      <c r="F421" s="19" t="str">
        <f>IFERROR(__xludf.DUMMYFUNCTION("""COMPUTED_VALUE"""),"BLACK")</f>
        <v>BLACK</v>
      </c>
      <c r="G421" s="20" t="str">
        <f>IFERROR(__xludf.DUMMYFUNCTION("""COMPUTED_VALUE"""),"Tap 6 Clone (10/15/2021)")</f>
        <v>Tap 6 Clone (10/15/2021)</v>
      </c>
      <c r="H421" s="19"/>
    </row>
    <row r="422">
      <c r="A422" s="9"/>
      <c r="B422" s="15"/>
      <c r="C422" s="9">
        <f>IFERROR(__xludf.DUMMYFUNCTION("""COMPUTED_VALUE"""),44507.4064331944)</f>
        <v>44507.40643</v>
      </c>
      <c r="D422" s="15">
        <f>IFERROR(__xludf.DUMMYFUNCTION("""COMPUTED_VALUE"""),1.013)</f>
        <v>1.013</v>
      </c>
      <c r="E422" s="16">
        <f>IFERROR(__xludf.DUMMYFUNCTION("""COMPUTED_VALUE"""),64.0)</f>
        <v>64</v>
      </c>
      <c r="F422" s="19" t="str">
        <f>IFERROR(__xludf.DUMMYFUNCTION("""COMPUTED_VALUE"""),"BLACK")</f>
        <v>BLACK</v>
      </c>
      <c r="G422" s="20" t="str">
        <f>IFERROR(__xludf.DUMMYFUNCTION("""COMPUTED_VALUE"""),"Tap 6 Clone (10/15/2021)")</f>
        <v>Tap 6 Clone (10/15/2021)</v>
      </c>
      <c r="H422" s="19"/>
    </row>
    <row r="423">
      <c r="A423" s="9"/>
      <c r="B423" s="15"/>
      <c r="C423" s="9">
        <f>IFERROR(__xludf.DUMMYFUNCTION("""COMPUTED_VALUE"""),44507.3960114236)</f>
        <v>44507.39601</v>
      </c>
      <c r="D423" s="15">
        <f>IFERROR(__xludf.DUMMYFUNCTION("""COMPUTED_VALUE"""),1.013)</f>
        <v>1.013</v>
      </c>
      <c r="E423" s="16">
        <f>IFERROR(__xludf.DUMMYFUNCTION("""COMPUTED_VALUE"""),64.0)</f>
        <v>64</v>
      </c>
      <c r="F423" s="19" t="str">
        <f>IFERROR(__xludf.DUMMYFUNCTION("""COMPUTED_VALUE"""),"BLACK")</f>
        <v>BLACK</v>
      </c>
      <c r="G423" s="20" t="str">
        <f>IFERROR(__xludf.DUMMYFUNCTION("""COMPUTED_VALUE"""),"Tap 6 Clone (10/15/2021)")</f>
        <v>Tap 6 Clone (10/15/2021)</v>
      </c>
      <c r="H423" s="19"/>
    </row>
    <row r="424">
      <c r="A424" s="9"/>
      <c r="B424" s="15"/>
      <c r="C424" s="9">
        <f>IFERROR(__xludf.DUMMYFUNCTION("""COMPUTED_VALUE"""),44507.3855913657)</f>
        <v>44507.38559</v>
      </c>
      <c r="D424" s="15">
        <f>IFERROR(__xludf.DUMMYFUNCTION("""COMPUTED_VALUE"""),1.013)</f>
        <v>1.013</v>
      </c>
      <c r="E424" s="16">
        <f>IFERROR(__xludf.DUMMYFUNCTION("""COMPUTED_VALUE"""),64.0)</f>
        <v>64</v>
      </c>
      <c r="F424" s="19" t="str">
        <f>IFERROR(__xludf.DUMMYFUNCTION("""COMPUTED_VALUE"""),"BLACK")</f>
        <v>BLACK</v>
      </c>
      <c r="G424" s="20" t="str">
        <f>IFERROR(__xludf.DUMMYFUNCTION("""COMPUTED_VALUE"""),"Tap 6 Clone (10/15/2021)")</f>
        <v>Tap 6 Clone (10/15/2021)</v>
      </c>
      <c r="H424" s="19"/>
    </row>
    <row r="425">
      <c r="A425" s="9"/>
      <c r="B425" s="15"/>
      <c r="C425" s="9">
        <f>IFERROR(__xludf.DUMMYFUNCTION("""COMPUTED_VALUE"""),44507.3751687731)</f>
        <v>44507.37517</v>
      </c>
      <c r="D425" s="15">
        <f>IFERROR(__xludf.DUMMYFUNCTION("""COMPUTED_VALUE"""),1.013)</f>
        <v>1.013</v>
      </c>
      <c r="E425" s="16">
        <f>IFERROR(__xludf.DUMMYFUNCTION("""COMPUTED_VALUE"""),64.0)</f>
        <v>64</v>
      </c>
      <c r="F425" s="19" t="str">
        <f>IFERROR(__xludf.DUMMYFUNCTION("""COMPUTED_VALUE"""),"BLACK")</f>
        <v>BLACK</v>
      </c>
      <c r="G425" s="20" t="str">
        <f>IFERROR(__xludf.DUMMYFUNCTION("""COMPUTED_VALUE"""),"Tap 6 Clone (10/15/2021)")</f>
        <v>Tap 6 Clone (10/15/2021)</v>
      </c>
      <c r="H425" s="19"/>
    </row>
    <row r="426">
      <c r="A426" s="9"/>
      <c r="B426" s="15"/>
      <c r="C426" s="9">
        <f>IFERROR(__xludf.DUMMYFUNCTION("""COMPUTED_VALUE"""),44507.3647474768)</f>
        <v>44507.36475</v>
      </c>
      <c r="D426" s="15">
        <f>IFERROR(__xludf.DUMMYFUNCTION("""COMPUTED_VALUE"""),1.013)</f>
        <v>1.013</v>
      </c>
      <c r="E426" s="16">
        <f>IFERROR(__xludf.DUMMYFUNCTION("""COMPUTED_VALUE"""),64.0)</f>
        <v>64</v>
      </c>
      <c r="F426" s="19" t="str">
        <f>IFERROR(__xludf.DUMMYFUNCTION("""COMPUTED_VALUE"""),"BLACK")</f>
        <v>BLACK</v>
      </c>
      <c r="G426" s="20" t="str">
        <f>IFERROR(__xludf.DUMMYFUNCTION("""COMPUTED_VALUE"""),"Tap 6 Clone (10/15/2021)")</f>
        <v>Tap 6 Clone (10/15/2021)</v>
      </c>
      <c r="H426" s="19"/>
    </row>
    <row r="427">
      <c r="A427" s="9"/>
      <c r="B427" s="15"/>
      <c r="C427" s="9">
        <f>IFERROR(__xludf.DUMMYFUNCTION("""COMPUTED_VALUE"""),44507.3543142129)</f>
        <v>44507.35431</v>
      </c>
      <c r="D427" s="15">
        <f>IFERROR(__xludf.DUMMYFUNCTION("""COMPUTED_VALUE"""),1.013)</f>
        <v>1.013</v>
      </c>
      <c r="E427" s="16">
        <f>IFERROR(__xludf.DUMMYFUNCTION("""COMPUTED_VALUE"""),64.0)</f>
        <v>64</v>
      </c>
      <c r="F427" s="19" t="str">
        <f>IFERROR(__xludf.DUMMYFUNCTION("""COMPUTED_VALUE"""),"BLACK")</f>
        <v>BLACK</v>
      </c>
      <c r="G427" s="20" t="str">
        <f>IFERROR(__xludf.DUMMYFUNCTION("""COMPUTED_VALUE"""),"Tap 6 Clone (10/15/2021)")</f>
        <v>Tap 6 Clone (10/15/2021)</v>
      </c>
      <c r="H427" s="19"/>
    </row>
    <row r="428">
      <c r="A428" s="9"/>
      <c r="B428" s="15"/>
      <c r="C428" s="9">
        <f>IFERROR(__xludf.DUMMYFUNCTION("""COMPUTED_VALUE"""),44507.3438937037)</f>
        <v>44507.34389</v>
      </c>
      <c r="D428" s="15">
        <f>IFERROR(__xludf.DUMMYFUNCTION("""COMPUTED_VALUE"""),1.013)</f>
        <v>1.013</v>
      </c>
      <c r="E428" s="16">
        <f>IFERROR(__xludf.DUMMYFUNCTION("""COMPUTED_VALUE"""),64.0)</f>
        <v>64</v>
      </c>
      <c r="F428" s="19" t="str">
        <f>IFERROR(__xludf.DUMMYFUNCTION("""COMPUTED_VALUE"""),"BLACK")</f>
        <v>BLACK</v>
      </c>
      <c r="G428" s="20" t="str">
        <f>IFERROR(__xludf.DUMMYFUNCTION("""COMPUTED_VALUE"""),"Tap 6 Clone (10/15/2021)")</f>
        <v>Tap 6 Clone (10/15/2021)</v>
      </c>
      <c r="H428" s="19"/>
    </row>
    <row r="429">
      <c r="A429" s="9"/>
      <c r="B429" s="15"/>
      <c r="C429" s="9">
        <f>IFERROR(__xludf.DUMMYFUNCTION("""COMPUTED_VALUE"""),44507.3334738888)</f>
        <v>44507.33347</v>
      </c>
      <c r="D429" s="15">
        <f>IFERROR(__xludf.DUMMYFUNCTION("""COMPUTED_VALUE"""),1.013)</f>
        <v>1.013</v>
      </c>
      <c r="E429" s="16">
        <f>IFERROR(__xludf.DUMMYFUNCTION("""COMPUTED_VALUE"""),64.0)</f>
        <v>64</v>
      </c>
      <c r="F429" s="19" t="str">
        <f>IFERROR(__xludf.DUMMYFUNCTION("""COMPUTED_VALUE"""),"BLACK")</f>
        <v>BLACK</v>
      </c>
      <c r="G429" s="20" t="str">
        <f>IFERROR(__xludf.DUMMYFUNCTION("""COMPUTED_VALUE"""),"Tap 6 Clone (10/15/2021)")</f>
        <v>Tap 6 Clone (10/15/2021)</v>
      </c>
      <c r="H429" s="19"/>
    </row>
    <row r="430">
      <c r="A430" s="9"/>
      <c r="B430" s="15"/>
      <c r="C430" s="9">
        <f>IFERROR(__xludf.DUMMYFUNCTION("""COMPUTED_VALUE"""),44507.3230542592)</f>
        <v>44507.32305</v>
      </c>
      <c r="D430" s="15">
        <f>IFERROR(__xludf.DUMMYFUNCTION("""COMPUTED_VALUE"""),1.013)</f>
        <v>1.013</v>
      </c>
      <c r="E430" s="16">
        <f>IFERROR(__xludf.DUMMYFUNCTION("""COMPUTED_VALUE"""),64.0)</f>
        <v>64</v>
      </c>
      <c r="F430" s="19" t="str">
        <f>IFERROR(__xludf.DUMMYFUNCTION("""COMPUTED_VALUE"""),"BLACK")</f>
        <v>BLACK</v>
      </c>
      <c r="G430" s="20" t="str">
        <f>IFERROR(__xludf.DUMMYFUNCTION("""COMPUTED_VALUE"""),"Tap 6 Clone (10/15/2021)")</f>
        <v>Tap 6 Clone (10/15/2021)</v>
      </c>
      <c r="H430" s="19"/>
    </row>
    <row r="431">
      <c r="A431" s="9"/>
      <c r="B431" s="15"/>
      <c r="C431" s="9">
        <f>IFERROR(__xludf.DUMMYFUNCTION("""COMPUTED_VALUE"""),44507.3126322106)</f>
        <v>44507.31263</v>
      </c>
      <c r="D431" s="15">
        <f>IFERROR(__xludf.DUMMYFUNCTION("""COMPUTED_VALUE"""),1.013)</f>
        <v>1.013</v>
      </c>
      <c r="E431" s="16">
        <f>IFERROR(__xludf.DUMMYFUNCTION("""COMPUTED_VALUE"""),64.0)</f>
        <v>64</v>
      </c>
      <c r="F431" s="19" t="str">
        <f>IFERROR(__xludf.DUMMYFUNCTION("""COMPUTED_VALUE"""),"BLACK")</f>
        <v>BLACK</v>
      </c>
      <c r="G431" s="20" t="str">
        <f>IFERROR(__xludf.DUMMYFUNCTION("""COMPUTED_VALUE"""),"Tap 6 Clone (10/15/2021)")</f>
        <v>Tap 6 Clone (10/15/2021)</v>
      </c>
      <c r="H431" s="19"/>
    </row>
    <row r="432">
      <c r="A432" s="9"/>
      <c r="B432" s="15"/>
      <c r="C432" s="9">
        <f>IFERROR(__xludf.DUMMYFUNCTION("""COMPUTED_VALUE"""),44507.3022110185)</f>
        <v>44507.30221</v>
      </c>
      <c r="D432" s="15">
        <f>IFERROR(__xludf.DUMMYFUNCTION("""COMPUTED_VALUE"""),1.013)</f>
        <v>1.013</v>
      </c>
      <c r="E432" s="16">
        <f>IFERROR(__xludf.DUMMYFUNCTION("""COMPUTED_VALUE"""),64.0)</f>
        <v>64</v>
      </c>
      <c r="F432" s="19" t="str">
        <f>IFERROR(__xludf.DUMMYFUNCTION("""COMPUTED_VALUE"""),"BLACK")</f>
        <v>BLACK</v>
      </c>
      <c r="G432" s="20" t="str">
        <f>IFERROR(__xludf.DUMMYFUNCTION("""COMPUTED_VALUE"""),"Tap 6 Clone (10/15/2021)")</f>
        <v>Tap 6 Clone (10/15/2021)</v>
      </c>
      <c r="H432" s="19"/>
    </row>
    <row r="433">
      <c r="A433" s="9"/>
      <c r="B433" s="15"/>
      <c r="C433" s="9">
        <f>IFERROR(__xludf.DUMMYFUNCTION("""COMPUTED_VALUE"""),44507.29178978)</f>
        <v>44507.29179</v>
      </c>
      <c r="D433" s="15">
        <f>IFERROR(__xludf.DUMMYFUNCTION("""COMPUTED_VALUE"""),1.013)</f>
        <v>1.013</v>
      </c>
      <c r="E433" s="16">
        <f>IFERROR(__xludf.DUMMYFUNCTION("""COMPUTED_VALUE"""),64.0)</f>
        <v>64</v>
      </c>
      <c r="F433" s="19" t="str">
        <f>IFERROR(__xludf.DUMMYFUNCTION("""COMPUTED_VALUE"""),"BLACK")</f>
        <v>BLACK</v>
      </c>
      <c r="G433" s="20" t="str">
        <f>IFERROR(__xludf.DUMMYFUNCTION("""COMPUTED_VALUE"""),"Tap 6 Clone (10/15/2021)")</f>
        <v>Tap 6 Clone (10/15/2021)</v>
      </c>
      <c r="H433" s="19"/>
    </row>
    <row r="434">
      <c r="A434" s="9"/>
      <c r="B434" s="15"/>
      <c r="C434" s="9">
        <f>IFERROR(__xludf.DUMMYFUNCTION("""COMPUTED_VALUE"""),44507.2813699537)</f>
        <v>44507.28137</v>
      </c>
      <c r="D434" s="15">
        <f>IFERROR(__xludf.DUMMYFUNCTION("""COMPUTED_VALUE"""),1.013)</f>
        <v>1.013</v>
      </c>
      <c r="E434" s="16">
        <f>IFERROR(__xludf.DUMMYFUNCTION("""COMPUTED_VALUE"""),64.0)</f>
        <v>64</v>
      </c>
      <c r="F434" s="19" t="str">
        <f>IFERROR(__xludf.DUMMYFUNCTION("""COMPUTED_VALUE"""),"BLACK")</f>
        <v>BLACK</v>
      </c>
      <c r="G434" s="20" t="str">
        <f>IFERROR(__xludf.DUMMYFUNCTION("""COMPUTED_VALUE"""),"Tap 6 Clone (10/15/2021)")</f>
        <v>Tap 6 Clone (10/15/2021)</v>
      </c>
      <c r="H434" s="19"/>
    </row>
    <row r="435">
      <c r="A435" s="9"/>
      <c r="B435" s="15"/>
      <c r="C435" s="9">
        <f>IFERROR(__xludf.DUMMYFUNCTION("""COMPUTED_VALUE"""),44507.270949074)</f>
        <v>44507.27095</v>
      </c>
      <c r="D435" s="15">
        <f>IFERROR(__xludf.DUMMYFUNCTION("""COMPUTED_VALUE"""),1.013)</f>
        <v>1.013</v>
      </c>
      <c r="E435" s="16">
        <f>IFERROR(__xludf.DUMMYFUNCTION("""COMPUTED_VALUE"""),64.0)</f>
        <v>64</v>
      </c>
      <c r="F435" s="19" t="str">
        <f>IFERROR(__xludf.DUMMYFUNCTION("""COMPUTED_VALUE"""),"BLACK")</f>
        <v>BLACK</v>
      </c>
      <c r="G435" s="20" t="str">
        <f>IFERROR(__xludf.DUMMYFUNCTION("""COMPUTED_VALUE"""),"Tap 6 Clone (10/15/2021)")</f>
        <v>Tap 6 Clone (10/15/2021)</v>
      </c>
      <c r="H435" s="19"/>
    </row>
    <row r="436">
      <c r="A436" s="9"/>
      <c r="B436" s="15"/>
      <c r="C436" s="9">
        <f>IFERROR(__xludf.DUMMYFUNCTION("""COMPUTED_VALUE"""),44507.2605259143)</f>
        <v>44507.26053</v>
      </c>
      <c r="D436" s="15">
        <f>IFERROR(__xludf.DUMMYFUNCTION("""COMPUTED_VALUE"""),1.013)</f>
        <v>1.013</v>
      </c>
      <c r="E436" s="16">
        <f>IFERROR(__xludf.DUMMYFUNCTION("""COMPUTED_VALUE"""),64.0)</f>
        <v>64</v>
      </c>
      <c r="F436" s="19" t="str">
        <f>IFERROR(__xludf.DUMMYFUNCTION("""COMPUTED_VALUE"""),"BLACK")</f>
        <v>BLACK</v>
      </c>
      <c r="G436" s="20" t="str">
        <f>IFERROR(__xludf.DUMMYFUNCTION("""COMPUTED_VALUE"""),"Tap 6 Clone (10/15/2021)")</f>
        <v>Tap 6 Clone (10/15/2021)</v>
      </c>
      <c r="H436" s="19"/>
    </row>
    <row r="437">
      <c r="A437" s="9"/>
      <c r="B437" s="15"/>
      <c r="C437" s="9">
        <f>IFERROR(__xludf.DUMMYFUNCTION("""COMPUTED_VALUE"""),44507.2501037268)</f>
        <v>44507.2501</v>
      </c>
      <c r="D437" s="15">
        <f>IFERROR(__xludf.DUMMYFUNCTION("""COMPUTED_VALUE"""),1.013)</f>
        <v>1.013</v>
      </c>
      <c r="E437" s="16">
        <f>IFERROR(__xludf.DUMMYFUNCTION("""COMPUTED_VALUE"""),64.0)</f>
        <v>64</v>
      </c>
      <c r="F437" s="19" t="str">
        <f>IFERROR(__xludf.DUMMYFUNCTION("""COMPUTED_VALUE"""),"BLACK")</f>
        <v>BLACK</v>
      </c>
      <c r="G437" s="20" t="str">
        <f>IFERROR(__xludf.DUMMYFUNCTION("""COMPUTED_VALUE"""),"Tap 6 Clone (10/15/2021)")</f>
        <v>Tap 6 Clone (10/15/2021)</v>
      </c>
      <c r="H437" s="19"/>
    </row>
    <row r="438">
      <c r="A438" s="9"/>
      <c r="B438" s="15"/>
      <c r="C438" s="9">
        <f>IFERROR(__xludf.DUMMYFUNCTION("""COMPUTED_VALUE"""),44507.2396825925)</f>
        <v>44507.23968</v>
      </c>
      <c r="D438" s="15">
        <f>IFERROR(__xludf.DUMMYFUNCTION("""COMPUTED_VALUE"""),1.013)</f>
        <v>1.013</v>
      </c>
      <c r="E438" s="16">
        <f>IFERROR(__xludf.DUMMYFUNCTION("""COMPUTED_VALUE"""),64.0)</f>
        <v>64</v>
      </c>
      <c r="F438" s="19" t="str">
        <f>IFERROR(__xludf.DUMMYFUNCTION("""COMPUTED_VALUE"""),"BLACK")</f>
        <v>BLACK</v>
      </c>
      <c r="G438" s="20" t="str">
        <f>IFERROR(__xludf.DUMMYFUNCTION("""COMPUTED_VALUE"""),"Tap 6 Clone (10/15/2021)")</f>
        <v>Tap 6 Clone (10/15/2021)</v>
      </c>
      <c r="H438" s="19"/>
    </row>
    <row r="439">
      <c r="A439" s="9"/>
      <c r="B439" s="15"/>
      <c r="C439" s="9">
        <f>IFERROR(__xludf.DUMMYFUNCTION("""COMPUTED_VALUE"""),44507.2292498842)</f>
        <v>44507.22925</v>
      </c>
      <c r="D439" s="15">
        <f>IFERROR(__xludf.DUMMYFUNCTION("""COMPUTED_VALUE"""),1.013)</f>
        <v>1.013</v>
      </c>
      <c r="E439" s="16">
        <f>IFERROR(__xludf.DUMMYFUNCTION("""COMPUTED_VALUE"""),64.0)</f>
        <v>64</v>
      </c>
      <c r="F439" s="19" t="str">
        <f>IFERROR(__xludf.DUMMYFUNCTION("""COMPUTED_VALUE"""),"BLACK")</f>
        <v>BLACK</v>
      </c>
      <c r="G439" s="20" t="str">
        <f>IFERROR(__xludf.DUMMYFUNCTION("""COMPUTED_VALUE"""),"Tap 6 Clone (10/15/2021)")</f>
        <v>Tap 6 Clone (10/15/2021)</v>
      </c>
      <c r="H439" s="19"/>
    </row>
    <row r="440">
      <c r="A440" s="9"/>
      <c r="B440" s="15"/>
      <c r="C440" s="9">
        <f>IFERROR(__xludf.DUMMYFUNCTION("""COMPUTED_VALUE"""),44507.2188283101)</f>
        <v>44507.21883</v>
      </c>
      <c r="D440" s="15">
        <f>IFERROR(__xludf.DUMMYFUNCTION("""COMPUTED_VALUE"""),1.013)</f>
        <v>1.013</v>
      </c>
      <c r="E440" s="16">
        <f>IFERROR(__xludf.DUMMYFUNCTION("""COMPUTED_VALUE"""),64.0)</f>
        <v>64</v>
      </c>
      <c r="F440" s="19" t="str">
        <f>IFERROR(__xludf.DUMMYFUNCTION("""COMPUTED_VALUE"""),"BLACK")</f>
        <v>BLACK</v>
      </c>
      <c r="G440" s="20" t="str">
        <f>IFERROR(__xludf.DUMMYFUNCTION("""COMPUTED_VALUE"""),"Tap 6 Clone (10/15/2021)")</f>
        <v>Tap 6 Clone (10/15/2021)</v>
      </c>
      <c r="H440" s="19"/>
    </row>
    <row r="441">
      <c r="A441" s="9"/>
      <c r="B441" s="15"/>
      <c r="C441" s="9">
        <f>IFERROR(__xludf.DUMMYFUNCTION("""COMPUTED_VALUE"""),44507.2084043518)</f>
        <v>44507.2084</v>
      </c>
      <c r="D441" s="15">
        <f>IFERROR(__xludf.DUMMYFUNCTION("""COMPUTED_VALUE"""),1.013)</f>
        <v>1.013</v>
      </c>
      <c r="E441" s="16">
        <f>IFERROR(__xludf.DUMMYFUNCTION("""COMPUTED_VALUE"""),64.0)</f>
        <v>64</v>
      </c>
      <c r="F441" s="19" t="str">
        <f>IFERROR(__xludf.DUMMYFUNCTION("""COMPUTED_VALUE"""),"BLACK")</f>
        <v>BLACK</v>
      </c>
      <c r="G441" s="20" t="str">
        <f>IFERROR(__xludf.DUMMYFUNCTION("""COMPUTED_VALUE"""),"Tap 6 Clone (10/15/2021)")</f>
        <v>Tap 6 Clone (10/15/2021)</v>
      </c>
      <c r="H441" s="19"/>
    </row>
    <row r="442">
      <c r="A442" s="9"/>
      <c r="B442" s="15"/>
      <c r="C442" s="9">
        <f>IFERROR(__xludf.DUMMYFUNCTION("""COMPUTED_VALUE"""),44507.1979847106)</f>
        <v>44507.19798</v>
      </c>
      <c r="D442" s="15">
        <f>IFERROR(__xludf.DUMMYFUNCTION("""COMPUTED_VALUE"""),1.013)</f>
        <v>1.013</v>
      </c>
      <c r="E442" s="16">
        <f>IFERROR(__xludf.DUMMYFUNCTION("""COMPUTED_VALUE"""),64.0)</f>
        <v>64</v>
      </c>
      <c r="F442" s="19" t="str">
        <f>IFERROR(__xludf.DUMMYFUNCTION("""COMPUTED_VALUE"""),"BLACK")</f>
        <v>BLACK</v>
      </c>
      <c r="G442" s="20" t="str">
        <f>IFERROR(__xludf.DUMMYFUNCTION("""COMPUTED_VALUE"""),"Tap 6 Clone (10/15/2021)")</f>
        <v>Tap 6 Clone (10/15/2021)</v>
      </c>
      <c r="H442" s="19"/>
    </row>
    <row r="443">
      <c r="A443" s="9"/>
      <c r="B443" s="15"/>
      <c r="C443" s="9">
        <f>IFERROR(__xludf.DUMMYFUNCTION("""COMPUTED_VALUE"""),44507.1875415393)</f>
        <v>44507.18754</v>
      </c>
      <c r="D443" s="15">
        <f>IFERROR(__xludf.DUMMYFUNCTION("""COMPUTED_VALUE"""),1.013)</f>
        <v>1.013</v>
      </c>
      <c r="E443" s="16">
        <f>IFERROR(__xludf.DUMMYFUNCTION("""COMPUTED_VALUE"""),64.0)</f>
        <v>64</v>
      </c>
      <c r="F443" s="19" t="str">
        <f>IFERROR(__xludf.DUMMYFUNCTION("""COMPUTED_VALUE"""),"BLACK")</f>
        <v>BLACK</v>
      </c>
      <c r="G443" s="20" t="str">
        <f>IFERROR(__xludf.DUMMYFUNCTION("""COMPUTED_VALUE"""),"Tap 6 Clone (10/15/2021)")</f>
        <v>Tap 6 Clone (10/15/2021)</v>
      </c>
      <c r="H443" s="19"/>
    </row>
    <row r="444">
      <c r="A444" s="9"/>
      <c r="B444" s="15"/>
      <c r="C444" s="9">
        <f>IFERROR(__xludf.DUMMYFUNCTION("""COMPUTED_VALUE"""),44507.1771202777)</f>
        <v>44507.17712</v>
      </c>
      <c r="D444" s="15">
        <f>IFERROR(__xludf.DUMMYFUNCTION("""COMPUTED_VALUE"""),1.013)</f>
        <v>1.013</v>
      </c>
      <c r="E444" s="16">
        <f>IFERROR(__xludf.DUMMYFUNCTION("""COMPUTED_VALUE"""),64.0)</f>
        <v>64</v>
      </c>
      <c r="F444" s="19" t="str">
        <f>IFERROR(__xludf.DUMMYFUNCTION("""COMPUTED_VALUE"""),"BLACK")</f>
        <v>BLACK</v>
      </c>
      <c r="G444" s="20" t="str">
        <f>IFERROR(__xludf.DUMMYFUNCTION("""COMPUTED_VALUE"""),"Tap 6 Clone (10/15/2021)")</f>
        <v>Tap 6 Clone (10/15/2021)</v>
      </c>
      <c r="H444" s="19"/>
    </row>
    <row r="445">
      <c r="A445" s="9"/>
      <c r="B445" s="15"/>
      <c r="C445" s="9">
        <f>IFERROR(__xludf.DUMMYFUNCTION("""COMPUTED_VALUE"""),44507.1666984722)</f>
        <v>44507.1667</v>
      </c>
      <c r="D445" s="15">
        <f>IFERROR(__xludf.DUMMYFUNCTION("""COMPUTED_VALUE"""),1.013)</f>
        <v>1.013</v>
      </c>
      <c r="E445" s="16">
        <f>IFERROR(__xludf.DUMMYFUNCTION("""COMPUTED_VALUE"""),64.0)</f>
        <v>64</v>
      </c>
      <c r="F445" s="19" t="str">
        <f>IFERROR(__xludf.DUMMYFUNCTION("""COMPUTED_VALUE"""),"BLACK")</f>
        <v>BLACK</v>
      </c>
      <c r="G445" s="20" t="str">
        <f>IFERROR(__xludf.DUMMYFUNCTION("""COMPUTED_VALUE"""),"Tap 6 Clone (10/15/2021)")</f>
        <v>Tap 6 Clone (10/15/2021)</v>
      </c>
      <c r="H445" s="19"/>
    </row>
    <row r="446">
      <c r="A446" s="9"/>
      <c r="B446" s="15"/>
      <c r="C446" s="9">
        <f>IFERROR(__xludf.DUMMYFUNCTION("""COMPUTED_VALUE"""),44507.1562651504)</f>
        <v>44507.15627</v>
      </c>
      <c r="D446" s="15">
        <f>IFERROR(__xludf.DUMMYFUNCTION("""COMPUTED_VALUE"""),1.013)</f>
        <v>1.013</v>
      </c>
      <c r="E446" s="16">
        <f>IFERROR(__xludf.DUMMYFUNCTION("""COMPUTED_VALUE"""),64.0)</f>
        <v>64</v>
      </c>
      <c r="F446" s="19" t="str">
        <f>IFERROR(__xludf.DUMMYFUNCTION("""COMPUTED_VALUE"""),"BLACK")</f>
        <v>BLACK</v>
      </c>
      <c r="G446" s="20" t="str">
        <f>IFERROR(__xludf.DUMMYFUNCTION("""COMPUTED_VALUE"""),"Tap 6 Clone (10/15/2021)")</f>
        <v>Tap 6 Clone (10/15/2021)</v>
      </c>
      <c r="H446" s="19"/>
    </row>
    <row r="447">
      <c r="A447" s="9"/>
      <c r="B447" s="15"/>
      <c r="C447" s="9">
        <f>IFERROR(__xludf.DUMMYFUNCTION("""COMPUTED_VALUE"""),44507.145843993)</f>
        <v>44507.14584</v>
      </c>
      <c r="D447" s="15">
        <f>IFERROR(__xludf.DUMMYFUNCTION("""COMPUTED_VALUE"""),1.013)</f>
        <v>1.013</v>
      </c>
      <c r="E447" s="16">
        <f>IFERROR(__xludf.DUMMYFUNCTION("""COMPUTED_VALUE"""),64.0)</f>
        <v>64</v>
      </c>
      <c r="F447" s="19" t="str">
        <f>IFERROR(__xludf.DUMMYFUNCTION("""COMPUTED_VALUE"""),"BLACK")</f>
        <v>BLACK</v>
      </c>
      <c r="G447" s="20" t="str">
        <f>IFERROR(__xludf.DUMMYFUNCTION("""COMPUTED_VALUE"""),"Tap 6 Clone (10/15/2021)")</f>
        <v>Tap 6 Clone (10/15/2021)</v>
      </c>
      <c r="H447" s="19"/>
    </row>
    <row r="448">
      <c r="A448" s="9"/>
      <c r="B448" s="15"/>
      <c r="C448" s="9">
        <f>IFERROR(__xludf.DUMMYFUNCTION("""COMPUTED_VALUE"""),44507.1354112384)</f>
        <v>44507.13541</v>
      </c>
      <c r="D448" s="15">
        <f>IFERROR(__xludf.DUMMYFUNCTION("""COMPUTED_VALUE"""),1.013)</f>
        <v>1.013</v>
      </c>
      <c r="E448" s="16">
        <f>IFERROR(__xludf.DUMMYFUNCTION("""COMPUTED_VALUE"""),64.0)</f>
        <v>64</v>
      </c>
      <c r="F448" s="19" t="str">
        <f>IFERROR(__xludf.DUMMYFUNCTION("""COMPUTED_VALUE"""),"BLACK")</f>
        <v>BLACK</v>
      </c>
      <c r="G448" s="20" t="str">
        <f>IFERROR(__xludf.DUMMYFUNCTION("""COMPUTED_VALUE"""),"Tap 6 Clone (10/15/2021)")</f>
        <v>Tap 6 Clone (10/15/2021)</v>
      </c>
      <c r="H448" s="19"/>
    </row>
    <row r="449">
      <c r="A449" s="9"/>
      <c r="B449" s="15"/>
      <c r="C449" s="9">
        <f>IFERROR(__xludf.DUMMYFUNCTION("""COMPUTED_VALUE"""),44507.124990162)</f>
        <v>44507.12499</v>
      </c>
      <c r="D449" s="15">
        <f>IFERROR(__xludf.DUMMYFUNCTION("""COMPUTED_VALUE"""),1.013)</f>
        <v>1.013</v>
      </c>
      <c r="E449" s="16">
        <f>IFERROR(__xludf.DUMMYFUNCTION("""COMPUTED_VALUE"""),64.0)</f>
        <v>64</v>
      </c>
      <c r="F449" s="19" t="str">
        <f>IFERROR(__xludf.DUMMYFUNCTION("""COMPUTED_VALUE"""),"BLACK")</f>
        <v>BLACK</v>
      </c>
      <c r="G449" s="20" t="str">
        <f>IFERROR(__xludf.DUMMYFUNCTION("""COMPUTED_VALUE"""),"Tap 6 Clone (10/15/2021)")</f>
        <v>Tap 6 Clone (10/15/2021)</v>
      </c>
      <c r="H449" s="19"/>
    </row>
    <row r="450">
      <c r="A450" s="9"/>
      <c r="B450" s="15"/>
      <c r="C450" s="9">
        <f>IFERROR(__xludf.DUMMYFUNCTION("""COMPUTED_VALUE"""),44507.1145684027)</f>
        <v>44507.11457</v>
      </c>
      <c r="D450" s="15">
        <f>IFERROR(__xludf.DUMMYFUNCTION("""COMPUTED_VALUE"""),1.013)</f>
        <v>1.013</v>
      </c>
      <c r="E450" s="16">
        <f>IFERROR(__xludf.DUMMYFUNCTION("""COMPUTED_VALUE"""),64.0)</f>
        <v>64</v>
      </c>
      <c r="F450" s="19" t="str">
        <f>IFERROR(__xludf.DUMMYFUNCTION("""COMPUTED_VALUE"""),"BLACK")</f>
        <v>BLACK</v>
      </c>
      <c r="G450" s="20" t="str">
        <f>IFERROR(__xludf.DUMMYFUNCTION("""COMPUTED_VALUE"""),"Tap 6 Clone (10/15/2021)")</f>
        <v>Tap 6 Clone (10/15/2021)</v>
      </c>
      <c r="H450" s="19"/>
    </row>
    <row r="451">
      <c r="A451" s="9"/>
      <c r="B451" s="15"/>
      <c r="C451" s="9">
        <f>IFERROR(__xludf.DUMMYFUNCTION("""COMPUTED_VALUE"""),44507.1041478125)</f>
        <v>44507.10415</v>
      </c>
      <c r="D451" s="15">
        <f>IFERROR(__xludf.DUMMYFUNCTION("""COMPUTED_VALUE"""),1.013)</f>
        <v>1.013</v>
      </c>
      <c r="E451" s="16">
        <f>IFERROR(__xludf.DUMMYFUNCTION("""COMPUTED_VALUE"""),64.0)</f>
        <v>64</v>
      </c>
      <c r="F451" s="19" t="str">
        <f>IFERROR(__xludf.DUMMYFUNCTION("""COMPUTED_VALUE"""),"BLACK")</f>
        <v>BLACK</v>
      </c>
      <c r="G451" s="20" t="str">
        <f>IFERROR(__xludf.DUMMYFUNCTION("""COMPUTED_VALUE"""),"Tap 6 Clone (10/15/2021)")</f>
        <v>Tap 6 Clone (10/15/2021)</v>
      </c>
      <c r="H451" s="19"/>
    </row>
    <row r="452">
      <c r="A452" s="9"/>
      <c r="B452" s="15"/>
      <c r="C452" s="9">
        <f>IFERROR(__xludf.DUMMYFUNCTION("""COMPUTED_VALUE"""),44507.0937268287)</f>
        <v>44507.09373</v>
      </c>
      <c r="D452" s="15">
        <f>IFERROR(__xludf.DUMMYFUNCTION("""COMPUTED_VALUE"""),1.013)</f>
        <v>1.013</v>
      </c>
      <c r="E452" s="16">
        <f>IFERROR(__xludf.DUMMYFUNCTION("""COMPUTED_VALUE"""),64.0)</f>
        <v>64</v>
      </c>
      <c r="F452" s="19" t="str">
        <f>IFERROR(__xludf.DUMMYFUNCTION("""COMPUTED_VALUE"""),"BLACK")</f>
        <v>BLACK</v>
      </c>
      <c r="G452" s="20" t="str">
        <f>IFERROR(__xludf.DUMMYFUNCTION("""COMPUTED_VALUE"""),"Tap 6 Clone (10/15/2021)")</f>
        <v>Tap 6 Clone (10/15/2021)</v>
      </c>
      <c r="H452" s="19"/>
    </row>
    <row r="453">
      <c r="A453" s="9"/>
      <c r="B453" s="15"/>
      <c r="C453" s="9">
        <f>IFERROR(__xludf.DUMMYFUNCTION("""COMPUTED_VALUE"""),44507.0833057754)</f>
        <v>44507.08331</v>
      </c>
      <c r="D453" s="15">
        <f>IFERROR(__xludf.DUMMYFUNCTION("""COMPUTED_VALUE"""),1.013)</f>
        <v>1.013</v>
      </c>
      <c r="E453" s="16">
        <f>IFERROR(__xludf.DUMMYFUNCTION("""COMPUTED_VALUE"""),64.0)</f>
        <v>64</v>
      </c>
      <c r="F453" s="19" t="str">
        <f>IFERROR(__xludf.DUMMYFUNCTION("""COMPUTED_VALUE"""),"BLACK")</f>
        <v>BLACK</v>
      </c>
      <c r="G453" s="20" t="str">
        <f>IFERROR(__xludf.DUMMYFUNCTION("""COMPUTED_VALUE"""),"Tap 6 Clone (10/15/2021)")</f>
        <v>Tap 6 Clone (10/15/2021)</v>
      </c>
      <c r="H453" s="19"/>
    </row>
    <row r="454">
      <c r="A454" s="9"/>
      <c r="B454" s="15"/>
      <c r="C454" s="9">
        <f>IFERROR(__xludf.DUMMYFUNCTION("""COMPUTED_VALUE"""),44507.0832767476)</f>
        <v>44507.08328</v>
      </c>
      <c r="D454" s="15">
        <f>IFERROR(__xludf.DUMMYFUNCTION("""COMPUTED_VALUE"""),1.013)</f>
        <v>1.013</v>
      </c>
      <c r="E454" s="16">
        <f>IFERROR(__xludf.DUMMYFUNCTION("""COMPUTED_VALUE"""),64.0)</f>
        <v>64</v>
      </c>
      <c r="F454" s="19" t="str">
        <f>IFERROR(__xludf.DUMMYFUNCTION("""COMPUTED_VALUE"""),"BLACK")</f>
        <v>BLACK</v>
      </c>
      <c r="G454" s="20" t="str">
        <f>IFERROR(__xludf.DUMMYFUNCTION("""COMPUTED_VALUE"""),"Tap 6 Clone (10/15/2021)")</f>
        <v>Tap 6 Clone (10/15/2021)</v>
      </c>
      <c r="H454" s="19"/>
    </row>
    <row r="455">
      <c r="A455" s="9"/>
      <c r="B455" s="15"/>
      <c r="C455" s="9">
        <f>IFERROR(__xludf.DUMMYFUNCTION("""COMPUTED_VALUE"""),44507.0728846064)</f>
        <v>44507.07288</v>
      </c>
      <c r="D455" s="15">
        <f>IFERROR(__xludf.DUMMYFUNCTION("""COMPUTED_VALUE"""),1.013)</f>
        <v>1.013</v>
      </c>
      <c r="E455" s="16">
        <f>IFERROR(__xludf.DUMMYFUNCTION("""COMPUTED_VALUE"""),64.0)</f>
        <v>64</v>
      </c>
      <c r="F455" s="19" t="str">
        <f>IFERROR(__xludf.DUMMYFUNCTION("""COMPUTED_VALUE"""),"BLACK")</f>
        <v>BLACK</v>
      </c>
      <c r="G455" s="20" t="str">
        <f>IFERROR(__xludf.DUMMYFUNCTION("""COMPUTED_VALUE"""),"Tap 6 Clone (10/15/2021)")</f>
        <v>Tap 6 Clone (10/15/2021)</v>
      </c>
      <c r="H455" s="19"/>
    </row>
    <row r="456">
      <c r="A456" s="9"/>
      <c r="B456" s="15"/>
      <c r="C456" s="9">
        <f>IFERROR(__xludf.DUMMYFUNCTION("""COMPUTED_VALUE"""),44507.0728450463)</f>
        <v>44507.07285</v>
      </c>
      <c r="D456" s="15">
        <f>IFERROR(__xludf.DUMMYFUNCTION("""COMPUTED_VALUE"""),1.013)</f>
        <v>1.013</v>
      </c>
      <c r="E456" s="16">
        <f>IFERROR(__xludf.DUMMYFUNCTION("""COMPUTED_VALUE"""),64.0)</f>
        <v>64</v>
      </c>
      <c r="F456" s="19" t="str">
        <f>IFERROR(__xludf.DUMMYFUNCTION("""COMPUTED_VALUE"""),"BLACK")</f>
        <v>BLACK</v>
      </c>
      <c r="G456" s="20" t="str">
        <f>IFERROR(__xludf.DUMMYFUNCTION("""COMPUTED_VALUE"""),"Tap 6 Clone (10/15/2021)")</f>
        <v>Tap 6 Clone (10/15/2021)</v>
      </c>
      <c r="H456" s="19"/>
    </row>
    <row r="457">
      <c r="A457" s="9"/>
      <c r="B457" s="15"/>
      <c r="C457" s="9">
        <f>IFERROR(__xludf.DUMMYFUNCTION("""COMPUTED_VALUE"""),44507.0624513541)</f>
        <v>44507.06245</v>
      </c>
      <c r="D457" s="15">
        <f>IFERROR(__xludf.DUMMYFUNCTION("""COMPUTED_VALUE"""),1.013)</f>
        <v>1.013</v>
      </c>
      <c r="E457" s="16">
        <f>IFERROR(__xludf.DUMMYFUNCTION("""COMPUTED_VALUE"""),64.0)</f>
        <v>64</v>
      </c>
      <c r="F457" s="19" t="str">
        <f>IFERROR(__xludf.DUMMYFUNCTION("""COMPUTED_VALUE"""),"BLACK")</f>
        <v>BLACK</v>
      </c>
      <c r="G457" s="20" t="str">
        <f>IFERROR(__xludf.DUMMYFUNCTION("""COMPUTED_VALUE"""),"Tap 6 Clone (10/15/2021)")</f>
        <v>Tap 6 Clone (10/15/2021)</v>
      </c>
      <c r="H457" s="19"/>
    </row>
    <row r="458">
      <c r="A458" s="9"/>
      <c r="B458" s="15"/>
      <c r="C458" s="9">
        <f>IFERROR(__xludf.DUMMYFUNCTION("""COMPUTED_VALUE"""),44507.0624238078)</f>
        <v>44507.06242</v>
      </c>
      <c r="D458" s="15">
        <f>IFERROR(__xludf.DUMMYFUNCTION("""COMPUTED_VALUE"""),1.013)</f>
        <v>1.013</v>
      </c>
      <c r="E458" s="16">
        <f>IFERROR(__xludf.DUMMYFUNCTION("""COMPUTED_VALUE"""),64.0)</f>
        <v>64</v>
      </c>
      <c r="F458" s="19" t="str">
        <f>IFERROR(__xludf.DUMMYFUNCTION("""COMPUTED_VALUE"""),"BLACK")</f>
        <v>BLACK</v>
      </c>
      <c r="G458" s="20" t="str">
        <f>IFERROR(__xludf.DUMMYFUNCTION("""COMPUTED_VALUE"""),"Tap 6 Clone (10/15/2021)")</f>
        <v>Tap 6 Clone (10/15/2021)</v>
      </c>
      <c r="H458" s="19"/>
    </row>
    <row r="459">
      <c r="A459" s="9"/>
      <c r="B459" s="15"/>
      <c r="C459" s="9">
        <f>IFERROR(__xludf.DUMMYFUNCTION("""COMPUTED_VALUE"""),44507.0520301388)</f>
        <v>44507.05203</v>
      </c>
      <c r="D459" s="15">
        <f>IFERROR(__xludf.DUMMYFUNCTION("""COMPUTED_VALUE"""),1.013)</f>
        <v>1.013</v>
      </c>
      <c r="E459" s="16">
        <f>IFERROR(__xludf.DUMMYFUNCTION("""COMPUTED_VALUE"""),64.0)</f>
        <v>64</v>
      </c>
      <c r="F459" s="19" t="str">
        <f>IFERROR(__xludf.DUMMYFUNCTION("""COMPUTED_VALUE"""),"BLACK")</f>
        <v>BLACK</v>
      </c>
      <c r="G459" s="20" t="str">
        <f>IFERROR(__xludf.DUMMYFUNCTION("""COMPUTED_VALUE"""),"Tap 6 Clone (10/15/2021)")</f>
        <v>Tap 6 Clone (10/15/2021)</v>
      </c>
      <c r="H459" s="19"/>
    </row>
    <row r="460">
      <c r="A460" s="9"/>
      <c r="B460" s="15"/>
      <c r="C460" s="9">
        <f>IFERROR(__xludf.DUMMYFUNCTION("""COMPUTED_VALUE"""),44507.0520005324)</f>
        <v>44507.052</v>
      </c>
      <c r="D460" s="15">
        <f>IFERROR(__xludf.DUMMYFUNCTION("""COMPUTED_VALUE"""),1.013)</f>
        <v>1.013</v>
      </c>
      <c r="E460" s="16">
        <f>IFERROR(__xludf.DUMMYFUNCTION("""COMPUTED_VALUE"""),64.0)</f>
        <v>64</v>
      </c>
      <c r="F460" s="19" t="str">
        <f>IFERROR(__xludf.DUMMYFUNCTION("""COMPUTED_VALUE"""),"BLACK")</f>
        <v>BLACK</v>
      </c>
      <c r="G460" s="20" t="str">
        <f>IFERROR(__xludf.DUMMYFUNCTION("""COMPUTED_VALUE"""),"Tap 6 Clone (10/15/2021)")</f>
        <v>Tap 6 Clone (10/15/2021)</v>
      </c>
      <c r="H460" s="19"/>
    </row>
    <row r="461">
      <c r="A461" s="9"/>
      <c r="B461" s="15"/>
      <c r="C461" s="9">
        <f>IFERROR(__xludf.DUMMYFUNCTION("""COMPUTED_VALUE"""),44507.0415784375)</f>
        <v>44507.04158</v>
      </c>
      <c r="D461" s="15">
        <f>IFERROR(__xludf.DUMMYFUNCTION("""COMPUTED_VALUE"""),1.013)</f>
        <v>1.013</v>
      </c>
      <c r="E461" s="16">
        <f>IFERROR(__xludf.DUMMYFUNCTION("""COMPUTED_VALUE"""),64.0)</f>
        <v>64</v>
      </c>
      <c r="F461" s="19" t="str">
        <f>IFERROR(__xludf.DUMMYFUNCTION("""COMPUTED_VALUE"""),"BLACK")</f>
        <v>BLACK</v>
      </c>
      <c r="G461" s="20" t="str">
        <f>IFERROR(__xludf.DUMMYFUNCTION("""COMPUTED_VALUE"""),"Tap 6 Clone (10/15/2021)")</f>
        <v>Tap 6 Clone (10/15/2021)</v>
      </c>
      <c r="H461" s="19"/>
    </row>
    <row r="462">
      <c r="A462" s="9"/>
      <c r="B462" s="15"/>
      <c r="C462" s="9">
        <f>IFERROR(__xludf.DUMMYFUNCTION("""COMPUTED_VALUE"""),44507.0311571527)</f>
        <v>44507.03116</v>
      </c>
      <c r="D462" s="15">
        <f>IFERROR(__xludf.DUMMYFUNCTION("""COMPUTED_VALUE"""),1.013)</f>
        <v>1.013</v>
      </c>
      <c r="E462" s="16">
        <f>IFERROR(__xludf.DUMMYFUNCTION("""COMPUTED_VALUE"""),64.0)</f>
        <v>64</v>
      </c>
      <c r="F462" s="19" t="str">
        <f>IFERROR(__xludf.DUMMYFUNCTION("""COMPUTED_VALUE"""),"BLACK")</f>
        <v>BLACK</v>
      </c>
      <c r="G462" s="20" t="str">
        <f>IFERROR(__xludf.DUMMYFUNCTION("""COMPUTED_VALUE"""),"Tap 6 Clone (10/15/2021)")</f>
        <v>Tap 6 Clone (10/15/2021)</v>
      </c>
      <c r="H462" s="19"/>
    </row>
    <row r="463">
      <c r="A463" s="9"/>
      <c r="B463" s="15"/>
      <c r="C463" s="9">
        <f>IFERROR(__xludf.DUMMYFUNCTION("""COMPUTED_VALUE"""),44507.0207365972)</f>
        <v>44507.02074</v>
      </c>
      <c r="D463" s="15">
        <f>IFERROR(__xludf.DUMMYFUNCTION("""COMPUTED_VALUE"""),1.013)</f>
        <v>1.013</v>
      </c>
      <c r="E463" s="16">
        <f>IFERROR(__xludf.DUMMYFUNCTION("""COMPUTED_VALUE"""),64.0)</f>
        <v>64</v>
      </c>
      <c r="F463" s="19" t="str">
        <f>IFERROR(__xludf.DUMMYFUNCTION("""COMPUTED_VALUE"""),"BLACK")</f>
        <v>BLACK</v>
      </c>
      <c r="G463" s="20" t="str">
        <f>IFERROR(__xludf.DUMMYFUNCTION("""COMPUTED_VALUE"""),"Tap 6 Clone (10/15/2021)")</f>
        <v>Tap 6 Clone (10/15/2021)</v>
      </c>
      <c r="H463" s="19"/>
    </row>
    <row r="464">
      <c r="A464" s="9"/>
      <c r="B464" s="15"/>
      <c r="C464" s="9">
        <f>IFERROR(__xludf.DUMMYFUNCTION("""COMPUTED_VALUE"""),44507.0103037731)</f>
        <v>44507.0103</v>
      </c>
      <c r="D464" s="15">
        <f>IFERROR(__xludf.DUMMYFUNCTION("""COMPUTED_VALUE"""),1.013)</f>
        <v>1.013</v>
      </c>
      <c r="E464" s="16">
        <f>IFERROR(__xludf.DUMMYFUNCTION("""COMPUTED_VALUE"""),64.0)</f>
        <v>64</v>
      </c>
      <c r="F464" s="19" t="str">
        <f>IFERROR(__xludf.DUMMYFUNCTION("""COMPUTED_VALUE"""),"BLACK")</f>
        <v>BLACK</v>
      </c>
      <c r="G464" s="20" t="str">
        <f>IFERROR(__xludf.DUMMYFUNCTION("""COMPUTED_VALUE"""),"Tap 6 Clone (10/15/2021)")</f>
        <v>Tap 6 Clone (10/15/2021)</v>
      </c>
      <c r="H464" s="19"/>
    </row>
    <row r="465">
      <c r="A465" s="9"/>
      <c r="B465" s="15"/>
      <c r="C465" s="9">
        <f>IFERROR(__xludf.DUMMYFUNCTION("""COMPUTED_VALUE"""),44506.9998825694)</f>
        <v>44506.99988</v>
      </c>
      <c r="D465" s="15">
        <f>IFERROR(__xludf.DUMMYFUNCTION("""COMPUTED_VALUE"""),1.013)</f>
        <v>1.013</v>
      </c>
      <c r="E465" s="16">
        <f>IFERROR(__xludf.DUMMYFUNCTION("""COMPUTED_VALUE"""),64.0)</f>
        <v>64</v>
      </c>
      <c r="F465" s="19" t="str">
        <f>IFERROR(__xludf.DUMMYFUNCTION("""COMPUTED_VALUE"""),"BLACK")</f>
        <v>BLACK</v>
      </c>
      <c r="G465" s="20" t="str">
        <f>IFERROR(__xludf.DUMMYFUNCTION("""COMPUTED_VALUE"""),"Tap 6 Clone (10/15/2021)")</f>
        <v>Tap 6 Clone (10/15/2021)</v>
      </c>
      <c r="H465" s="19"/>
    </row>
    <row r="466">
      <c r="A466" s="9"/>
      <c r="B466" s="15"/>
      <c r="C466" s="9">
        <f>IFERROR(__xludf.DUMMYFUNCTION("""COMPUTED_VALUE"""),44506.9894618981)</f>
        <v>44506.98946</v>
      </c>
      <c r="D466" s="15">
        <f>IFERROR(__xludf.DUMMYFUNCTION("""COMPUTED_VALUE"""),1.013)</f>
        <v>1.013</v>
      </c>
      <c r="E466" s="16">
        <f>IFERROR(__xludf.DUMMYFUNCTION("""COMPUTED_VALUE"""),64.0)</f>
        <v>64</v>
      </c>
      <c r="F466" s="19" t="str">
        <f>IFERROR(__xludf.DUMMYFUNCTION("""COMPUTED_VALUE"""),"BLACK")</f>
        <v>BLACK</v>
      </c>
      <c r="G466" s="20" t="str">
        <f>IFERROR(__xludf.DUMMYFUNCTION("""COMPUTED_VALUE"""),"Tap 6 Clone (10/15/2021)")</f>
        <v>Tap 6 Clone (10/15/2021)</v>
      </c>
      <c r="H466" s="19"/>
    </row>
    <row r="467">
      <c r="A467" s="9"/>
      <c r="B467" s="15"/>
      <c r="C467" s="9">
        <f>IFERROR(__xludf.DUMMYFUNCTION("""COMPUTED_VALUE"""),44506.9790409606)</f>
        <v>44506.97904</v>
      </c>
      <c r="D467" s="15">
        <f>IFERROR(__xludf.DUMMYFUNCTION("""COMPUTED_VALUE"""),1.013)</f>
        <v>1.013</v>
      </c>
      <c r="E467" s="16">
        <f>IFERROR(__xludf.DUMMYFUNCTION("""COMPUTED_VALUE"""),64.0)</f>
        <v>64</v>
      </c>
      <c r="F467" s="19" t="str">
        <f>IFERROR(__xludf.DUMMYFUNCTION("""COMPUTED_VALUE"""),"BLACK")</f>
        <v>BLACK</v>
      </c>
      <c r="G467" s="20" t="str">
        <f>IFERROR(__xludf.DUMMYFUNCTION("""COMPUTED_VALUE"""),"Tap 6 Clone (10/15/2021)")</f>
        <v>Tap 6 Clone (10/15/2021)</v>
      </c>
      <c r="H467" s="19"/>
    </row>
    <row r="468">
      <c r="A468" s="9"/>
      <c r="B468" s="15"/>
      <c r="C468" s="9">
        <f>IFERROR(__xludf.DUMMYFUNCTION("""COMPUTED_VALUE"""),44506.9686181018)</f>
        <v>44506.96862</v>
      </c>
      <c r="D468" s="15">
        <f>IFERROR(__xludf.DUMMYFUNCTION("""COMPUTED_VALUE"""),1.013)</f>
        <v>1.013</v>
      </c>
      <c r="E468" s="16">
        <f>IFERROR(__xludf.DUMMYFUNCTION("""COMPUTED_VALUE"""),64.0)</f>
        <v>64</v>
      </c>
      <c r="F468" s="19" t="str">
        <f>IFERROR(__xludf.DUMMYFUNCTION("""COMPUTED_VALUE"""),"BLACK")</f>
        <v>BLACK</v>
      </c>
      <c r="G468" s="20" t="str">
        <f>IFERROR(__xludf.DUMMYFUNCTION("""COMPUTED_VALUE"""),"Tap 6 Clone (10/15/2021)")</f>
        <v>Tap 6 Clone (10/15/2021)</v>
      </c>
      <c r="H468" s="19"/>
    </row>
    <row r="469">
      <c r="A469" s="9"/>
      <c r="B469" s="15"/>
      <c r="C469" s="9">
        <f>IFERROR(__xludf.DUMMYFUNCTION("""COMPUTED_VALUE"""),44506.9581967476)</f>
        <v>44506.9582</v>
      </c>
      <c r="D469" s="15">
        <f>IFERROR(__xludf.DUMMYFUNCTION("""COMPUTED_VALUE"""),1.013)</f>
        <v>1.013</v>
      </c>
      <c r="E469" s="16">
        <f>IFERROR(__xludf.DUMMYFUNCTION("""COMPUTED_VALUE"""),64.0)</f>
        <v>64</v>
      </c>
      <c r="F469" s="19" t="str">
        <f>IFERROR(__xludf.DUMMYFUNCTION("""COMPUTED_VALUE"""),"BLACK")</f>
        <v>BLACK</v>
      </c>
      <c r="G469" s="20" t="str">
        <f>IFERROR(__xludf.DUMMYFUNCTION("""COMPUTED_VALUE"""),"Tap 6 Clone (10/15/2021)")</f>
        <v>Tap 6 Clone (10/15/2021)</v>
      </c>
      <c r="H469" s="19"/>
    </row>
    <row r="470">
      <c r="A470" s="9"/>
      <c r="B470" s="15"/>
      <c r="C470" s="9">
        <f>IFERROR(__xludf.DUMMYFUNCTION("""COMPUTED_VALUE"""),44506.947775)</f>
        <v>44506.94778</v>
      </c>
      <c r="D470" s="15">
        <f>IFERROR(__xludf.DUMMYFUNCTION("""COMPUTED_VALUE"""),1.013)</f>
        <v>1.013</v>
      </c>
      <c r="E470" s="16">
        <f>IFERROR(__xludf.DUMMYFUNCTION("""COMPUTED_VALUE"""),64.0)</f>
        <v>64</v>
      </c>
      <c r="F470" s="19" t="str">
        <f>IFERROR(__xludf.DUMMYFUNCTION("""COMPUTED_VALUE"""),"BLACK")</f>
        <v>BLACK</v>
      </c>
      <c r="G470" s="20" t="str">
        <f>IFERROR(__xludf.DUMMYFUNCTION("""COMPUTED_VALUE"""),"Tap 6 Clone (10/15/2021)")</f>
        <v>Tap 6 Clone (10/15/2021)</v>
      </c>
      <c r="H470" s="19"/>
    </row>
    <row r="471">
      <c r="A471" s="9"/>
      <c r="B471" s="15"/>
      <c r="C471" s="9">
        <f>IFERROR(__xludf.DUMMYFUNCTION("""COMPUTED_VALUE"""),44506.9373537268)</f>
        <v>44506.93735</v>
      </c>
      <c r="D471" s="15">
        <f>IFERROR(__xludf.DUMMYFUNCTION("""COMPUTED_VALUE"""),1.013)</f>
        <v>1.013</v>
      </c>
      <c r="E471" s="16">
        <f>IFERROR(__xludf.DUMMYFUNCTION("""COMPUTED_VALUE"""),64.0)</f>
        <v>64</v>
      </c>
      <c r="F471" s="19" t="str">
        <f>IFERROR(__xludf.DUMMYFUNCTION("""COMPUTED_VALUE"""),"BLACK")</f>
        <v>BLACK</v>
      </c>
      <c r="G471" s="20" t="str">
        <f>IFERROR(__xludf.DUMMYFUNCTION("""COMPUTED_VALUE"""),"Tap 6 Clone (10/15/2021)")</f>
        <v>Tap 6 Clone (10/15/2021)</v>
      </c>
      <c r="H471" s="19"/>
    </row>
    <row r="472">
      <c r="A472" s="9"/>
      <c r="B472" s="15"/>
      <c r="C472" s="9">
        <f>IFERROR(__xludf.DUMMYFUNCTION("""COMPUTED_VALUE"""),44506.9269317592)</f>
        <v>44506.92693</v>
      </c>
      <c r="D472" s="15">
        <f>IFERROR(__xludf.DUMMYFUNCTION("""COMPUTED_VALUE"""),1.013)</f>
        <v>1.013</v>
      </c>
      <c r="E472" s="16">
        <f>IFERROR(__xludf.DUMMYFUNCTION("""COMPUTED_VALUE"""),64.0)</f>
        <v>64</v>
      </c>
      <c r="F472" s="19" t="str">
        <f>IFERROR(__xludf.DUMMYFUNCTION("""COMPUTED_VALUE"""),"BLACK")</f>
        <v>BLACK</v>
      </c>
      <c r="G472" s="20" t="str">
        <f>IFERROR(__xludf.DUMMYFUNCTION("""COMPUTED_VALUE"""),"Tap 6 Clone (10/15/2021)")</f>
        <v>Tap 6 Clone (10/15/2021)</v>
      </c>
      <c r="H472" s="19"/>
    </row>
    <row r="473">
      <c r="A473" s="9"/>
      <c r="B473" s="15"/>
      <c r="C473" s="9">
        <f>IFERROR(__xludf.DUMMYFUNCTION("""COMPUTED_VALUE"""),44506.9165091782)</f>
        <v>44506.91651</v>
      </c>
      <c r="D473" s="15">
        <f>IFERROR(__xludf.DUMMYFUNCTION("""COMPUTED_VALUE"""),1.013)</f>
        <v>1.013</v>
      </c>
      <c r="E473" s="16">
        <f>IFERROR(__xludf.DUMMYFUNCTION("""COMPUTED_VALUE"""),64.0)</f>
        <v>64</v>
      </c>
      <c r="F473" s="19" t="str">
        <f>IFERROR(__xludf.DUMMYFUNCTION("""COMPUTED_VALUE"""),"BLACK")</f>
        <v>BLACK</v>
      </c>
      <c r="G473" s="20" t="str">
        <f>IFERROR(__xludf.DUMMYFUNCTION("""COMPUTED_VALUE"""),"Tap 6 Clone (10/15/2021)")</f>
        <v>Tap 6 Clone (10/15/2021)</v>
      </c>
      <c r="H473" s="19"/>
    </row>
    <row r="474">
      <c r="A474" s="9"/>
      <c r="B474" s="15"/>
      <c r="C474" s="9">
        <f>IFERROR(__xludf.DUMMYFUNCTION("""COMPUTED_VALUE"""),44506.9060769213)</f>
        <v>44506.90608</v>
      </c>
      <c r="D474" s="15">
        <f>IFERROR(__xludf.DUMMYFUNCTION("""COMPUTED_VALUE"""),1.013)</f>
        <v>1.013</v>
      </c>
      <c r="E474" s="16">
        <f>IFERROR(__xludf.DUMMYFUNCTION("""COMPUTED_VALUE"""),64.0)</f>
        <v>64</v>
      </c>
      <c r="F474" s="19" t="str">
        <f>IFERROR(__xludf.DUMMYFUNCTION("""COMPUTED_VALUE"""),"BLACK")</f>
        <v>BLACK</v>
      </c>
      <c r="G474" s="20" t="str">
        <f>IFERROR(__xludf.DUMMYFUNCTION("""COMPUTED_VALUE"""),"Tap 6 Clone (10/15/2021)")</f>
        <v>Tap 6 Clone (10/15/2021)</v>
      </c>
      <c r="H474" s="19"/>
    </row>
    <row r="475">
      <c r="A475" s="9"/>
      <c r="B475" s="15"/>
      <c r="C475" s="9">
        <f>IFERROR(__xludf.DUMMYFUNCTION("""COMPUTED_VALUE"""),44506.895644618)</f>
        <v>44506.89564</v>
      </c>
      <c r="D475" s="15">
        <f>IFERROR(__xludf.DUMMYFUNCTION("""COMPUTED_VALUE"""),1.013)</f>
        <v>1.013</v>
      </c>
      <c r="E475" s="16">
        <f>IFERROR(__xludf.DUMMYFUNCTION("""COMPUTED_VALUE"""),64.0)</f>
        <v>64</v>
      </c>
      <c r="F475" s="19" t="str">
        <f>IFERROR(__xludf.DUMMYFUNCTION("""COMPUTED_VALUE"""),"BLACK")</f>
        <v>BLACK</v>
      </c>
      <c r="G475" s="20" t="str">
        <f>IFERROR(__xludf.DUMMYFUNCTION("""COMPUTED_VALUE"""),"Tap 6 Clone (10/15/2021)")</f>
        <v>Tap 6 Clone (10/15/2021)</v>
      </c>
      <c r="H475" s="19"/>
    </row>
    <row r="476">
      <c r="A476" s="9"/>
      <c r="B476" s="15"/>
      <c r="C476" s="9">
        <f>IFERROR(__xludf.DUMMYFUNCTION("""COMPUTED_VALUE"""),44506.8851875926)</f>
        <v>44506.88519</v>
      </c>
      <c r="D476" s="15">
        <f>IFERROR(__xludf.DUMMYFUNCTION("""COMPUTED_VALUE"""),1.013)</f>
        <v>1.013</v>
      </c>
      <c r="E476" s="16">
        <f>IFERROR(__xludf.DUMMYFUNCTION("""COMPUTED_VALUE"""),64.0)</f>
        <v>64</v>
      </c>
      <c r="F476" s="19" t="str">
        <f>IFERROR(__xludf.DUMMYFUNCTION("""COMPUTED_VALUE"""),"BLACK")</f>
        <v>BLACK</v>
      </c>
      <c r="G476" s="20" t="str">
        <f>IFERROR(__xludf.DUMMYFUNCTION("""COMPUTED_VALUE"""),"Tap 6 Clone (10/15/2021)")</f>
        <v>Tap 6 Clone (10/15/2021)</v>
      </c>
      <c r="H476" s="19"/>
    </row>
    <row r="477">
      <c r="A477" s="9"/>
      <c r="B477" s="15"/>
      <c r="C477" s="9">
        <f>IFERROR(__xludf.DUMMYFUNCTION("""COMPUTED_VALUE"""),44506.8747669791)</f>
        <v>44506.87477</v>
      </c>
      <c r="D477" s="15">
        <f>IFERROR(__xludf.DUMMYFUNCTION("""COMPUTED_VALUE"""),1.013)</f>
        <v>1.013</v>
      </c>
      <c r="E477" s="16">
        <f>IFERROR(__xludf.DUMMYFUNCTION("""COMPUTED_VALUE"""),64.0)</f>
        <v>64</v>
      </c>
      <c r="F477" s="19" t="str">
        <f>IFERROR(__xludf.DUMMYFUNCTION("""COMPUTED_VALUE"""),"BLACK")</f>
        <v>BLACK</v>
      </c>
      <c r="G477" s="20" t="str">
        <f>IFERROR(__xludf.DUMMYFUNCTION("""COMPUTED_VALUE"""),"Tap 6 Clone (10/15/2021)")</f>
        <v>Tap 6 Clone (10/15/2021)</v>
      </c>
      <c r="H477" s="19"/>
    </row>
    <row r="478">
      <c r="A478" s="9"/>
      <c r="B478" s="15"/>
      <c r="C478" s="9">
        <f>IFERROR(__xludf.DUMMYFUNCTION("""COMPUTED_VALUE"""),44506.86434625)</f>
        <v>44506.86435</v>
      </c>
      <c r="D478" s="15">
        <f>IFERROR(__xludf.DUMMYFUNCTION("""COMPUTED_VALUE"""),1.013)</f>
        <v>1.013</v>
      </c>
      <c r="E478" s="16">
        <f>IFERROR(__xludf.DUMMYFUNCTION("""COMPUTED_VALUE"""),64.0)</f>
        <v>64</v>
      </c>
      <c r="F478" s="19" t="str">
        <f>IFERROR(__xludf.DUMMYFUNCTION("""COMPUTED_VALUE"""),"BLACK")</f>
        <v>BLACK</v>
      </c>
      <c r="G478" s="20" t="str">
        <f>IFERROR(__xludf.DUMMYFUNCTION("""COMPUTED_VALUE"""),"Tap 6 Clone (10/15/2021)")</f>
        <v>Tap 6 Clone (10/15/2021)</v>
      </c>
      <c r="H478" s="19"/>
    </row>
    <row r="479">
      <c r="A479" s="9"/>
      <c r="B479" s="15"/>
      <c r="C479" s="9">
        <f>IFERROR(__xludf.DUMMYFUNCTION("""COMPUTED_VALUE"""),44506.853924074)</f>
        <v>44506.85392</v>
      </c>
      <c r="D479" s="15">
        <f>IFERROR(__xludf.DUMMYFUNCTION("""COMPUTED_VALUE"""),1.013)</f>
        <v>1.013</v>
      </c>
      <c r="E479" s="16">
        <f>IFERROR(__xludf.DUMMYFUNCTION("""COMPUTED_VALUE"""),65.0)</f>
        <v>65</v>
      </c>
      <c r="F479" s="19" t="str">
        <f>IFERROR(__xludf.DUMMYFUNCTION("""COMPUTED_VALUE"""),"BLACK")</f>
        <v>BLACK</v>
      </c>
      <c r="G479" s="20" t="str">
        <f>IFERROR(__xludf.DUMMYFUNCTION("""COMPUTED_VALUE"""),"Tap 6 Clone (10/15/2021)")</f>
        <v>Tap 6 Clone (10/15/2021)</v>
      </c>
      <c r="H479" s="19"/>
    </row>
    <row r="480">
      <c r="A480" s="9"/>
      <c r="B480" s="15"/>
      <c r="C480" s="9">
        <f>IFERROR(__xludf.DUMMYFUNCTION("""COMPUTED_VALUE"""),44506.8434789814)</f>
        <v>44506.84348</v>
      </c>
      <c r="D480" s="15">
        <f>IFERROR(__xludf.DUMMYFUNCTION("""COMPUTED_VALUE"""),1.013)</f>
        <v>1.013</v>
      </c>
      <c r="E480" s="16">
        <f>IFERROR(__xludf.DUMMYFUNCTION("""COMPUTED_VALUE"""),64.0)</f>
        <v>64</v>
      </c>
      <c r="F480" s="19" t="str">
        <f>IFERROR(__xludf.DUMMYFUNCTION("""COMPUTED_VALUE"""),"BLACK")</f>
        <v>BLACK</v>
      </c>
      <c r="G480" s="20" t="str">
        <f>IFERROR(__xludf.DUMMYFUNCTION("""COMPUTED_VALUE"""),"Tap 6 Clone (10/15/2021)")</f>
        <v>Tap 6 Clone (10/15/2021)</v>
      </c>
      <c r="H480" s="19"/>
    </row>
    <row r="481">
      <c r="A481" s="9"/>
      <c r="B481" s="15"/>
      <c r="C481" s="9">
        <f>IFERROR(__xludf.DUMMYFUNCTION("""COMPUTED_VALUE"""),44506.833060405)</f>
        <v>44506.83306</v>
      </c>
      <c r="D481" s="15">
        <f>IFERROR(__xludf.DUMMYFUNCTION("""COMPUTED_VALUE"""),1.013)</f>
        <v>1.013</v>
      </c>
      <c r="E481" s="16">
        <f>IFERROR(__xludf.DUMMYFUNCTION("""COMPUTED_VALUE"""),64.0)</f>
        <v>64</v>
      </c>
      <c r="F481" s="19" t="str">
        <f>IFERROR(__xludf.DUMMYFUNCTION("""COMPUTED_VALUE"""),"BLACK")</f>
        <v>BLACK</v>
      </c>
      <c r="G481" s="20" t="str">
        <f>IFERROR(__xludf.DUMMYFUNCTION("""COMPUTED_VALUE"""),"Tap 6 Clone (10/15/2021)")</f>
        <v>Tap 6 Clone (10/15/2021)</v>
      </c>
      <c r="H481" s="19"/>
    </row>
    <row r="482">
      <c r="A482" s="9"/>
      <c r="B482" s="15"/>
      <c r="C482" s="9">
        <f>IFERROR(__xludf.DUMMYFUNCTION("""COMPUTED_VALUE"""),44506.822627037)</f>
        <v>44506.82263</v>
      </c>
      <c r="D482" s="15">
        <f>IFERROR(__xludf.DUMMYFUNCTION("""COMPUTED_VALUE"""),1.013)</f>
        <v>1.013</v>
      </c>
      <c r="E482" s="16">
        <f>IFERROR(__xludf.DUMMYFUNCTION("""COMPUTED_VALUE"""),64.0)</f>
        <v>64</v>
      </c>
      <c r="F482" s="19" t="str">
        <f>IFERROR(__xludf.DUMMYFUNCTION("""COMPUTED_VALUE"""),"BLACK")</f>
        <v>BLACK</v>
      </c>
      <c r="G482" s="20" t="str">
        <f>IFERROR(__xludf.DUMMYFUNCTION("""COMPUTED_VALUE"""),"Tap 6 Clone (10/15/2021)")</f>
        <v>Tap 6 Clone (10/15/2021)</v>
      </c>
      <c r="H482" s="19"/>
    </row>
    <row r="483">
      <c r="A483" s="9"/>
      <c r="B483" s="15"/>
      <c r="C483" s="9">
        <f>IFERROR(__xludf.DUMMYFUNCTION("""COMPUTED_VALUE"""),44506.8122057523)</f>
        <v>44506.81221</v>
      </c>
      <c r="D483" s="15">
        <f>IFERROR(__xludf.DUMMYFUNCTION("""COMPUTED_VALUE"""),1.013)</f>
        <v>1.013</v>
      </c>
      <c r="E483" s="16">
        <f>IFERROR(__xludf.DUMMYFUNCTION("""COMPUTED_VALUE"""),64.0)</f>
        <v>64</v>
      </c>
      <c r="F483" s="19" t="str">
        <f>IFERROR(__xludf.DUMMYFUNCTION("""COMPUTED_VALUE"""),"BLACK")</f>
        <v>BLACK</v>
      </c>
      <c r="G483" s="20" t="str">
        <f>IFERROR(__xludf.DUMMYFUNCTION("""COMPUTED_VALUE"""),"Tap 6 Clone (10/15/2021)")</f>
        <v>Tap 6 Clone (10/15/2021)</v>
      </c>
      <c r="H483" s="19"/>
    </row>
    <row r="484">
      <c r="A484" s="9"/>
      <c r="B484" s="15"/>
      <c r="C484" s="9">
        <f>IFERROR(__xludf.DUMMYFUNCTION("""COMPUTED_VALUE"""),44506.8017849768)</f>
        <v>44506.80178</v>
      </c>
      <c r="D484" s="15">
        <f>IFERROR(__xludf.DUMMYFUNCTION("""COMPUTED_VALUE"""),1.013)</f>
        <v>1.013</v>
      </c>
      <c r="E484" s="16">
        <f>IFERROR(__xludf.DUMMYFUNCTION("""COMPUTED_VALUE"""),64.0)</f>
        <v>64</v>
      </c>
      <c r="F484" s="19" t="str">
        <f>IFERROR(__xludf.DUMMYFUNCTION("""COMPUTED_VALUE"""),"BLACK")</f>
        <v>BLACK</v>
      </c>
      <c r="G484" s="20" t="str">
        <f>IFERROR(__xludf.DUMMYFUNCTION("""COMPUTED_VALUE"""),"Tap 6 Clone (10/15/2021)")</f>
        <v>Tap 6 Clone (10/15/2021)</v>
      </c>
      <c r="H484" s="19"/>
    </row>
    <row r="485">
      <c r="A485" s="9"/>
      <c r="B485" s="15"/>
      <c r="C485" s="9">
        <f>IFERROR(__xludf.DUMMYFUNCTION("""COMPUTED_VALUE"""),44506.7913634259)</f>
        <v>44506.79136</v>
      </c>
      <c r="D485" s="15">
        <f>IFERROR(__xludf.DUMMYFUNCTION("""COMPUTED_VALUE"""),1.013)</f>
        <v>1.013</v>
      </c>
      <c r="E485" s="16">
        <f>IFERROR(__xludf.DUMMYFUNCTION("""COMPUTED_VALUE"""),64.0)</f>
        <v>64</v>
      </c>
      <c r="F485" s="19" t="str">
        <f>IFERROR(__xludf.DUMMYFUNCTION("""COMPUTED_VALUE"""),"BLACK")</f>
        <v>BLACK</v>
      </c>
      <c r="G485" s="20" t="str">
        <f>IFERROR(__xludf.DUMMYFUNCTION("""COMPUTED_VALUE"""),"Tap 6 Clone (10/15/2021)")</f>
        <v>Tap 6 Clone (10/15/2021)</v>
      </c>
      <c r="H485" s="19"/>
    </row>
    <row r="486">
      <c r="A486" s="9"/>
      <c r="B486" s="15"/>
      <c r="C486" s="9">
        <f>IFERROR(__xludf.DUMMYFUNCTION("""COMPUTED_VALUE"""),44506.7809432986)</f>
        <v>44506.78094</v>
      </c>
      <c r="D486" s="15">
        <f>IFERROR(__xludf.DUMMYFUNCTION("""COMPUTED_VALUE"""),1.013)</f>
        <v>1.013</v>
      </c>
      <c r="E486" s="16">
        <f>IFERROR(__xludf.DUMMYFUNCTION("""COMPUTED_VALUE"""),64.0)</f>
        <v>64</v>
      </c>
      <c r="F486" s="19" t="str">
        <f>IFERROR(__xludf.DUMMYFUNCTION("""COMPUTED_VALUE"""),"BLACK")</f>
        <v>BLACK</v>
      </c>
      <c r="G486" s="20" t="str">
        <f>IFERROR(__xludf.DUMMYFUNCTION("""COMPUTED_VALUE"""),"Tap 6 Clone (10/15/2021)")</f>
        <v>Tap 6 Clone (10/15/2021)</v>
      </c>
      <c r="H486" s="19"/>
    </row>
    <row r="487">
      <c r="A487" s="9"/>
      <c r="B487" s="15"/>
      <c r="C487" s="9">
        <f>IFERROR(__xludf.DUMMYFUNCTION("""COMPUTED_VALUE"""),44506.7705212615)</f>
        <v>44506.77052</v>
      </c>
      <c r="D487" s="15">
        <f>IFERROR(__xludf.DUMMYFUNCTION("""COMPUTED_VALUE"""),1.013)</f>
        <v>1.013</v>
      </c>
      <c r="E487" s="16">
        <f>IFERROR(__xludf.DUMMYFUNCTION("""COMPUTED_VALUE"""),64.0)</f>
        <v>64</v>
      </c>
      <c r="F487" s="19" t="str">
        <f>IFERROR(__xludf.DUMMYFUNCTION("""COMPUTED_VALUE"""),"BLACK")</f>
        <v>BLACK</v>
      </c>
      <c r="G487" s="20" t="str">
        <f>IFERROR(__xludf.DUMMYFUNCTION("""COMPUTED_VALUE"""),"Tap 6 Clone (10/15/2021)")</f>
        <v>Tap 6 Clone (10/15/2021)</v>
      </c>
      <c r="H487" s="19"/>
    </row>
    <row r="488">
      <c r="A488" s="9"/>
      <c r="B488" s="15"/>
      <c r="C488" s="9">
        <f>IFERROR(__xludf.DUMMYFUNCTION("""COMPUTED_VALUE"""),44506.7601010185)</f>
        <v>44506.7601</v>
      </c>
      <c r="D488" s="15">
        <f>IFERROR(__xludf.DUMMYFUNCTION("""COMPUTED_VALUE"""),1.013)</f>
        <v>1.013</v>
      </c>
      <c r="E488" s="16">
        <f>IFERROR(__xludf.DUMMYFUNCTION("""COMPUTED_VALUE"""),64.0)</f>
        <v>64</v>
      </c>
      <c r="F488" s="19" t="str">
        <f>IFERROR(__xludf.DUMMYFUNCTION("""COMPUTED_VALUE"""),"BLACK")</f>
        <v>BLACK</v>
      </c>
      <c r="G488" s="20" t="str">
        <f>IFERROR(__xludf.DUMMYFUNCTION("""COMPUTED_VALUE"""),"Tap 6 Clone (10/15/2021)")</f>
        <v>Tap 6 Clone (10/15/2021)</v>
      </c>
      <c r="H488" s="19"/>
    </row>
    <row r="489">
      <c r="A489" s="9"/>
      <c r="B489" s="15"/>
      <c r="C489" s="9">
        <f>IFERROR(__xludf.DUMMYFUNCTION("""COMPUTED_VALUE"""),44506.7496800463)</f>
        <v>44506.74968</v>
      </c>
      <c r="D489" s="15">
        <f>IFERROR(__xludf.DUMMYFUNCTION("""COMPUTED_VALUE"""),1.013)</f>
        <v>1.013</v>
      </c>
      <c r="E489" s="16">
        <f>IFERROR(__xludf.DUMMYFUNCTION("""COMPUTED_VALUE"""),64.0)</f>
        <v>64</v>
      </c>
      <c r="F489" s="19" t="str">
        <f>IFERROR(__xludf.DUMMYFUNCTION("""COMPUTED_VALUE"""),"BLACK")</f>
        <v>BLACK</v>
      </c>
      <c r="G489" s="20" t="str">
        <f>IFERROR(__xludf.DUMMYFUNCTION("""COMPUTED_VALUE"""),"Tap 6 Clone (10/15/2021)")</f>
        <v>Tap 6 Clone (10/15/2021)</v>
      </c>
      <c r="H489" s="19"/>
    </row>
    <row r="490">
      <c r="A490" s="9"/>
      <c r="B490" s="15"/>
      <c r="C490" s="9">
        <f>IFERROR(__xludf.DUMMYFUNCTION("""COMPUTED_VALUE"""),44506.7392470486)</f>
        <v>44506.73925</v>
      </c>
      <c r="D490" s="15">
        <f>IFERROR(__xludf.DUMMYFUNCTION("""COMPUTED_VALUE"""),1.013)</f>
        <v>1.013</v>
      </c>
      <c r="E490" s="16">
        <f>IFERROR(__xludf.DUMMYFUNCTION("""COMPUTED_VALUE"""),64.0)</f>
        <v>64</v>
      </c>
      <c r="F490" s="19" t="str">
        <f>IFERROR(__xludf.DUMMYFUNCTION("""COMPUTED_VALUE"""),"BLACK")</f>
        <v>BLACK</v>
      </c>
      <c r="G490" s="20" t="str">
        <f>IFERROR(__xludf.DUMMYFUNCTION("""COMPUTED_VALUE"""),"Tap 6 Clone (10/15/2021)")</f>
        <v>Tap 6 Clone (10/15/2021)</v>
      </c>
      <c r="H490" s="19"/>
    </row>
    <row r="491">
      <c r="A491" s="9"/>
      <c r="B491" s="15"/>
      <c r="C491" s="9">
        <f>IFERROR(__xludf.DUMMYFUNCTION("""COMPUTED_VALUE"""),44506.7288245717)</f>
        <v>44506.72882</v>
      </c>
      <c r="D491" s="15">
        <f>IFERROR(__xludf.DUMMYFUNCTION("""COMPUTED_VALUE"""),1.013)</f>
        <v>1.013</v>
      </c>
      <c r="E491" s="16">
        <f>IFERROR(__xludf.DUMMYFUNCTION("""COMPUTED_VALUE"""),64.0)</f>
        <v>64</v>
      </c>
      <c r="F491" s="19" t="str">
        <f>IFERROR(__xludf.DUMMYFUNCTION("""COMPUTED_VALUE"""),"BLACK")</f>
        <v>BLACK</v>
      </c>
      <c r="G491" s="20" t="str">
        <f>IFERROR(__xludf.DUMMYFUNCTION("""COMPUTED_VALUE"""),"Tap 6 Clone (10/15/2021)")</f>
        <v>Tap 6 Clone (10/15/2021)</v>
      </c>
      <c r="H491" s="19"/>
    </row>
    <row r="492">
      <c r="A492" s="9"/>
      <c r="B492" s="15"/>
      <c r="C492" s="9">
        <f>IFERROR(__xludf.DUMMYFUNCTION("""COMPUTED_VALUE"""),44506.718403125)</f>
        <v>44506.7184</v>
      </c>
      <c r="D492" s="15">
        <f>IFERROR(__xludf.DUMMYFUNCTION("""COMPUTED_VALUE"""),1.013)</f>
        <v>1.013</v>
      </c>
      <c r="E492" s="16">
        <f>IFERROR(__xludf.DUMMYFUNCTION("""COMPUTED_VALUE"""),64.0)</f>
        <v>64</v>
      </c>
      <c r="F492" s="19" t="str">
        <f>IFERROR(__xludf.DUMMYFUNCTION("""COMPUTED_VALUE"""),"BLACK")</f>
        <v>BLACK</v>
      </c>
      <c r="G492" s="20" t="str">
        <f>IFERROR(__xludf.DUMMYFUNCTION("""COMPUTED_VALUE"""),"Tap 6 Clone (10/15/2021)")</f>
        <v>Tap 6 Clone (10/15/2021)</v>
      </c>
      <c r="H492" s="19"/>
    </row>
    <row r="493">
      <c r="A493" s="9"/>
      <c r="B493" s="15"/>
      <c r="C493" s="9">
        <f>IFERROR(__xludf.DUMMYFUNCTION("""COMPUTED_VALUE"""),44506.7079815856)</f>
        <v>44506.70798</v>
      </c>
      <c r="D493" s="15">
        <f>IFERROR(__xludf.DUMMYFUNCTION("""COMPUTED_VALUE"""),1.013)</f>
        <v>1.013</v>
      </c>
      <c r="E493" s="16">
        <f>IFERROR(__xludf.DUMMYFUNCTION("""COMPUTED_VALUE"""),64.0)</f>
        <v>64</v>
      </c>
      <c r="F493" s="19" t="str">
        <f>IFERROR(__xludf.DUMMYFUNCTION("""COMPUTED_VALUE"""),"BLACK")</f>
        <v>BLACK</v>
      </c>
      <c r="G493" s="20" t="str">
        <f>IFERROR(__xludf.DUMMYFUNCTION("""COMPUTED_VALUE"""),"Tap 6 Clone (10/15/2021)")</f>
        <v>Tap 6 Clone (10/15/2021)</v>
      </c>
      <c r="H493" s="19"/>
    </row>
    <row r="494">
      <c r="A494" s="9"/>
      <c r="B494" s="15"/>
      <c r="C494" s="9">
        <f>IFERROR(__xludf.DUMMYFUNCTION("""COMPUTED_VALUE"""),44506.6975605671)</f>
        <v>44506.69756</v>
      </c>
      <c r="D494" s="15">
        <f>IFERROR(__xludf.DUMMYFUNCTION("""COMPUTED_VALUE"""),1.013)</f>
        <v>1.013</v>
      </c>
      <c r="E494" s="16">
        <f>IFERROR(__xludf.DUMMYFUNCTION("""COMPUTED_VALUE"""),64.0)</f>
        <v>64</v>
      </c>
      <c r="F494" s="19" t="str">
        <f>IFERROR(__xludf.DUMMYFUNCTION("""COMPUTED_VALUE"""),"BLACK")</f>
        <v>BLACK</v>
      </c>
      <c r="G494" s="20" t="str">
        <f>IFERROR(__xludf.DUMMYFUNCTION("""COMPUTED_VALUE"""),"Tap 6 Clone (10/15/2021)")</f>
        <v>Tap 6 Clone (10/15/2021)</v>
      </c>
      <c r="H494" s="19"/>
    </row>
    <row r="495">
      <c r="A495" s="9"/>
      <c r="B495" s="15"/>
      <c r="C495" s="9">
        <f>IFERROR(__xludf.DUMMYFUNCTION("""COMPUTED_VALUE"""),44506.6871404051)</f>
        <v>44506.68714</v>
      </c>
      <c r="D495" s="15">
        <f>IFERROR(__xludf.DUMMYFUNCTION("""COMPUTED_VALUE"""),1.013)</f>
        <v>1.013</v>
      </c>
      <c r="E495" s="16">
        <f>IFERROR(__xludf.DUMMYFUNCTION("""COMPUTED_VALUE"""),64.0)</f>
        <v>64</v>
      </c>
      <c r="F495" s="19" t="str">
        <f>IFERROR(__xludf.DUMMYFUNCTION("""COMPUTED_VALUE"""),"BLACK")</f>
        <v>BLACK</v>
      </c>
      <c r="G495" s="20" t="str">
        <f>IFERROR(__xludf.DUMMYFUNCTION("""COMPUTED_VALUE"""),"Tap 6 Clone (10/15/2021)")</f>
        <v>Tap 6 Clone (10/15/2021)</v>
      </c>
      <c r="H495" s="19"/>
    </row>
    <row r="496">
      <c r="A496" s="9"/>
      <c r="B496" s="15"/>
      <c r="C496" s="9">
        <f>IFERROR(__xludf.DUMMYFUNCTION("""COMPUTED_VALUE"""),44506.6767189004)</f>
        <v>44506.67672</v>
      </c>
      <c r="D496" s="15">
        <f>IFERROR(__xludf.DUMMYFUNCTION("""COMPUTED_VALUE"""),1.013)</f>
        <v>1.013</v>
      </c>
      <c r="E496" s="16">
        <f>IFERROR(__xludf.DUMMYFUNCTION("""COMPUTED_VALUE"""),64.0)</f>
        <v>64</v>
      </c>
      <c r="F496" s="19" t="str">
        <f>IFERROR(__xludf.DUMMYFUNCTION("""COMPUTED_VALUE"""),"BLACK")</f>
        <v>BLACK</v>
      </c>
      <c r="G496" s="20" t="str">
        <f>IFERROR(__xludf.DUMMYFUNCTION("""COMPUTED_VALUE"""),"Tap 6 Clone (10/15/2021)")</f>
        <v>Tap 6 Clone (10/15/2021)</v>
      </c>
      <c r="H496" s="19"/>
    </row>
    <row r="497">
      <c r="A497" s="9"/>
      <c r="B497" s="15"/>
      <c r="C497" s="9">
        <f>IFERROR(__xludf.DUMMYFUNCTION("""COMPUTED_VALUE"""),44506.6662858101)</f>
        <v>44506.66629</v>
      </c>
      <c r="D497" s="15">
        <f>IFERROR(__xludf.DUMMYFUNCTION("""COMPUTED_VALUE"""),1.013)</f>
        <v>1.013</v>
      </c>
      <c r="E497" s="16">
        <f>IFERROR(__xludf.DUMMYFUNCTION("""COMPUTED_VALUE"""),64.0)</f>
        <v>64</v>
      </c>
      <c r="F497" s="19" t="str">
        <f>IFERROR(__xludf.DUMMYFUNCTION("""COMPUTED_VALUE"""),"BLACK")</f>
        <v>BLACK</v>
      </c>
      <c r="G497" s="20" t="str">
        <f>IFERROR(__xludf.DUMMYFUNCTION("""COMPUTED_VALUE"""),"Tap 6 Clone (10/15/2021)")</f>
        <v>Tap 6 Clone (10/15/2021)</v>
      </c>
      <c r="H497" s="19"/>
    </row>
    <row r="498">
      <c r="A498" s="9"/>
      <c r="B498" s="15"/>
      <c r="C498" s="9">
        <f>IFERROR(__xludf.DUMMYFUNCTION("""COMPUTED_VALUE"""),44506.6558651388)</f>
        <v>44506.65587</v>
      </c>
      <c r="D498" s="15">
        <f>IFERROR(__xludf.DUMMYFUNCTION("""COMPUTED_VALUE"""),1.013)</f>
        <v>1.013</v>
      </c>
      <c r="E498" s="16">
        <f>IFERROR(__xludf.DUMMYFUNCTION("""COMPUTED_VALUE"""),64.0)</f>
        <v>64</v>
      </c>
      <c r="F498" s="19" t="str">
        <f>IFERROR(__xludf.DUMMYFUNCTION("""COMPUTED_VALUE"""),"BLACK")</f>
        <v>BLACK</v>
      </c>
      <c r="G498" s="20" t="str">
        <f>IFERROR(__xludf.DUMMYFUNCTION("""COMPUTED_VALUE"""),"Tap 6 Clone (10/15/2021)")</f>
        <v>Tap 6 Clone (10/15/2021)</v>
      </c>
      <c r="H498" s="19"/>
    </row>
    <row r="499">
      <c r="A499" s="9"/>
      <c r="B499" s="15"/>
      <c r="C499" s="9">
        <f>IFERROR(__xludf.DUMMYFUNCTION("""COMPUTED_VALUE"""),44506.6454323379)</f>
        <v>44506.64543</v>
      </c>
      <c r="D499" s="15">
        <f>IFERROR(__xludf.DUMMYFUNCTION("""COMPUTED_VALUE"""),1.013)</f>
        <v>1.013</v>
      </c>
      <c r="E499" s="16">
        <f>IFERROR(__xludf.DUMMYFUNCTION("""COMPUTED_VALUE"""),65.0)</f>
        <v>65</v>
      </c>
      <c r="F499" s="19" t="str">
        <f>IFERROR(__xludf.DUMMYFUNCTION("""COMPUTED_VALUE"""),"BLACK")</f>
        <v>BLACK</v>
      </c>
      <c r="G499" s="20" t="str">
        <f>IFERROR(__xludf.DUMMYFUNCTION("""COMPUTED_VALUE"""),"Tap 6 Clone (10/15/2021)")</f>
        <v>Tap 6 Clone (10/15/2021)</v>
      </c>
      <c r="H499" s="19"/>
    </row>
    <row r="500">
      <c r="A500" s="9"/>
      <c r="B500" s="15"/>
      <c r="C500" s="9">
        <f>IFERROR(__xludf.DUMMYFUNCTION("""COMPUTED_VALUE"""),44506.6349996412)</f>
        <v>44506.635</v>
      </c>
      <c r="D500" s="15">
        <f>IFERROR(__xludf.DUMMYFUNCTION("""COMPUTED_VALUE"""),1.013)</f>
        <v>1.013</v>
      </c>
      <c r="E500" s="16">
        <f>IFERROR(__xludf.DUMMYFUNCTION("""COMPUTED_VALUE"""),64.0)</f>
        <v>64</v>
      </c>
      <c r="F500" s="19" t="str">
        <f>IFERROR(__xludf.DUMMYFUNCTION("""COMPUTED_VALUE"""),"BLACK")</f>
        <v>BLACK</v>
      </c>
      <c r="G500" s="20" t="str">
        <f>IFERROR(__xludf.DUMMYFUNCTION("""COMPUTED_VALUE"""),"Tap 6 Clone (10/15/2021)")</f>
        <v>Tap 6 Clone (10/15/2021)</v>
      </c>
      <c r="H500" s="19"/>
    </row>
    <row r="501">
      <c r="A501" s="9"/>
      <c r="B501" s="15"/>
      <c r="C501" s="9">
        <f>IFERROR(__xludf.DUMMYFUNCTION("""COMPUTED_VALUE"""),44506.6245786805)</f>
        <v>44506.62458</v>
      </c>
      <c r="D501" s="15">
        <f>IFERROR(__xludf.DUMMYFUNCTION("""COMPUTED_VALUE"""),1.013)</f>
        <v>1.013</v>
      </c>
      <c r="E501" s="16">
        <f>IFERROR(__xludf.DUMMYFUNCTION("""COMPUTED_VALUE"""),64.0)</f>
        <v>64</v>
      </c>
      <c r="F501" s="19" t="str">
        <f>IFERROR(__xludf.DUMMYFUNCTION("""COMPUTED_VALUE"""),"BLACK")</f>
        <v>BLACK</v>
      </c>
      <c r="G501" s="20" t="str">
        <f>IFERROR(__xludf.DUMMYFUNCTION("""COMPUTED_VALUE"""),"Tap 6 Clone (10/15/2021)")</f>
        <v>Tap 6 Clone (10/15/2021)</v>
      </c>
      <c r="H501" s="19"/>
    </row>
    <row r="502">
      <c r="A502" s="9"/>
      <c r="B502" s="15"/>
      <c r="C502" s="9">
        <f>IFERROR(__xludf.DUMMYFUNCTION("""COMPUTED_VALUE"""),44506.61415625)</f>
        <v>44506.61416</v>
      </c>
      <c r="D502" s="15">
        <f>IFERROR(__xludf.DUMMYFUNCTION("""COMPUTED_VALUE"""),1.013)</f>
        <v>1.013</v>
      </c>
      <c r="E502" s="16">
        <f>IFERROR(__xludf.DUMMYFUNCTION("""COMPUTED_VALUE"""),64.0)</f>
        <v>64</v>
      </c>
      <c r="F502" s="19" t="str">
        <f>IFERROR(__xludf.DUMMYFUNCTION("""COMPUTED_VALUE"""),"BLACK")</f>
        <v>BLACK</v>
      </c>
      <c r="G502" s="20" t="str">
        <f>IFERROR(__xludf.DUMMYFUNCTION("""COMPUTED_VALUE"""),"Tap 6 Clone (10/15/2021)")</f>
        <v>Tap 6 Clone (10/15/2021)</v>
      </c>
      <c r="H502" s="19"/>
    </row>
    <row r="503">
      <c r="A503" s="9"/>
      <c r="B503" s="15"/>
      <c r="C503" s="9">
        <f>IFERROR(__xludf.DUMMYFUNCTION("""COMPUTED_VALUE"""),44506.603731956)</f>
        <v>44506.60373</v>
      </c>
      <c r="D503" s="15">
        <f>IFERROR(__xludf.DUMMYFUNCTION("""COMPUTED_VALUE"""),1.013)</f>
        <v>1.013</v>
      </c>
      <c r="E503" s="16">
        <f>IFERROR(__xludf.DUMMYFUNCTION("""COMPUTED_VALUE"""),64.0)</f>
        <v>64</v>
      </c>
      <c r="F503" s="19" t="str">
        <f>IFERROR(__xludf.DUMMYFUNCTION("""COMPUTED_VALUE"""),"BLACK")</f>
        <v>BLACK</v>
      </c>
      <c r="G503" s="20" t="str">
        <f>IFERROR(__xludf.DUMMYFUNCTION("""COMPUTED_VALUE"""),"Tap 6 Clone (10/15/2021)")</f>
        <v>Tap 6 Clone (10/15/2021)</v>
      </c>
      <c r="H503" s="19"/>
    </row>
    <row r="504">
      <c r="A504" s="9"/>
      <c r="B504" s="15"/>
      <c r="C504" s="9">
        <f>IFERROR(__xludf.DUMMYFUNCTION("""COMPUTED_VALUE"""),44506.5933000463)</f>
        <v>44506.5933</v>
      </c>
      <c r="D504" s="15">
        <f>IFERROR(__xludf.DUMMYFUNCTION("""COMPUTED_VALUE"""),1.013)</f>
        <v>1.013</v>
      </c>
      <c r="E504" s="16">
        <f>IFERROR(__xludf.DUMMYFUNCTION("""COMPUTED_VALUE"""),64.0)</f>
        <v>64</v>
      </c>
      <c r="F504" s="19" t="str">
        <f>IFERROR(__xludf.DUMMYFUNCTION("""COMPUTED_VALUE"""),"BLACK")</f>
        <v>BLACK</v>
      </c>
      <c r="G504" s="20" t="str">
        <f>IFERROR(__xludf.DUMMYFUNCTION("""COMPUTED_VALUE"""),"Tap 6 Clone (10/15/2021)")</f>
        <v>Tap 6 Clone (10/15/2021)</v>
      </c>
      <c r="H504" s="19"/>
    </row>
    <row r="505">
      <c r="A505" s="9"/>
      <c r="B505" s="15"/>
      <c r="C505" s="9">
        <f>IFERROR(__xludf.DUMMYFUNCTION("""COMPUTED_VALUE"""),44506.5828796296)</f>
        <v>44506.58288</v>
      </c>
      <c r="D505" s="15">
        <f>IFERROR(__xludf.DUMMYFUNCTION("""COMPUTED_VALUE"""),1.013)</f>
        <v>1.013</v>
      </c>
      <c r="E505" s="16">
        <f>IFERROR(__xludf.DUMMYFUNCTION("""COMPUTED_VALUE"""),64.0)</f>
        <v>64</v>
      </c>
      <c r="F505" s="19" t="str">
        <f>IFERROR(__xludf.DUMMYFUNCTION("""COMPUTED_VALUE"""),"BLACK")</f>
        <v>BLACK</v>
      </c>
      <c r="G505" s="20" t="str">
        <f>IFERROR(__xludf.DUMMYFUNCTION("""COMPUTED_VALUE"""),"Tap 6 Clone (10/15/2021)")</f>
        <v>Tap 6 Clone (10/15/2021)</v>
      </c>
      <c r="H505" s="19"/>
    </row>
    <row r="506">
      <c r="A506" s="9"/>
      <c r="B506" s="15"/>
      <c r="C506" s="9">
        <f>IFERROR(__xludf.DUMMYFUNCTION("""COMPUTED_VALUE"""),44506.5724591666)</f>
        <v>44506.57246</v>
      </c>
      <c r="D506" s="15">
        <f>IFERROR(__xludf.DUMMYFUNCTION("""COMPUTED_VALUE"""),1.013)</f>
        <v>1.013</v>
      </c>
      <c r="E506" s="16">
        <f>IFERROR(__xludf.DUMMYFUNCTION("""COMPUTED_VALUE"""),64.0)</f>
        <v>64</v>
      </c>
      <c r="F506" s="19" t="str">
        <f>IFERROR(__xludf.DUMMYFUNCTION("""COMPUTED_VALUE"""),"BLACK")</f>
        <v>BLACK</v>
      </c>
      <c r="G506" s="20" t="str">
        <f>IFERROR(__xludf.DUMMYFUNCTION("""COMPUTED_VALUE"""),"Tap 6 Clone (10/15/2021)")</f>
        <v>Tap 6 Clone (10/15/2021)</v>
      </c>
      <c r="H506" s="19"/>
    </row>
    <row r="507">
      <c r="A507" s="9"/>
      <c r="B507" s="15"/>
      <c r="C507" s="9">
        <f>IFERROR(__xludf.DUMMYFUNCTION("""COMPUTED_VALUE"""),44506.562015162)</f>
        <v>44506.56202</v>
      </c>
      <c r="D507" s="15">
        <f>IFERROR(__xludf.DUMMYFUNCTION("""COMPUTED_VALUE"""),1.013)</f>
        <v>1.013</v>
      </c>
      <c r="E507" s="16">
        <f>IFERROR(__xludf.DUMMYFUNCTION("""COMPUTED_VALUE"""),64.0)</f>
        <v>64</v>
      </c>
      <c r="F507" s="19" t="str">
        <f>IFERROR(__xludf.DUMMYFUNCTION("""COMPUTED_VALUE"""),"BLACK")</f>
        <v>BLACK</v>
      </c>
      <c r="G507" s="20" t="str">
        <f>IFERROR(__xludf.DUMMYFUNCTION("""COMPUTED_VALUE"""),"Tap 6 Clone (10/15/2021)")</f>
        <v>Tap 6 Clone (10/15/2021)</v>
      </c>
      <c r="H507" s="19"/>
    </row>
    <row r="508">
      <c r="A508" s="9"/>
      <c r="B508" s="15"/>
      <c r="C508" s="9">
        <f>IFERROR(__xludf.DUMMYFUNCTION("""COMPUTED_VALUE"""),44506.55159375)</f>
        <v>44506.55159</v>
      </c>
      <c r="D508" s="15">
        <f>IFERROR(__xludf.DUMMYFUNCTION("""COMPUTED_VALUE"""),1.013)</f>
        <v>1.013</v>
      </c>
      <c r="E508" s="16">
        <f>IFERROR(__xludf.DUMMYFUNCTION("""COMPUTED_VALUE"""),64.0)</f>
        <v>64</v>
      </c>
      <c r="F508" s="19" t="str">
        <f>IFERROR(__xludf.DUMMYFUNCTION("""COMPUTED_VALUE"""),"BLACK")</f>
        <v>BLACK</v>
      </c>
      <c r="G508" s="20" t="str">
        <f>IFERROR(__xludf.DUMMYFUNCTION("""COMPUTED_VALUE"""),"Tap 6 Clone (10/15/2021)")</f>
        <v>Tap 6 Clone (10/15/2021)</v>
      </c>
      <c r="H508" s="19"/>
    </row>
    <row r="509">
      <c r="A509" s="9"/>
      <c r="B509" s="15"/>
      <c r="C509" s="9">
        <f>IFERROR(__xludf.DUMMYFUNCTION("""COMPUTED_VALUE"""),44506.5411724189)</f>
        <v>44506.54117</v>
      </c>
      <c r="D509" s="15">
        <f>IFERROR(__xludf.DUMMYFUNCTION("""COMPUTED_VALUE"""),1.013)</f>
        <v>1.013</v>
      </c>
      <c r="E509" s="16">
        <f>IFERROR(__xludf.DUMMYFUNCTION("""COMPUTED_VALUE"""),64.0)</f>
        <v>64</v>
      </c>
      <c r="F509" s="19" t="str">
        <f>IFERROR(__xludf.DUMMYFUNCTION("""COMPUTED_VALUE"""),"BLACK")</f>
        <v>BLACK</v>
      </c>
      <c r="G509" s="20" t="str">
        <f>IFERROR(__xludf.DUMMYFUNCTION("""COMPUTED_VALUE"""),"Tap 6 Clone (10/15/2021)")</f>
        <v>Tap 6 Clone (10/15/2021)</v>
      </c>
      <c r="H509" s="19"/>
    </row>
    <row r="510">
      <c r="A510" s="9"/>
      <c r="B510" s="15"/>
      <c r="C510" s="9">
        <f>IFERROR(__xludf.DUMMYFUNCTION("""COMPUTED_VALUE"""),44506.5307529282)</f>
        <v>44506.53075</v>
      </c>
      <c r="D510" s="15">
        <f>IFERROR(__xludf.DUMMYFUNCTION("""COMPUTED_VALUE"""),1.013)</f>
        <v>1.013</v>
      </c>
      <c r="E510" s="16">
        <f>IFERROR(__xludf.DUMMYFUNCTION("""COMPUTED_VALUE"""),64.0)</f>
        <v>64</v>
      </c>
      <c r="F510" s="19" t="str">
        <f>IFERROR(__xludf.DUMMYFUNCTION("""COMPUTED_VALUE"""),"BLACK")</f>
        <v>BLACK</v>
      </c>
      <c r="G510" s="20" t="str">
        <f>IFERROR(__xludf.DUMMYFUNCTION("""COMPUTED_VALUE"""),"Tap 6 Clone (10/15/2021)")</f>
        <v>Tap 6 Clone (10/15/2021)</v>
      </c>
      <c r="H510" s="19"/>
    </row>
    <row r="511">
      <c r="A511" s="9"/>
      <c r="B511" s="15"/>
      <c r="C511" s="9">
        <f>IFERROR(__xludf.DUMMYFUNCTION("""COMPUTED_VALUE"""),44506.5203205902)</f>
        <v>44506.52032</v>
      </c>
      <c r="D511" s="15">
        <f>IFERROR(__xludf.DUMMYFUNCTION("""COMPUTED_VALUE"""),1.013)</f>
        <v>1.013</v>
      </c>
      <c r="E511" s="16">
        <f>IFERROR(__xludf.DUMMYFUNCTION("""COMPUTED_VALUE"""),64.0)</f>
        <v>64</v>
      </c>
      <c r="F511" s="19" t="str">
        <f>IFERROR(__xludf.DUMMYFUNCTION("""COMPUTED_VALUE"""),"BLACK")</f>
        <v>BLACK</v>
      </c>
      <c r="G511" s="20" t="str">
        <f>IFERROR(__xludf.DUMMYFUNCTION("""COMPUTED_VALUE"""),"Tap 6 Clone (10/15/2021)")</f>
        <v>Tap 6 Clone (10/15/2021)</v>
      </c>
      <c r="H511" s="19"/>
    </row>
    <row r="512">
      <c r="A512" s="9"/>
      <c r="B512" s="15"/>
      <c r="C512" s="9">
        <f>IFERROR(__xludf.DUMMYFUNCTION("""COMPUTED_VALUE"""),44506.5098992013)</f>
        <v>44506.5099</v>
      </c>
      <c r="D512" s="15">
        <f>IFERROR(__xludf.DUMMYFUNCTION("""COMPUTED_VALUE"""),1.013)</f>
        <v>1.013</v>
      </c>
      <c r="E512" s="16">
        <f>IFERROR(__xludf.DUMMYFUNCTION("""COMPUTED_VALUE"""),64.0)</f>
        <v>64</v>
      </c>
      <c r="F512" s="19" t="str">
        <f>IFERROR(__xludf.DUMMYFUNCTION("""COMPUTED_VALUE"""),"BLACK")</f>
        <v>BLACK</v>
      </c>
      <c r="G512" s="20" t="str">
        <f>IFERROR(__xludf.DUMMYFUNCTION("""COMPUTED_VALUE"""),"Tap 6 Clone (10/15/2021)")</f>
        <v>Tap 6 Clone (10/15/2021)</v>
      </c>
      <c r="H512" s="19"/>
    </row>
    <row r="513">
      <c r="A513" s="9"/>
      <c r="B513" s="15"/>
      <c r="C513" s="9">
        <f>IFERROR(__xludf.DUMMYFUNCTION("""COMPUTED_VALUE"""),44506.4994759722)</f>
        <v>44506.49948</v>
      </c>
      <c r="D513" s="15">
        <f>IFERROR(__xludf.DUMMYFUNCTION("""COMPUTED_VALUE"""),1.013)</f>
        <v>1.013</v>
      </c>
      <c r="E513" s="16">
        <f>IFERROR(__xludf.DUMMYFUNCTION("""COMPUTED_VALUE"""),64.0)</f>
        <v>64</v>
      </c>
      <c r="F513" s="19" t="str">
        <f>IFERROR(__xludf.DUMMYFUNCTION("""COMPUTED_VALUE"""),"BLACK")</f>
        <v>BLACK</v>
      </c>
      <c r="G513" s="20" t="str">
        <f>IFERROR(__xludf.DUMMYFUNCTION("""COMPUTED_VALUE"""),"Tap 6 Clone (10/15/2021)")</f>
        <v>Tap 6 Clone (10/15/2021)</v>
      </c>
      <c r="H513" s="19"/>
    </row>
    <row r="514">
      <c r="A514" s="9"/>
      <c r="B514" s="15"/>
      <c r="C514" s="9">
        <f>IFERROR(__xludf.DUMMYFUNCTION("""COMPUTED_VALUE"""),44506.4890547338)</f>
        <v>44506.48905</v>
      </c>
      <c r="D514" s="15">
        <f>IFERROR(__xludf.DUMMYFUNCTION("""COMPUTED_VALUE"""),1.013)</f>
        <v>1.013</v>
      </c>
      <c r="E514" s="16">
        <f>IFERROR(__xludf.DUMMYFUNCTION("""COMPUTED_VALUE"""),64.0)</f>
        <v>64</v>
      </c>
      <c r="F514" s="19" t="str">
        <f>IFERROR(__xludf.DUMMYFUNCTION("""COMPUTED_VALUE"""),"BLACK")</f>
        <v>BLACK</v>
      </c>
      <c r="G514" s="20" t="str">
        <f>IFERROR(__xludf.DUMMYFUNCTION("""COMPUTED_VALUE"""),"Tap 6 Clone (10/15/2021)")</f>
        <v>Tap 6 Clone (10/15/2021)</v>
      </c>
      <c r="H514" s="19"/>
    </row>
    <row r="515">
      <c r="A515" s="9"/>
      <c r="B515" s="15"/>
      <c r="C515" s="9">
        <f>IFERROR(__xludf.DUMMYFUNCTION("""COMPUTED_VALUE"""),44506.47863375)</f>
        <v>44506.47863</v>
      </c>
      <c r="D515" s="15">
        <f>IFERROR(__xludf.DUMMYFUNCTION("""COMPUTED_VALUE"""),1.013)</f>
        <v>1.013</v>
      </c>
      <c r="E515" s="16">
        <f>IFERROR(__xludf.DUMMYFUNCTION("""COMPUTED_VALUE"""),64.0)</f>
        <v>64</v>
      </c>
      <c r="F515" s="19" t="str">
        <f>IFERROR(__xludf.DUMMYFUNCTION("""COMPUTED_VALUE"""),"BLACK")</f>
        <v>BLACK</v>
      </c>
      <c r="G515" s="20" t="str">
        <f>IFERROR(__xludf.DUMMYFUNCTION("""COMPUTED_VALUE"""),"Tap 6 Clone (10/15/2021)")</f>
        <v>Tap 6 Clone (10/15/2021)</v>
      </c>
      <c r="H515" s="19"/>
    </row>
    <row r="516">
      <c r="A516" s="9"/>
      <c r="B516" s="15"/>
      <c r="C516" s="9">
        <f>IFERROR(__xludf.DUMMYFUNCTION("""COMPUTED_VALUE"""),44506.4682148958)</f>
        <v>44506.46821</v>
      </c>
      <c r="D516" s="15">
        <f>IFERROR(__xludf.DUMMYFUNCTION("""COMPUTED_VALUE"""),1.013)</f>
        <v>1.013</v>
      </c>
      <c r="E516" s="16">
        <f>IFERROR(__xludf.DUMMYFUNCTION("""COMPUTED_VALUE"""),64.0)</f>
        <v>64</v>
      </c>
      <c r="F516" s="19" t="str">
        <f>IFERROR(__xludf.DUMMYFUNCTION("""COMPUTED_VALUE"""),"BLACK")</f>
        <v>BLACK</v>
      </c>
      <c r="G516" s="20" t="str">
        <f>IFERROR(__xludf.DUMMYFUNCTION("""COMPUTED_VALUE"""),"Tap 6 Clone (10/15/2021)")</f>
        <v>Tap 6 Clone (10/15/2021)</v>
      </c>
      <c r="H516" s="19"/>
    </row>
    <row r="517">
      <c r="A517" s="9"/>
      <c r="B517" s="15"/>
      <c r="C517" s="9">
        <f>IFERROR(__xludf.DUMMYFUNCTION("""COMPUTED_VALUE"""),44506.4577931018)</f>
        <v>44506.45779</v>
      </c>
      <c r="D517" s="15">
        <f>IFERROR(__xludf.DUMMYFUNCTION("""COMPUTED_VALUE"""),1.013)</f>
        <v>1.013</v>
      </c>
      <c r="E517" s="16">
        <f>IFERROR(__xludf.DUMMYFUNCTION("""COMPUTED_VALUE"""),64.0)</f>
        <v>64</v>
      </c>
      <c r="F517" s="19" t="str">
        <f>IFERROR(__xludf.DUMMYFUNCTION("""COMPUTED_VALUE"""),"BLACK")</f>
        <v>BLACK</v>
      </c>
      <c r="G517" s="20" t="str">
        <f>IFERROR(__xludf.DUMMYFUNCTION("""COMPUTED_VALUE"""),"Tap 6 Clone (10/15/2021)")</f>
        <v>Tap 6 Clone (10/15/2021)</v>
      </c>
      <c r="H517" s="19"/>
    </row>
    <row r="518">
      <c r="A518" s="9"/>
      <c r="B518" s="15"/>
      <c r="C518" s="9">
        <f>IFERROR(__xludf.DUMMYFUNCTION("""COMPUTED_VALUE"""),44506.4473588888)</f>
        <v>44506.44736</v>
      </c>
      <c r="D518" s="15">
        <f>IFERROR(__xludf.DUMMYFUNCTION("""COMPUTED_VALUE"""),1.013)</f>
        <v>1.013</v>
      </c>
      <c r="E518" s="16">
        <f>IFERROR(__xludf.DUMMYFUNCTION("""COMPUTED_VALUE"""),64.0)</f>
        <v>64</v>
      </c>
      <c r="F518" s="19" t="str">
        <f>IFERROR(__xludf.DUMMYFUNCTION("""COMPUTED_VALUE"""),"BLACK")</f>
        <v>BLACK</v>
      </c>
      <c r="G518" s="20" t="str">
        <f>IFERROR(__xludf.DUMMYFUNCTION("""COMPUTED_VALUE"""),"Tap 6 Clone (10/15/2021)")</f>
        <v>Tap 6 Clone (10/15/2021)</v>
      </c>
      <c r="H518" s="19"/>
    </row>
    <row r="519">
      <c r="A519" s="9"/>
      <c r="B519" s="15"/>
      <c r="C519" s="9">
        <f>IFERROR(__xludf.DUMMYFUNCTION("""COMPUTED_VALUE"""),44506.4369268402)</f>
        <v>44506.43693</v>
      </c>
      <c r="D519" s="15">
        <f>IFERROR(__xludf.DUMMYFUNCTION("""COMPUTED_VALUE"""),1.013)</f>
        <v>1.013</v>
      </c>
      <c r="E519" s="16">
        <f>IFERROR(__xludf.DUMMYFUNCTION("""COMPUTED_VALUE"""),64.0)</f>
        <v>64</v>
      </c>
      <c r="F519" s="19" t="str">
        <f>IFERROR(__xludf.DUMMYFUNCTION("""COMPUTED_VALUE"""),"BLACK")</f>
        <v>BLACK</v>
      </c>
      <c r="G519" s="20" t="str">
        <f>IFERROR(__xludf.DUMMYFUNCTION("""COMPUTED_VALUE"""),"Tap 6 Clone (10/15/2021)")</f>
        <v>Tap 6 Clone (10/15/2021)</v>
      </c>
      <c r="H519" s="19"/>
    </row>
    <row r="520">
      <c r="A520" s="9"/>
      <c r="B520" s="15"/>
      <c r="C520" s="9">
        <f>IFERROR(__xludf.DUMMYFUNCTION("""COMPUTED_VALUE"""),44506.4265059375)</f>
        <v>44506.42651</v>
      </c>
      <c r="D520" s="15">
        <f>IFERROR(__xludf.DUMMYFUNCTION("""COMPUTED_VALUE"""),1.013)</f>
        <v>1.013</v>
      </c>
      <c r="E520" s="11">
        <f>IFERROR(__xludf.DUMMYFUNCTION("""COMPUTED_VALUE"""),64.0)</f>
        <v>64</v>
      </c>
      <c r="F520" s="12" t="str">
        <f>IFERROR(__xludf.DUMMYFUNCTION("""COMPUTED_VALUE"""),"BLACK")</f>
        <v>BLACK</v>
      </c>
      <c r="G520" s="20" t="str">
        <f>IFERROR(__xludf.DUMMYFUNCTION("""COMPUTED_VALUE"""),"Tap 6 Clone (10/15/2021)")</f>
        <v>Tap 6 Clone (10/15/2021)</v>
      </c>
      <c r="H520" s="19"/>
    </row>
    <row r="521">
      <c r="A521" s="9"/>
      <c r="B521" s="15"/>
      <c r="C521" s="9">
        <f>IFERROR(__xludf.DUMMYFUNCTION("""COMPUTED_VALUE"""),44506.416084375)</f>
        <v>44506.41608</v>
      </c>
      <c r="D521" s="15">
        <f>IFERROR(__xludf.DUMMYFUNCTION("""COMPUTED_VALUE"""),1.013)</f>
        <v>1.013</v>
      </c>
      <c r="E521" s="16">
        <f>IFERROR(__xludf.DUMMYFUNCTION("""COMPUTED_VALUE"""),64.0)</f>
        <v>64</v>
      </c>
      <c r="F521" s="19" t="str">
        <f>IFERROR(__xludf.DUMMYFUNCTION("""COMPUTED_VALUE"""),"BLACK")</f>
        <v>BLACK</v>
      </c>
      <c r="G521" s="20" t="str">
        <f>IFERROR(__xludf.DUMMYFUNCTION("""COMPUTED_VALUE"""),"Tap 6 Clone (10/15/2021)")</f>
        <v>Tap 6 Clone (10/15/2021)</v>
      </c>
      <c r="H521" s="19"/>
    </row>
    <row r="522">
      <c r="A522" s="9"/>
      <c r="B522" s="15"/>
      <c r="C522" s="9">
        <f>IFERROR(__xludf.DUMMYFUNCTION("""COMPUTED_VALUE"""),44506.4056525694)</f>
        <v>44506.40565</v>
      </c>
      <c r="D522" s="15">
        <f>IFERROR(__xludf.DUMMYFUNCTION("""COMPUTED_VALUE"""),1.013)</f>
        <v>1.013</v>
      </c>
      <c r="E522" s="16">
        <f>IFERROR(__xludf.DUMMYFUNCTION("""COMPUTED_VALUE"""),64.0)</f>
        <v>64</v>
      </c>
      <c r="F522" s="19" t="str">
        <f>IFERROR(__xludf.DUMMYFUNCTION("""COMPUTED_VALUE"""),"BLACK")</f>
        <v>BLACK</v>
      </c>
      <c r="G522" s="20" t="str">
        <f>IFERROR(__xludf.DUMMYFUNCTION("""COMPUTED_VALUE"""),"Tap 6 Clone (10/15/2021)")</f>
        <v>Tap 6 Clone (10/15/2021)</v>
      </c>
      <c r="H522" s="19"/>
    </row>
    <row r="523">
      <c r="A523" s="9"/>
      <c r="B523" s="15"/>
      <c r="C523" s="9">
        <f>IFERROR(__xludf.DUMMYFUNCTION("""COMPUTED_VALUE"""),44506.3952328703)</f>
        <v>44506.39523</v>
      </c>
      <c r="D523" s="15">
        <f>IFERROR(__xludf.DUMMYFUNCTION("""COMPUTED_VALUE"""),1.013)</f>
        <v>1.013</v>
      </c>
      <c r="E523" s="16">
        <f>IFERROR(__xludf.DUMMYFUNCTION("""COMPUTED_VALUE"""),64.0)</f>
        <v>64</v>
      </c>
      <c r="F523" s="19" t="str">
        <f>IFERROR(__xludf.DUMMYFUNCTION("""COMPUTED_VALUE"""),"BLACK")</f>
        <v>BLACK</v>
      </c>
      <c r="G523" s="20" t="str">
        <f>IFERROR(__xludf.DUMMYFUNCTION("""COMPUTED_VALUE"""),"Tap 6 Clone (10/15/2021)")</f>
        <v>Tap 6 Clone (10/15/2021)</v>
      </c>
      <c r="H523" s="19"/>
    </row>
    <row r="524">
      <c r="A524" s="9"/>
      <c r="B524" s="15"/>
      <c r="C524" s="9">
        <f>IFERROR(__xludf.DUMMYFUNCTION("""COMPUTED_VALUE"""),44506.3848129745)</f>
        <v>44506.38481</v>
      </c>
      <c r="D524" s="15">
        <f>IFERROR(__xludf.DUMMYFUNCTION("""COMPUTED_VALUE"""),1.013)</f>
        <v>1.013</v>
      </c>
      <c r="E524" s="16">
        <f>IFERROR(__xludf.DUMMYFUNCTION("""COMPUTED_VALUE"""),64.0)</f>
        <v>64</v>
      </c>
      <c r="F524" s="19" t="str">
        <f>IFERROR(__xludf.DUMMYFUNCTION("""COMPUTED_VALUE"""),"BLACK")</f>
        <v>BLACK</v>
      </c>
      <c r="G524" s="20" t="str">
        <f>IFERROR(__xludf.DUMMYFUNCTION("""COMPUTED_VALUE"""),"Tap 6 Clone (10/15/2021)")</f>
        <v>Tap 6 Clone (10/15/2021)</v>
      </c>
      <c r="H524" s="19"/>
    </row>
    <row r="525">
      <c r="A525" s="9"/>
      <c r="B525" s="15"/>
      <c r="C525" s="9">
        <f>IFERROR(__xludf.DUMMYFUNCTION("""COMPUTED_VALUE"""),44506.3743911111)</f>
        <v>44506.37439</v>
      </c>
      <c r="D525" s="15">
        <f>IFERROR(__xludf.DUMMYFUNCTION("""COMPUTED_VALUE"""),1.013)</f>
        <v>1.013</v>
      </c>
      <c r="E525" s="16">
        <f>IFERROR(__xludf.DUMMYFUNCTION("""COMPUTED_VALUE"""),64.0)</f>
        <v>64</v>
      </c>
      <c r="F525" s="19" t="str">
        <f>IFERROR(__xludf.DUMMYFUNCTION("""COMPUTED_VALUE"""),"BLACK")</f>
        <v>BLACK</v>
      </c>
      <c r="G525" s="20" t="str">
        <f>IFERROR(__xludf.DUMMYFUNCTION("""COMPUTED_VALUE"""),"Tap 6 Clone (10/15/2021)")</f>
        <v>Tap 6 Clone (10/15/2021)</v>
      </c>
      <c r="H525" s="19"/>
    </row>
    <row r="526">
      <c r="A526" s="9"/>
      <c r="B526" s="15"/>
      <c r="C526" s="9">
        <f>IFERROR(__xludf.DUMMYFUNCTION("""COMPUTED_VALUE"""),44506.3639708449)</f>
        <v>44506.36397</v>
      </c>
      <c r="D526" s="15">
        <f>IFERROR(__xludf.DUMMYFUNCTION("""COMPUTED_VALUE"""),1.013)</f>
        <v>1.013</v>
      </c>
      <c r="E526" s="16">
        <f>IFERROR(__xludf.DUMMYFUNCTION("""COMPUTED_VALUE"""),64.0)</f>
        <v>64</v>
      </c>
      <c r="F526" s="19" t="str">
        <f>IFERROR(__xludf.DUMMYFUNCTION("""COMPUTED_VALUE"""),"BLACK")</f>
        <v>BLACK</v>
      </c>
      <c r="G526" s="20" t="str">
        <f>IFERROR(__xludf.DUMMYFUNCTION("""COMPUTED_VALUE"""),"Tap 6 Clone (10/15/2021)")</f>
        <v>Tap 6 Clone (10/15/2021)</v>
      </c>
      <c r="H526" s="19"/>
    </row>
    <row r="527">
      <c r="A527" s="9"/>
      <c r="B527" s="15"/>
      <c r="C527" s="9">
        <f>IFERROR(__xludf.DUMMYFUNCTION("""COMPUTED_VALUE"""),44506.3535503935)</f>
        <v>44506.35355</v>
      </c>
      <c r="D527" s="15">
        <f>IFERROR(__xludf.DUMMYFUNCTION("""COMPUTED_VALUE"""),1.013)</f>
        <v>1.013</v>
      </c>
      <c r="E527" s="16">
        <f>IFERROR(__xludf.DUMMYFUNCTION("""COMPUTED_VALUE"""),64.0)</f>
        <v>64</v>
      </c>
      <c r="F527" s="19" t="str">
        <f>IFERROR(__xludf.DUMMYFUNCTION("""COMPUTED_VALUE"""),"BLACK")</f>
        <v>BLACK</v>
      </c>
      <c r="G527" s="20" t="str">
        <f>IFERROR(__xludf.DUMMYFUNCTION("""COMPUTED_VALUE"""),"Tap 6 Clone (10/15/2021)")</f>
        <v>Tap 6 Clone (10/15/2021)</v>
      </c>
      <c r="H527" s="19"/>
    </row>
    <row r="528">
      <c r="A528" s="9"/>
      <c r="B528" s="15"/>
      <c r="C528" s="9">
        <f>IFERROR(__xludf.DUMMYFUNCTION("""COMPUTED_VALUE"""),44506.3431306365)</f>
        <v>44506.34313</v>
      </c>
      <c r="D528" s="15">
        <f>IFERROR(__xludf.DUMMYFUNCTION("""COMPUTED_VALUE"""),1.013)</f>
        <v>1.013</v>
      </c>
      <c r="E528" s="16">
        <f>IFERROR(__xludf.DUMMYFUNCTION("""COMPUTED_VALUE"""),64.0)</f>
        <v>64</v>
      </c>
      <c r="F528" s="19" t="str">
        <f>IFERROR(__xludf.DUMMYFUNCTION("""COMPUTED_VALUE"""),"BLACK")</f>
        <v>BLACK</v>
      </c>
      <c r="G528" s="20" t="str">
        <f>IFERROR(__xludf.DUMMYFUNCTION("""COMPUTED_VALUE"""),"Tap 6 Clone (10/15/2021)")</f>
        <v>Tap 6 Clone (10/15/2021)</v>
      </c>
      <c r="H528" s="19"/>
    </row>
    <row r="529">
      <c r="A529" s="9"/>
      <c r="B529" s="15"/>
      <c r="C529" s="9">
        <f>IFERROR(__xludf.DUMMYFUNCTION("""COMPUTED_VALUE"""),44506.3327102893)</f>
        <v>44506.33271</v>
      </c>
      <c r="D529" s="15">
        <f>IFERROR(__xludf.DUMMYFUNCTION("""COMPUTED_VALUE"""),1.013)</f>
        <v>1.013</v>
      </c>
      <c r="E529" s="16">
        <f>IFERROR(__xludf.DUMMYFUNCTION("""COMPUTED_VALUE"""),64.0)</f>
        <v>64</v>
      </c>
      <c r="F529" s="19" t="str">
        <f>IFERROR(__xludf.DUMMYFUNCTION("""COMPUTED_VALUE"""),"BLACK")</f>
        <v>BLACK</v>
      </c>
      <c r="G529" s="20" t="str">
        <f>IFERROR(__xludf.DUMMYFUNCTION("""COMPUTED_VALUE"""),"Tap 6 Clone (10/15/2021)")</f>
        <v>Tap 6 Clone (10/15/2021)</v>
      </c>
      <c r="H529" s="19"/>
    </row>
    <row r="530">
      <c r="A530" s="9"/>
      <c r="B530" s="15"/>
      <c r="C530" s="9">
        <f>IFERROR(__xludf.DUMMYFUNCTION("""COMPUTED_VALUE"""),44506.3222892013)</f>
        <v>44506.32229</v>
      </c>
      <c r="D530" s="15">
        <f>IFERROR(__xludf.DUMMYFUNCTION("""COMPUTED_VALUE"""),1.013)</f>
        <v>1.013</v>
      </c>
      <c r="E530" s="16">
        <f>IFERROR(__xludf.DUMMYFUNCTION("""COMPUTED_VALUE"""),64.0)</f>
        <v>64</v>
      </c>
      <c r="F530" s="19" t="str">
        <f>IFERROR(__xludf.DUMMYFUNCTION("""COMPUTED_VALUE"""),"BLACK")</f>
        <v>BLACK</v>
      </c>
      <c r="G530" s="20" t="str">
        <f>IFERROR(__xludf.DUMMYFUNCTION("""COMPUTED_VALUE"""),"Tap 6 Clone (10/15/2021)")</f>
        <v>Tap 6 Clone (10/15/2021)</v>
      </c>
      <c r="H530" s="19"/>
    </row>
    <row r="531">
      <c r="A531" s="9"/>
      <c r="B531" s="15"/>
      <c r="C531" s="9">
        <f>IFERROR(__xludf.DUMMYFUNCTION("""COMPUTED_VALUE"""),44506.3118675463)</f>
        <v>44506.31187</v>
      </c>
      <c r="D531" s="15">
        <f>IFERROR(__xludf.DUMMYFUNCTION("""COMPUTED_VALUE"""),1.013)</f>
        <v>1.013</v>
      </c>
      <c r="E531" s="16">
        <f>IFERROR(__xludf.DUMMYFUNCTION("""COMPUTED_VALUE"""),64.0)</f>
        <v>64</v>
      </c>
      <c r="F531" s="19" t="str">
        <f>IFERROR(__xludf.DUMMYFUNCTION("""COMPUTED_VALUE"""),"BLACK")</f>
        <v>BLACK</v>
      </c>
      <c r="G531" s="20" t="str">
        <f>IFERROR(__xludf.DUMMYFUNCTION("""COMPUTED_VALUE"""),"Tap 6 Clone (10/15/2021)")</f>
        <v>Tap 6 Clone (10/15/2021)</v>
      </c>
      <c r="H531" s="19"/>
    </row>
    <row r="532">
      <c r="A532" s="9"/>
      <c r="B532" s="15"/>
      <c r="C532" s="9">
        <f>IFERROR(__xludf.DUMMYFUNCTION("""COMPUTED_VALUE"""),44506.3014465625)</f>
        <v>44506.30145</v>
      </c>
      <c r="D532" s="15">
        <f>IFERROR(__xludf.DUMMYFUNCTION("""COMPUTED_VALUE"""),1.013)</f>
        <v>1.013</v>
      </c>
      <c r="E532" s="16">
        <f>IFERROR(__xludf.DUMMYFUNCTION("""COMPUTED_VALUE"""),64.0)</f>
        <v>64</v>
      </c>
      <c r="F532" s="19" t="str">
        <f>IFERROR(__xludf.DUMMYFUNCTION("""COMPUTED_VALUE"""),"BLACK")</f>
        <v>BLACK</v>
      </c>
      <c r="G532" s="20" t="str">
        <f>IFERROR(__xludf.DUMMYFUNCTION("""COMPUTED_VALUE"""),"Tap 6 Clone (10/15/2021)")</f>
        <v>Tap 6 Clone (10/15/2021)</v>
      </c>
      <c r="H532" s="19"/>
    </row>
    <row r="533">
      <c r="A533" s="9"/>
      <c r="B533" s="15"/>
      <c r="C533" s="9">
        <f>IFERROR(__xludf.DUMMYFUNCTION("""COMPUTED_VALUE"""),44506.2910263888)</f>
        <v>44506.29103</v>
      </c>
      <c r="D533" s="15">
        <f>IFERROR(__xludf.DUMMYFUNCTION("""COMPUTED_VALUE"""),1.013)</f>
        <v>1.013</v>
      </c>
      <c r="E533" s="16">
        <f>IFERROR(__xludf.DUMMYFUNCTION("""COMPUTED_VALUE"""),64.0)</f>
        <v>64</v>
      </c>
      <c r="F533" s="19" t="str">
        <f>IFERROR(__xludf.DUMMYFUNCTION("""COMPUTED_VALUE"""),"BLACK")</f>
        <v>BLACK</v>
      </c>
      <c r="G533" s="20" t="str">
        <f>IFERROR(__xludf.DUMMYFUNCTION("""COMPUTED_VALUE"""),"Tap 6 Clone (10/15/2021)")</f>
        <v>Tap 6 Clone (10/15/2021)</v>
      </c>
      <c r="H533" s="19"/>
    </row>
    <row r="534">
      <c r="A534" s="9"/>
      <c r="B534" s="15"/>
      <c r="C534" s="9">
        <f>IFERROR(__xludf.DUMMYFUNCTION("""COMPUTED_VALUE"""),44506.2806039236)</f>
        <v>44506.2806</v>
      </c>
      <c r="D534" s="15">
        <f>IFERROR(__xludf.DUMMYFUNCTION("""COMPUTED_VALUE"""),1.013)</f>
        <v>1.013</v>
      </c>
      <c r="E534" s="16">
        <f>IFERROR(__xludf.DUMMYFUNCTION("""COMPUTED_VALUE"""),64.0)</f>
        <v>64</v>
      </c>
      <c r="F534" s="19" t="str">
        <f>IFERROR(__xludf.DUMMYFUNCTION("""COMPUTED_VALUE"""),"BLACK")</f>
        <v>BLACK</v>
      </c>
      <c r="G534" s="20" t="str">
        <f>IFERROR(__xludf.DUMMYFUNCTION("""COMPUTED_VALUE"""),"Tap 6 Clone (10/15/2021)")</f>
        <v>Tap 6 Clone (10/15/2021)</v>
      </c>
      <c r="H534" s="19"/>
    </row>
    <row r="535">
      <c r="A535" s="9"/>
      <c r="B535" s="15"/>
      <c r="C535" s="9">
        <f>IFERROR(__xludf.DUMMYFUNCTION("""COMPUTED_VALUE"""),44506.2701842939)</f>
        <v>44506.27018</v>
      </c>
      <c r="D535" s="15">
        <f>IFERROR(__xludf.DUMMYFUNCTION("""COMPUTED_VALUE"""),1.013)</f>
        <v>1.013</v>
      </c>
      <c r="E535" s="16">
        <f>IFERROR(__xludf.DUMMYFUNCTION("""COMPUTED_VALUE"""),64.0)</f>
        <v>64</v>
      </c>
      <c r="F535" s="19" t="str">
        <f>IFERROR(__xludf.DUMMYFUNCTION("""COMPUTED_VALUE"""),"BLACK")</f>
        <v>BLACK</v>
      </c>
      <c r="G535" s="20" t="str">
        <f>IFERROR(__xludf.DUMMYFUNCTION("""COMPUTED_VALUE"""),"Tap 6 Clone (10/15/2021)")</f>
        <v>Tap 6 Clone (10/15/2021)</v>
      </c>
      <c r="H535" s="19"/>
    </row>
    <row r="536">
      <c r="A536" s="9"/>
      <c r="B536" s="15"/>
      <c r="C536" s="9">
        <f>IFERROR(__xludf.DUMMYFUNCTION("""COMPUTED_VALUE"""),44506.259750324)</f>
        <v>44506.25975</v>
      </c>
      <c r="D536" s="15">
        <f>IFERROR(__xludf.DUMMYFUNCTION("""COMPUTED_VALUE"""),1.013)</f>
        <v>1.013</v>
      </c>
      <c r="E536" s="16">
        <f>IFERROR(__xludf.DUMMYFUNCTION("""COMPUTED_VALUE"""),64.0)</f>
        <v>64</v>
      </c>
      <c r="F536" s="19" t="str">
        <f>IFERROR(__xludf.DUMMYFUNCTION("""COMPUTED_VALUE"""),"BLACK")</f>
        <v>BLACK</v>
      </c>
      <c r="G536" s="20" t="str">
        <f>IFERROR(__xludf.DUMMYFUNCTION("""COMPUTED_VALUE"""),"Tap 6 Clone (10/15/2021)")</f>
        <v>Tap 6 Clone (10/15/2021)</v>
      </c>
      <c r="H536" s="19"/>
    </row>
    <row r="537">
      <c r="A537" s="9"/>
      <c r="B537" s="15"/>
      <c r="C537" s="9">
        <f>IFERROR(__xludf.DUMMYFUNCTION("""COMPUTED_VALUE"""),44506.2493285416)</f>
        <v>44506.24933</v>
      </c>
      <c r="D537" s="15">
        <f>IFERROR(__xludf.DUMMYFUNCTION("""COMPUTED_VALUE"""),1.013)</f>
        <v>1.013</v>
      </c>
      <c r="E537" s="16">
        <f>IFERROR(__xludf.DUMMYFUNCTION("""COMPUTED_VALUE"""),64.0)</f>
        <v>64</v>
      </c>
      <c r="F537" s="19" t="str">
        <f>IFERROR(__xludf.DUMMYFUNCTION("""COMPUTED_VALUE"""),"BLACK")</f>
        <v>BLACK</v>
      </c>
      <c r="G537" s="20" t="str">
        <f>IFERROR(__xludf.DUMMYFUNCTION("""COMPUTED_VALUE"""),"Tap 6 Clone (10/15/2021)")</f>
        <v>Tap 6 Clone (10/15/2021)</v>
      </c>
      <c r="H537" s="19"/>
    </row>
    <row r="538">
      <c r="A538" s="9"/>
      <c r="B538" s="15"/>
      <c r="C538" s="9">
        <f>IFERROR(__xludf.DUMMYFUNCTION("""COMPUTED_VALUE"""),44506.2389084027)</f>
        <v>44506.23891</v>
      </c>
      <c r="D538" s="15">
        <f>IFERROR(__xludf.DUMMYFUNCTION("""COMPUTED_VALUE"""),1.013)</f>
        <v>1.013</v>
      </c>
      <c r="E538" s="16">
        <f>IFERROR(__xludf.DUMMYFUNCTION("""COMPUTED_VALUE"""),64.0)</f>
        <v>64</v>
      </c>
      <c r="F538" s="19" t="str">
        <f>IFERROR(__xludf.DUMMYFUNCTION("""COMPUTED_VALUE"""),"BLACK")</f>
        <v>BLACK</v>
      </c>
      <c r="G538" s="20" t="str">
        <f>IFERROR(__xludf.DUMMYFUNCTION("""COMPUTED_VALUE"""),"Tap 6 Clone (10/15/2021)")</f>
        <v>Tap 6 Clone (10/15/2021)</v>
      </c>
      <c r="H538" s="19"/>
    </row>
    <row r="539">
      <c r="A539" s="9"/>
      <c r="B539" s="15"/>
      <c r="C539" s="9">
        <f>IFERROR(__xludf.DUMMYFUNCTION("""COMPUTED_VALUE"""),44506.2284748379)</f>
        <v>44506.22847</v>
      </c>
      <c r="D539" s="15">
        <f>IFERROR(__xludf.DUMMYFUNCTION("""COMPUTED_VALUE"""),1.013)</f>
        <v>1.013</v>
      </c>
      <c r="E539" s="16">
        <f>IFERROR(__xludf.DUMMYFUNCTION("""COMPUTED_VALUE"""),64.0)</f>
        <v>64</v>
      </c>
      <c r="F539" s="19" t="str">
        <f>IFERROR(__xludf.DUMMYFUNCTION("""COMPUTED_VALUE"""),"BLACK")</f>
        <v>BLACK</v>
      </c>
      <c r="G539" s="20" t="str">
        <f>IFERROR(__xludf.DUMMYFUNCTION("""COMPUTED_VALUE"""),"Tap 6 Clone (10/15/2021)")</f>
        <v>Tap 6 Clone (10/15/2021)</v>
      </c>
      <c r="H539" s="19"/>
    </row>
    <row r="540">
      <c r="A540" s="9"/>
      <c r="B540" s="15"/>
      <c r="C540" s="9">
        <f>IFERROR(__xludf.DUMMYFUNCTION("""COMPUTED_VALUE"""),44506.2180539583)</f>
        <v>44506.21805</v>
      </c>
      <c r="D540" s="15">
        <f>IFERROR(__xludf.DUMMYFUNCTION("""COMPUTED_VALUE"""),1.013)</f>
        <v>1.013</v>
      </c>
      <c r="E540" s="16">
        <f>IFERROR(__xludf.DUMMYFUNCTION("""COMPUTED_VALUE"""),64.0)</f>
        <v>64</v>
      </c>
      <c r="F540" s="19" t="str">
        <f>IFERROR(__xludf.DUMMYFUNCTION("""COMPUTED_VALUE"""),"BLACK")</f>
        <v>BLACK</v>
      </c>
      <c r="G540" s="20" t="str">
        <f>IFERROR(__xludf.DUMMYFUNCTION("""COMPUTED_VALUE"""),"Tap 6 Clone (10/15/2021)")</f>
        <v>Tap 6 Clone (10/15/2021)</v>
      </c>
      <c r="H540" s="19"/>
    </row>
    <row r="541">
      <c r="A541" s="9"/>
      <c r="B541" s="15"/>
      <c r="C541" s="9">
        <f>IFERROR(__xludf.DUMMYFUNCTION("""COMPUTED_VALUE"""),44506.2076197222)</f>
        <v>44506.20762</v>
      </c>
      <c r="D541" s="15">
        <f>IFERROR(__xludf.DUMMYFUNCTION("""COMPUTED_VALUE"""),1.013)</f>
        <v>1.013</v>
      </c>
      <c r="E541" s="16">
        <f>IFERROR(__xludf.DUMMYFUNCTION("""COMPUTED_VALUE"""),64.0)</f>
        <v>64</v>
      </c>
      <c r="F541" s="19" t="str">
        <f>IFERROR(__xludf.DUMMYFUNCTION("""COMPUTED_VALUE"""),"BLACK")</f>
        <v>BLACK</v>
      </c>
      <c r="G541" s="20" t="str">
        <f>IFERROR(__xludf.DUMMYFUNCTION("""COMPUTED_VALUE"""),"Tap 6 Clone (10/15/2021)")</f>
        <v>Tap 6 Clone (10/15/2021)</v>
      </c>
      <c r="H541" s="19"/>
    </row>
    <row r="542">
      <c r="A542" s="9"/>
      <c r="B542" s="15"/>
      <c r="C542" s="9">
        <f>IFERROR(__xludf.DUMMYFUNCTION("""COMPUTED_VALUE"""),44506.1971778472)</f>
        <v>44506.19718</v>
      </c>
      <c r="D542" s="15">
        <f>IFERROR(__xludf.DUMMYFUNCTION("""COMPUTED_VALUE"""),1.013)</f>
        <v>1.013</v>
      </c>
      <c r="E542" s="16">
        <f>IFERROR(__xludf.DUMMYFUNCTION("""COMPUTED_VALUE"""),64.0)</f>
        <v>64</v>
      </c>
      <c r="F542" s="19" t="str">
        <f>IFERROR(__xludf.DUMMYFUNCTION("""COMPUTED_VALUE"""),"BLACK")</f>
        <v>BLACK</v>
      </c>
      <c r="G542" s="20" t="str">
        <f>IFERROR(__xludf.DUMMYFUNCTION("""COMPUTED_VALUE"""),"Tap 6 Clone (10/15/2021)")</f>
        <v>Tap 6 Clone (10/15/2021)</v>
      </c>
      <c r="H542" s="19"/>
    </row>
    <row r="543">
      <c r="A543" s="9"/>
      <c r="B543" s="15"/>
      <c r="C543" s="9">
        <f>IFERROR(__xludf.DUMMYFUNCTION("""COMPUTED_VALUE"""),44506.1867555324)</f>
        <v>44506.18676</v>
      </c>
      <c r="D543" s="15">
        <f>IFERROR(__xludf.DUMMYFUNCTION("""COMPUTED_VALUE"""),1.013)</f>
        <v>1.013</v>
      </c>
      <c r="E543" s="16">
        <f>IFERROR(__xludf.DUMMYFUNCTION("""COMPUTED_VALUE"""),64.0)</f>
        <v>64</v>
      </c>
      <c r="F543" s="19" t="str">
        <f>IFERROR(__xludf.DUMMYFUNCTION("""COMPUTED_VALUE"""),"BLACK")</f>
        <v>BLACK</v>
      </c>
      <c r="G543" s="20" t="str">
        <f>IFERROR(__xludf.DUMMYFUNCTION("""COMPUTED_VALUE"""),"Tap 6 Clone (10/15/2021)")</f>
        <v>Tap 6 Clone (10/15/2021)</v>
      </c>
      <c r="H543" s="19"/>
    </row>
    <row r="544">
      <c r="A544" s="9"/>
      <c r="B544" s="15"/>
      <c r="C544" s="9">
        <f>IFERROR(__xludf.DUMMYFUNCTION("""COMPUTED_VALUE"""),44506.1763351851)</f>
        <v>44506.17634</v>
      </c>
      <c r="D544" s="15">
        <f>IFERROR(__xludf.DUMMYFUNCTION("""COMPUTED_VALUE"""),1.013)</f>
        <v>1.013</v>
      </c>
      <c r="E544" s="16">
        <f>IFERROR(__xludf.DUMMYFUNCTION("""COMPUTED_VALUE"""),64.0)</f>
        <v>64</v>
      </c>
      <c r="F544" s="19" t="str">
        <f>IFERROR(__xludf.DUMMYFUNCTION("""COMPUTED_VALUE"""),"BLACK")</f>
        <v>BLACK</v>
      </c>
      <c r="G544" s="20" t="str">
        <f>IFERROR(__xludf.DUMMYFUNCTION("""COMPUTED_VALUE"""),"Tap 6 Clone (10/15/2021)")</f>
        <v>Tap 6 Clone (10/15/2021)</v>
      </c>
      <c r="H544" s="19"/>
    </row>
    <row r="545">
      <c r="A545" s="9"/>
      <c r="B545" s="15"/>
      <c r="C545" s="9">
        <f>IFERROR(__xludf.DUMMYFUNCTION("""COMPUTED_VALUE"""),44506.1659138541)</f>
        <v>44506.16591</v>
      </c>
      <c r="D545" s="15">
        <f>IFERROR(__xludf.DUMMYFUNCTION("""COMPUTED_VALUE"""),1.013)</f>
        <v>1.013</v>
      </c>
      <c r="E545" s="16">
        <f>IFERROR(__xludf.DUMMYFUNCTION("""COMPUTED_VALUE"""),64.0)</f>
        <v>64</v>
      </c>
      <c r="F545" s="19" t="str">
        <f>IFERROR(__xludf.DUMMYFUNCTION("""COMPUTED_VALUE"""),"BLACK")</f>
        <v>BLACK</v>
      </c>
      <c r="G545" s="20" t="str">
        <f>IFERROR(__xludf.DUMMYFUNCTION("""COMPUTED_VALUE"""),"Tap 6 Clone (10/15/2021)")</f>
        <v>Tap 6 Clone (10/15/2021)</v>
      </c>
      <c r="H545" s="19"/>
    </row>
    <row r="546">
      <c r="A546" s="9"/>
      <c r="B546" s="15"/>
      <c r="C546" s="9">
        <f>IFERROR(__xludf.DUMMYFUNCTION("""COMPUTED_VALUE"""),44506.1554926967)</f>
        <v>44506.15549</v>
      </c>
      <c r="D546" s="15">
        <f>IFERROR(__xludf.DUMMYFUNCTION("""COMPUTED_VALUE"""),1.013)</f>
        <v>1.013</v>
      </c>
      <c r="E546" s="16">
        <f>IFERROR(__xludf.DUMMYFUNCTION("""COMPUTED_VALUE"""),64.0)</f>
        <v>64</v>
      </c>
      <c r="F546" s="19" t="str">
        <f>IFERROR(__xludf.DUMMYFUNCTION("""COMPUTED_VALUE"""),"BLACK")</f>
        <v>BLACK</v>
      </c>
      <c r="G546" s="20" t="str">
        <f>IFERROR(__xludf.DUMMYFUNCTION("""COMPUTED_VALUE"""),"Tap 6 Clone (10/15/2021)")</f>
        <v>Tap 6 Clone (10/15/2021)</v>
      </c>
      <c r="H546" s="19"/>
    </row>
    <row r="547">
      <c r="A547" s="9"/>
      <c r="B547" s="15"/>
      <c r="C547" s="9">
        <f>IFERROR(__xludf.DUMMYFUNCTION("""COMPUTED_VALUE"""),44506.1450732175)</f>
        <v>44506.14507</v>
      </c>
      <c r="D547" s="15">
        <f>IFERROR(__xludf.DUMMYFUNCTION("""COMPUTED_VALUE"""),1.013)</f>
        <v>1.013</v>
      </c>
      <c r="E547" s="16">
        <f>IFERROR(__xludf.DUMMYFUNCTION("""COMPUTED_VALUE"""),64.0)</f>
        <v>64</v>
      </c>
      <c r="F547" s="19" t="str">
        <f>IFERROR(__xludf.DUMMYFUNCTION("""COMPUTED_VALUE"""),"BLACK")</f>
        <v>BLACK</v>
      </c>
      <c r="G547" s="20" t="str">
        <f>IFERROR(__xludf.DUMMYFUNCTION("""COMPUTED_VALUE"""),"Tap 6 Clone (10/15/2021)")</f>
        <v>Tap 6 Clone (10/15/2021)</v>
      </c>
      <c r="H547" s="19"/>
    </row>
    <row r="548">
      <c r="A548" s="9"/>
      <c r="B548" s="15"/>
      <c r="C548" s="9">
        <f>IFERROR(__xludf.DUMMYFUNCTION("""COMPUTED_VALUE"""),44506.1346504629)</f>
        <v>44506.13465</v>
      </c>
      <c r="D548" s="15">
        <f>IFERROR(__xludf.DUMMYFUNCTION("""COMPUTED_VALUE"""),1.013)</f>
        <v>1.013</v>
      </c>
      <c r="E548" s="16">
        <f>IFERROR(__xludf.DUMMYFUNCTION("""COMPUTED_VALUE"""),64.0)</f>
        <v>64</v>
      </c>
      <c r="F548" s="19" t="str">
        <f>IFERROR(__xludf.DUMMYFUNCTION("""COMPUTED_VALUE"""),"BLACK")</f>
        <v>BLACK</v>
      </c>
      <c r="G548" s="20" t="str">
        <f>IFERROR(__xludf.DUMMYFUNCTION("""COMPUTED_VALUE"""),"Tap 6 Clone (10/15/2021)")</f>
        <v>Tap 6 Clone (10/15/2021)</v>
      </c>
      <c r="H548" s="19"/>
    </row>
    <row r="549">
      <c r="A549" s="9"/>
      <c r="B549" s="15"/>
      <c r="C549" s="9">
        <f>IFERROR(__xludf.DUMMYFUNCTION("""COMPUTED_VALUE"""),44506.1242166666)</f>
        <v>44506.12422</v>
      </c>
      <c r="D549" s="15">
        <f>IFERROR(__xludf.DUMMYFUNCTION("""COMPUTED_VALUE"""),1.013)</f>
        <v>1.013</v>
      </c>
      <c r="E549" s="16">
        <f>IFERROR(__xludf.DUMMYFUNCTION("""COMPUTED_VALUE"""),64.0)</f>
        <v>64</v>
      </c>
      <c r="F549" s="19" t="str">
        <f>IFERROR(__xludf.DUMMYFUNCTION("""COMPUTED_VALUE"""),"BLACK")</f>
        <v>BLACK</v>
      </c>
      <c r="G549" s="20" t="str">
        <f>IFERROR(__xludf.DUMMYFUNCTION("""COMPUTED_VALUE"""),"Tap 6 Clone (10/15/2021)")</f>
        <v>Tap 6 Clone (10/15/2021)</v>
      </c>
      <c r="H549" s="19"/>
    </row>
    <row r="550">
      <c r="A550" s="9"/>
      <c r="B550" s="15"/>
      <c r="C550" s="9">
        <f>IFERROR(__xludf.DUMMYFUNCTION("""COMPUTED_VALUE"""),44506.1137826967)</f>
        <v>44506.11378</v>
      </c>
      <c r="D550" s="15">
        <f>IFERROR(__xludf.DUMMYFUNCTION("""COMPUTED_VALUE"""),1.013)</f>
        <v>1.013</v>
      </c>
      <c r="E550" s="16">
        <f>IFERROR(__xludf.DUMMYFUNCTION("""COMPUTED_VALUE"""),64.0)</f>
        <v>64</v>
      </c>
      <c r="F550" s="19" t="str">
        <f>IFERROR(__xludf.DUMMYFUNCTION("""COMPUTED_VALUE"""),"BLACK")</f>
        <v>BLACK</v>
      </c>
      <c r="G550" s="20" t="str">
        <f>IFERROR(__xludf.DUMMYFUNCTION("""COMPUTED_VALUE"""),"Tap 6 Clone (10/15/2021)")</f>
        <v>Tap 6 Clone (10/15/2021)</v>
      </c>
      <c r="H550" s="19"/>
    </row>
    <row r="551">
      <c r="A551" s="9"/>
      <c r="B551" s="15"/>
      <c r="C551" s="9">
        <f>IFERROR(__xludf.DUMMYFUNCTION("""COMPUTED_VALUE"""),44506.103361956)</f>
        <v>44506.10336</v>
      </c>
      <c r="D551" s="15">
        <f>IFERROR(__xludf.DUMMYFUNCTION("""COMPUTED_VALUE"""),1.013)</f>
        <v>1.013</v>
      </c>
      <c r="E551" s="16">
        <f>IFERROR(__xludf.DUMMYFUNCTION("""COMPUTED_VALUE"""),64.0)</f>
        <v>64</v>
      </c>
      <c r="F551" s="19" t="str">
        <f>IFERROR(__xludf.DUMMYFUNCTION("""COMPUTED_VALUE"""),"BLACK")</f>
        <v>BLACK</v>
      </c>
      <c r="G551" s="20" t="str">
        <f>IFERROR(__xludf.DUMMYFUNCTION("""COMPUTED_VALUE"""),"Tap 6 Clone (10/15/2021)")</f>
        <v>Tap 6 Clone (10/15/2021)</v>
      </c>
      <c r="H551" s="19"/>
    </row>
    <row r="552">
      <c r="A552" s="9"/>
      <c r="B552" s="15"/>
      <c r="C552" s="9">
        <f>IFERROR(__xludf.DUMMYFUNCTION("""COMPUTED_VALUE"""),44506.0929290509)</f>
        <v>44506.09293</v>
      </c>
      <c r="D552" s="15">
        <f>IFERROR(__xludf.DUMMYFUNCTION("""COMPUTED_VALUE"""),1.013)</f>
        <v>1.013</v>
      </c>
      <c r="E552" s="16">
        <f>IFERROR(__xludf.DUMMYFUNCTION("""COMPUTED_VALUE"""),64.0)</f>
        <v>64</v>
      </c>
      <c r="F552" s="19" t="str">
        <f>IFERROR(__xludf.DUMMYFUNCTION("""COMPUTED_VALUE"""),"BLACK")</f>
        <v>BLACK</v>
      </c>
      <c r="G552" s="20" t="str">
        <f>IFERROR(__xludf.DUMMYFUNCTION("""COMPUTED_VALUE"""),"Tap 6 Clone (10/15/2021)")</f>
        <v>Tap 6 Clone (10/15/2021)</v>
      </c>
      <c r="H552" s="19"/>
    </row>
    <row r="553">
      <c r="A553" s="9"/>
      <c r="B553" s="15"/>
      <c r="C553" s="9">
        <f>IFERROR(__xludf.DUMMYFUNCTION("""COMPUTED_VALUE"""),44506.082507199)</f>
        <v>44506.08251</v>
      </c>
      <c r="D553" s="15">
        <f>IFERROR(__xludf.DUMMYFUNCTION("""COMPUTED_VALUE"""),1.013)</f>
        <v>1.013</v>
      </c>
      <c r="E553" s="16">
        <f>IFERROR(__xludf.DUMMYFUNCTION("""COMPUTED_VALUE"""),64.0)</f>
        <v>64</v>
      </c>
      <c r="F553" s="19" t="str">
        <f>IFERROR(__xludf.DUMMYFUNCTION("""COMPUTED_VALUE"""),"BLACK")</f>
        <v>BLACK</v>
      </c>
      <c r="G553" s="20" t="str">
        <f>IFERROR(__xludf.DUMMYFUNCTION("""COMPUTED_VALUE"""),"Tap 6 Clone (10/15/2021)")</f>
        <v>Tap 6 Clone (10/15/2021)</v>
      </c>
      <c r="H553" s="19"/>
    </row>
    <row r="554">
      <c r="A554" s="9"/>
      <c r="B554" s="15"/>
      <c r="C554" s="9">
        <f>IFERROR(__xludf.DUMMYFUNCTION("""COMPUTED_VALUE"""),44506.0720864467)</f>
        <v>44506.07209</v>
      </c>
      <c r="D554" s="15">
        <f>IFERROR(__xludf.DUMMYFUNCTION("""COMPUTED_VALUE"""),1.013)</f>
        <v>1.013</v>
      </c>
      <c r="E554" s="16">
        <f>IFERROR(__xludf.DUMMYFUNCTION("""COMPUTED_VALUE"""),64.0)</f>
        <v>64</v>
      </c>
      <c r="F554" s="19" t="str">
        <f>IFERROR(__xludf.DUMMYFUNCTION("""COMPUTED_VALUE"""),"BLACK")</f>
        <v>BLACK</v>
      </c>
      <c r="G554" s="20" t="str">
        <f>IFERROR(__xludf.DUMMYFUNCTION("""COMPUTED_VALUE"""),"Tap 6 Clone (10/15/2021)")</f>
        <v>Tap 6 Clone (10/15/2021)</v>
      </c>
      <c r="H554" s="19"/>
    </row>
    <row r="555">
      <c r="A555" s="9"/>
      <c r="B555" s="15"/>
      <c r="C555" s="9">
        <f>IFERROR(__xludf.DUMMYFUNCTION("""COMPUTED_VALUE"""),44506.0616545949)</f>
        <v>44506.06165</v>
      </c>
      <c r="D555" s="15">
        <f>IFERROR(__xludf.DUMMYFUNCTION("""COMPUTED_VALUE"""),1.013)</f>
        <v>1.013</v>
      </c>
      <c r="E555" s="16">
        <f>IFERROR(__xludf.DUMMYFUNCTION("""COMPUTED_VALUE"""),64.0)</f>
        <v>64</v>
      </c>
      <c r="F555" s="19" t="str">
        <f>IFERROR(__xludf.DUMMYFUNCTION("""COMPUTED_VALUE"""),"BLACK")</f>
        <v>BLACK</v>
      </c>
      <c r="G555" s="20" t="str">
        <f>IFERROR(__xludf.DUMMYFUNCTION("""COMPUTED_VALUE"""),"Tap 6 Clone (10/15/2021)")</f>
        <v>Tap 6 Clone (10/15/2021)</v>
      </c>
      <c r="H555" s="19"/>
    </row>
    <row r="556">
      <c r="A556" s="9"/>
      <c r="B556" s="15"/>
      <c r="C556" s="9">
        <f>IFERROR(__xludf.DUMMYFUNCTION("""COMPUTED_VALUE"""),44506.0512326851)</f>
        <v>44506.05123</v>
      </c>
      <c r="D556" s="15">
        <f>IFERROR(__xludf.DUMMYFUNCTION("""COMPUTED_VALUE"""),1.013)</f>
        <v>1.013</v>
      </c>
      <c r="E556" s="16">
        <f>IFERROR(__xludf.DUMMYFUNCTION("""COMPUTED_VALUE"""),64.0)</f>
        <v>64</v>
      </c>
      <c r="F556" s="19" t="str">
        <f>IFERROR(__xludf.DUMMYFUNCTION("""COMPUTED_VALUE"""),"BLACK")</f>
        <v>BLACK</v>
      </c>
      <c r="G556" s="20" t="str">
        <f>IFERROR(__xludf.DUMMYFUNCTION("""COMPUTED_VALUE"""),"Tap 6 Clone (10/15/2021)")</f>
        <v>Tap 6 Clone (10/15/2021)</v>
      </c>
      <c r="H556" s="19"/>
    </row>
    <row r="557">
      <c r="A557" s="9"/>
      <c r="B557" s="15"/>
      <c r="C557" s="9">
        <f>IFERROR(__xludf.DUMMYFUNCTION("""COMPUTED_VALUE"""),44506.0408114467)</f>
        <v>44506.04081</v>
      </c>
      <c r="D557" s="15">
        <f>IFERROR(__xludf.DUMMYFUNCTION("""COMPUTED_VALUE"""),1.013)</f>
        <v>1.013</v>
      </c>
      <c r="E557" s="16">
        <f>IFERROR(__xludf.DUMMYFUNCTION("""COMPUTED_VALUE"""),64.0)</f>
        <v>64</v>
      </c>
      <c r="F557" s="19" t="str">
        <f>IFERROR(__xludf.DUMMYFUNCTION("""COMPUTED_VALUE"""),"BLACK")</f>
        <v>BLACK</v>
      </c>
      <c r="G557" s="20" t="str">
        <f>IFERROR(__xludf.DUMMYFUNCTION("""COMPUTED_VALUE"""),"Tap 6 Clone (10/15/2021)")</f>
        <v>Tap 6 Clone (10/15/2021)</v>
      </c>
      <c r="H557" s="19"/>
    </row>
    <row r="558">
      <c r="A558" s="9"/>
      <c r="B558" s="15"/>
      <c r="C558" s="9">
        <f>IFERROR(__xludf.DUMMYFUNCTION("""COMPUTED_VALUE"""),44506.0303806134)</f>
        <v>44506.03038</v>
      </c>
      <c r="D558" s="15">
        <f>IFERROR(__xludf.DUMMYFUNCTION("""COMPUTED_VALUE"""),1.013)</f>
        <v>1.013</v>
      </c>
      <c r="E558" s="16">
        <f>IFERROR(__xludf.DUMMYFUNCTION("""COMPUTED_VALUE"""),64.0)</f>
        <v>64</v>
      </c>
      <c r="F558" s="19" t="str">
        <f>IFERROR(__xludf.DUMMYFUNCTION("""COMPUTED_VALUE"""),"BLACK")</f>
        <v>BLACK</v>
      </c>
      <c r="G558" s="20" t="str">
        <f>IFERROR(__xludf.DUMMYFUNCTION("""COMPUTED_VALUE"""),"Tap 6 Clone (10/15/2021)")</f>
        <v>Tap 6 Clone (10/15/2021)</v>
      </c>
      <c r="H558" s="19"/>
    </row>
    <row r="559">
      <c r="A559" s="9"/>
      <c r="B559" s="15"/>
      <c r="C559" s="9">
        <f>IFERROR(__xludf.DUMMYFUNCTION("""COMPUTED_VALUE"""),44506.0199596643)</f>
        <v>44506.01996</v>
      </c>
      <c r="D559" s="15">
        <f>IFERROR(__xludf.DUMMYFUNCTION("""COMPUTED_VALUE"""),1.013)</f>
        <v>1.013</v>
      </c>
      <c r="E559" s="16">
        <f>IFERROR(__xludf.DUMMYFUNCTION("""COMPUTED_VALUE"""),65.0)</f>
        <v>65</v>
      </c>
      <c r="F559" s="19" t="str">
        <f>IFERROR(__xludf.DUMMYFUNCTION("""COMPUTED_VALUE"""),"BLACK")</f>
        <v>BLACK</v>
      </c>
      <c r="G559" s="20" t="str">
        <f>IFERROR(__xludf.DUMMYFUNCTION("""COMPUTED_VALUE"""),"Tap 6 Clone (10/15/2021)")</f>
        <v>Tap 6 Clone (10/15/2021)</v>
      </c>
      <c r="H559" s="19"/>
    </row>
    <row r="560">
      <c r="A560" s="9"/>
      <c r="B560" s="15"/>
      <c r="C560" s="9">
        <f>IFERROR(__xludf.DUMMYFUNCTION("""COMPUTED_VALUE"""),44506.0095379745)</f>
        <v>44506.00954</v>
      </c>
      <c r="D560" s="15">
        <f>IFERROR(__xludf.DUMMYFUNCTION("""COMPUTED_VALUE"""),1.013)</f>
        <v>1.013</v>
      </c>
      <c r="E560" s="16">
        <f>IFERROR(__xludf.DUMMYFUNCTION("""COMPUTED_VALUE"""),64.0)</f>
        <v>64</v>
      </c>
      <c r="F560" s="19" t="str">
        <f>IFERROR(__xludf.DUMMYFUNCTION("""COMPUTED_VALUE"""),"BLACK")</f>
        <v>BLACK</v>
      </c>
      <c r="G560" s="20" t="str">
        <f>IFERROR(__xludf.DUMMYFUNCTION("""COMPUTED_VALUE"""),"Tap 6 Clone (10/15/2021)")</f>
        <v>Tap 6 Clone (10/15/2021)</v>
      </c>
      <c r="H560" s="19"/>
    </row>
    <row r="561">
      <c r="A561" s="9"/>
      <c r="B561" s="15"/>
      <c r="C561" s="9">
        <f>IFERROR(__xludf.DUMMYFUNCTION("""COMPUTED_VALUE"""),44505.9991168287)</f>
        <v>44505.99912</v>
      </c>
      <c r="D561" s="15">
        <f>IFERROR(__xludf.DUMMYFUNCTION("""COMPUTED_VALUE"""),1.013)</f>
        <v>1.013</v>
      </c>
      <c r="E561" s="16">
        <f>IFERROR(__xludf.DUMMYFUNCTION("""COMPUTED_VALUE"""),65.0)</f>
        <v>65</v>
      </c>
      <c r="F561" s="19" t="str">
        <f>IFERROR(__xludf.DUMMYFUNCTION("""COMPUTED_VALUE"""),"BLACK")</f>
        <v>BLACK</v>
      </c>
      <c r="G561" s="20" t="str">
        <f>IFERROR(__xludf.DUMMYFUNCTION("""COMPUTED_VALUE"""),"Tap 6 Clone (10/15/2021)")</f>
        <v>Tap 6 Clone (10/15/2021)</v>
      </c>
      <c r="H561" s="19"/>
    </row>
    <row r="562">
      <c r="A562" s="9"/>
      <c r="B562" s="15"/>
      <c r="C562" s="9">
        <f>IFERROR(__xludf.DUMMYFUNCTION("""COMPUTED_VALUE"""),44505.988685243)</f>
        <v>44505.98869</v>
      </c>
      <c r="D562" s="15">
        <f>IFERROR(__xludf.DUMMYFUNCTION("""COMPUTED_VALUE"""),1.013)</f>
        <v>1.013</v>
      </c>
      <c r="E562" s="16">
        <f>IFERROR(__xludf.DUMMYFUNCTION("""COMPUTED_VALUE"""),64.0)</f>
        <v>64</v>
      </c>
      <c r="F562" s="19" t="str">
        <f>IFERROR(__xludf.DUMMYFUNCTION("""COMPUTED_VALUE"""),"BLACK")</f>
        <v>BLACK</v>
      </c>
      <c r="G562" s="20" t="str">
        <f>IFERROR(__xludf.DUMMYFUNCTION("""COMPUTED_VALUE"""),"Tap 6 Clone (10/15/2021)")</f>
        <v>Tap 6 Clone (10/15/2021)</v>
      </c>
      <c r="H562" s="19"/>
    </row>
    <row r="563">
      <c r="A563" s="9"/>
      <c r="B563" s="15"/>
      <c r="C563" s="9">
        <f>IFERROR(__xludf.DUMMYFUNCTION("""COMPUTED_VALUE"""),44505.9782635416)</f>
        <v>44505.97826</v>
      </c>
      <c r="D563" s="15">
        <f>IFERROR(__xludf.DUMMYFUNCTION("""COMPUTED_VALUE"""),1.013)</f>
        <v>1.013</v>
      </c>
      <c r="E563" s="16">
        <f>IFERROR(__xludf.DUMMYFUNCTION("""COMPUTED_VALUE"""),64.0)</f>
        <v>64</v>
      </c>
      <c r="F563" s="19" t="str">
        <f>IFERROR(__xludf.DUMMYFUNCTION("""COMPUTED_VALUE"""),"BLACK")</f>
        <v>BLACK</v>
      </c>
      <c r="G563" s="20" t="str">
        <f>IFERROR(__xludf.DUMMYFUNCTION("""COMPUTED_VALUE"""),"Tap 6 Clone (10/15/2021)")</f>
        <v>Tap 6 Clone (10/15/2021)</v>
      </c>
      <c r="H563" s="19"/>
    </row>
    <row r="564">
      <c r="A564" s="9"/>
      <c r="B564" s="15"/>
      <c r="C564" s="9">
        <f>IFERROR(__xludf.DUMMYFUNCTION("""COMPUTED_VALUE"""),44505.9678306597)</f>
        <v>44505.96783</v>
      </c>
      <c r="D564" s="15">
        <f>IFERROR(__xludf.DUMMYFUNCTION("""COMPUTED_VALUE"""),1.013)</f>
        <v>1.013</v>
      </c>
      <c r="E564" s="16">
        <f>IFERROR(__xludf.DUMMYFUNCTION("""COMPUTED_VALUE"""),65.0)</f>
        <v>65</v>
      </c>
      <c r="F564" s="19" t="str">
        <f>IFERROR(__xludf.DUMMYFUNCTION("""COMPUTED_VALUE"""),"BLACK")</f>
        <v>BLACK</v>
      </c>
      <c r="G564" s="20" t="str">
        <f>IFERROR(__xludf.DUMMYFUNCTION("""COMPUTED_VALUE"""),"Tap 6 Clone (10/15/2021)")</f>
        <v>Tap 6 Clone (10/15/2021)</v>
      </c>
      <c r="H564" s="19"/>
    </row>
    <row r="565">
      <c r="A565" s="9"/>
      <c r="B565" s="15"/>
      <c r="C565" s="9">
        <f>IFERROR(__xludf.DUMMYFUNCTION("""COMPUTED_VALUE"""),44505.8218989583)</f>
        <v>44505.8219</v>
      </c>
      <c r="D565" s="15">
        <f>IFERROR(__xludf.DUMMYFUNCTION("""COMPUTED_VALUE"""),1.013)</f>
        <v>1.013</v>
      </c>
      <c r="E565" s="16">
        <f>IFERROR(__xludf.DUMMYFUNCTION("""COMPUTED_VALUE"""),65.0)</f>
        <v>65</v>
      </c>
      <c r="F565" s="19" t="str">
        <f>IFERROR(__xludf.DUMMYFUNCTION("""COMPUTED_VALUE"""),"BLACK")</f>
        <v>BLACK</v>
      </c>
      <c r="G565" s="20" t="str">
        <f>IFERROR(__xludf.DUMMYFUNCTION("""COMPUTED_VALUE"""),"Tap 6 Clone (10/15/2021)")</f>
        <v>Tap 6 Clone (10/15/2021)</v>
      </c>
      <c r="H565" s="19"/>
    </row>
    <row r="566">
      <c r="A566" s="9"/>
      <c r="B566" s="15"/>
      <c r="C566" s="9">
        <f>IFERROR(__xludf.DUMMYFUNCTION("""COMPUTED_VALUE"""),44505.8114412384)</f>
        <v>44505.81144</v>
      </c>
      <c r="D566" s="15">
        <f>IFERROR(__xludf.DUMMYFUNCTION("""COMPUTED_VALUE"""),1.013)</f>
        <v>1.013</v>
      </c>
      <c r="E566" s="16">
        <f>IFERROR(__xludf.DUMMYFUNCTION("""COMPUTED_VALUE"""),64.0)</f>
        <v>64</v>
      </c>
      <c r="F566" s="19" t="str">
        <f>IFERROR(__xludf.DUMMYFUNCTION("""COMPUTED_VALUE"""),"BLACK")</f>
        <v>BLACK</v>
      </c>
      <c r="G566" s="20" t="str">
        <f>IFERROR(__xludf.DUMMYFUNCTION("""COMPUTED_VALUE"""),"Tap 6 Clone (10/15/2021)")</f>
        <v>Tap 6 Clone (10/15/2021)</v>
      </c>
      <c r="H566" s="19"/>
    </row>
    <row r="567">
      <c r="A567" s="9"/>
      <c r="B567" s="15"/>
      <c r="C567" s="9">
        <f>IFERROR(__xludf.DUMMYFUNCTION("""COMPUTED_VALUE"""),44505.801009537)</f>
        <v>44505.80101</v>
      </c>
      <c r="D567" s="15">
        <f>IFERROR(__xludf.DUMMYFUNCTION("""COMPUTED_VALUE"""),1.013)</f>
        <v>1.013</v>
      </c>
      <c r="E567" s="16">
        <f>IFERROR(__xludf.DUMMYFUNCTION("""COMPUTED_VALUE"""),65.0)</f>
        <v>65</v>
      </c>
      <c r="F567" s="19" t="str">
        <f>IFERROR(__xludf.DUMMYFUNCTION("""COMPUTED_VALUE"""),"BLACK")</f>
        <v>BLACK</v>
      </c>
      <c r="G567" s="20" t="str">
        <f>IFERROR(__xludf.DUMMYFUNCTION("""COMPUTED_VALUE"""),"Tap 6 Clone (10/15/2021)")</f>
        <v>Tap 6 Clone (10/15/2021)</v>
      </c>
      <c r="H567" s="19"/>
    </row>
    <row r="568">
      <c r="A568" s="9"/>
      <c r="B568" s="15"/>
      <c r="C568" s="9">
        <f>IFERROR(__xludf.DUMMYFUNCTION("""COMPUTED_VALUE"""),44505.7905881713)</f>
        <v>44505.79059</v>
      </c>
      <c r="D568" s="15">
        <f>IFERROR(__xludf.DUMMYFUNCTION("""COMPUTED_VALUE"""),1.013)</f>
        <v>1.013</v>
      </c>
      <c r="E568" s="16">
        <f>IFERROR(__xludf.DUMMYFUNCTION("""COMPUTED_VALUE"""),65.0)</f>
        <v>65</v>
      </c>
      <c r="F568" s="19" t="str">
        <f>IFERROR(__xludf.DUMMYFUNCTION("""COMPUTED_VALUE"""),"BLACK")</f>
        <v>BLACK</v>
      </c>
      <c r="G568" s="20" t="str">
        <f>IFERROR(__xludf.DUMMYFUNCTION("""COMPUTED_VALUE"""),"Tap 6 Clone (10/15/2021)")</f>
        <v>Tap 6 Clone (10/15/2021)</v>
      </c>
      <c r="H568" s="19"/>
    </row>
    <row r="569">
      <c r="A569" s="9"/>
      <c r="B569" s="15"/>
      <c r="C569" s="9">
        <f>IFERROR(__xludf.DUMMYFUNCTION("""COMPUTED_VALUE"""),44505.7801646759)</f>
        <v>44505.78016</v>
      </c>
      <c r="D569" s="15">
        <f>IFERROR(__xludf.DUMMYFUNCTION("""COMPUTED_VALUE"""),1.013)</f>
        <v>1.013</v>
      </c>
      <c r="E569" s="16">
        <f>IFERROR(__xludf.DUMMYFUNCTION("""COMPUTED_VALUE"""),64.0)</f>
        <v>64</v>
      </c>
      <c r="F569" s="19" t="str">
        <f>IFERROR(__xludf.DUMMYFUNCTION("""COMPUTED_VALUE"""),"BLACK")</f>
        <v>BLACK</v>
      </c>
      <c r="G569" s="20" t="str">
        <f>IFERROR(__xludf.DUMMYFUNCTION("""COMPUTED_VALUE"""),"Tap 6 Clone (10/15/2021)")</f>
        <v>Tap 6 Clone (10/15/2021)</v>
      </c>
      <c r="H569" s="19"/>
    </row>
    <row r="570">
      <c r="A570" s="9"/>
      <c r="B570" s="15"/>
      <c r="C570" s="9">
        <f>IFERROR(__xludf.DUMMYFUNCTION("""COMPUTED_VALUE"""),44505.7697435763)</f>
        <v>44505.76974</v>
      </c>
      <c r="D570" s="15">
        <f>IFERROR(__xludf.DUMMYFUNCTION("""COMPUTED_VALUE"""),1.013)</f>
        <v>1.013</v>
      </c>
      <c r="E570" s="16">
        <f>IFERROR(__xludf.DUMMYFUNCTION("""COMPUTED_VALUE"""),64.0)</f>
        <v>64</v>
      </c>
      <c r="F570" s="19" t="str">
        <f>IFERROR(__xludf.DUMMYFUNCTION("""COMPUTED_VALUE"""),"BLACK")</f>
        <v>BLACK</v>
      </c>
      <c r="G570" s="20" t="str">
        <f>IFERROR(__xludf.DUMMYFUNCTION("""COMPUTED_VALUE"""),"Tap 6 Clone (10/15/2021)")</f>
        <v>Tap 6 Clone (10/15/2021)</v>
      </c>
      <c r="H570" s="19"/>
    </row>
    <row r="571">
      <c r="A571" s="9"/>
      <c r="B571" s="15"/>
      <c r="C571" s="9">
        <f>IFERROR(__xludf.DUMMYFUNCTION("""COMPUTED_VALUE"""),44505.7593231481)</f>
        <v>44505.75932</v>
      </c>
      <c r="D571" s="15">
        <f>IFERROR(__xludf.DUMMYFUNCTION("""COMPUTED_VALUE"""),1.013)</f>
        <v>1.013</v>
      </c>
      <c r="E571" s="16">
        <f>IFERROR(__xludf.DUMMYFUNCTION("""COMPUTED_VALUE"""),65.0)</f>
        <v>65</v>
      </c>
      <c r="F571" s="19" t="str">
        <f>IFERROR(__xludf.DUMMYFUNCTION("""COMPUTED_VALUE"""),"BLACK")</f>
        <v>BLACK</v>
      </c>
      <c r="G571" s="20" t="str">
        <f>IFERROR(__xludf.DUMMYFUNCTION("""COMPUTED_VALUE"""),"Tap 6 Clone (10/15/2021)")</f>
        <v>Tap 6 Clone (10/15/2021)</v>
      </c>
      <c r="H571" s="19"/>
    </row>
    <row r="572">
      <c r="A572" s="9"/>
      <c r="B572" s="15"/>
      <c r="C572" s="9">
        <f>IFERROR(__xludf.DUMMYFUNCTION("""COMPUTED_VALUE"""),44505.748902824)</f>
        <v>44505.7489</v>
      </c>
      <c r="D572" s="15">
        <f>IFERROR(__xludf.DUMMYFUNCTION("""COMPUTED_VALUE"""),1.013)</f>
        <v>1.013</v>
      </c>
      <c r="E572" s="16">
        <f>IFERROR(__xludf.DUMMYFUNCTION("""COMPUTED_VALUE"""),65.0)</f>
        <v>65</v>
      </c>
      <c r="F572" s="19" t="str">
        <f>IFERROR(__xludf.DUMMYFUNCTION("""COMPUTED_VALUE"""),"BLACK")</f>
        <v>BLACK</v>
      </c>
      <c r="G572" s="20" t="str">
        <f>IFERROR(__xludf.DUMMYFUNCTION("""COMPUTED_VALUE"""),"Tap 6 Clone (10/15/2021)")</f>
        <v>Tap 6 Clone (10/15/2021)</v>
      </c>
      <c r="H572" s="19"/>
    </row>
    <row r="573">
      <c r="A573" s="9"/>
      <c r="B573" s="15"/>
      <c r="C573" s="9">
        <f>IFERROR(__xludf.DUMMYFUNCTION("""COMPUTED_VALUE"""),44505.7384821527)</f>
        <v>44505.73848</v>
      </c>
      <c r="D573" s="15">
        <f>IFERROR(__xludf.DUMMYFUNCTION("""COMPUTED_VALUE"""),1.013)</f>
        <v>1.013</v>
      </c>
      <c r="E573" s="16">
        <f>IFERROR(__xludf.DUMMYFUNCTION("""COMPUTED_VALUE"""),65.0)</f>
        <v>65</v>
      </c>
      <c r="F573" s="19" t="str">
        <f>IFERROR(__xludf.DUMMYFUNCTION("""COMPUTED_VALUE"""),"BLACK")</f>
        <v>BLACK</v>
      </c>
      <c r="G573" s="20" t="str">
        <f>IFERROR(__xludf.DUMMYFUNCTION("""COMPUTED_VALUE"""),"Tap 6 Clone (10/15/2021)")</f>
        <v>Tap 6 Clone (10/15/2021)</v>
      </c>
      <c r="H573" s="19"/>
    </row>
    <row r="574">
      <c r="A574" s="9"/>
      <c r="B574" s="15"/>
      <c r="C574" s="9">
        <f>IFERROR(__xludf.DUMMYFUNCTION("""COMPUTED_VALUE"""),44505.7280609375)</f>
        <v>44505.72806</v>
      </c>
      <c r="D574" s="15">
        <f>IFERROR(__xludf.DUMMYFUNCTION("""COMPUTED_VALUE"""),1.013)</f>
        <v>1.013</v>
      </c>
      <c r="E574" s="16">
        <f>IFERROR(__xludf.DUMMYFUNCTION("""COMPUTED_VALUE"""),65.0)</f>
        <v>65</v>
      </c>
      <c r="F574" s="19" t="str">
        <f>IFERROR(__xludf.DUMMYFUNCTION("""COMPUTED_VALUE"""),"BLACK")</f>
        <v>BLACK</v>
      </c>
      <c r="G574" s="20" t="str">
        <f>IFERROR(__xludf.DUMMYFUNCTION("""COMPUTED_VALUE"""),"Tap 6 Clone (10/15/2021)")</f>
        <v>Tap 6 Clone (10/15/2021)</v>
      </c>
      <c r="H574" s="19"/>
    </row>
    <row r="575">
      <c r="A575" s="9"/>
      <c r="B575" s="15"/>
      <c r="C575" s="9">
        <f>IFERROR(__xludf.DUMMYFUNCTION("""COMPUTED_VALUE"""),44505.7176386342)</f>
        <v>44505.71764</v>
      </c>
      <c r="D575" s="15">
        <f>IFERROR(__xludf.DUMMYFUNCTION("""COMPUTED_VALUE"""),1.013)</f>
        <v>1.013</v>
      </c>
      <c r="E575" s="16">
        <f>IFERROR(__xludf.DUMMYFUNCTION("""COMPUTED_VALUE"""),64.0)</f>
        <v>64</v>
      </c>
      <c r="F575" s="19" t="str">
        <f>IFERROR(__xludf.DUMMYFUNCTION("""COMPUTED_VALUE"""),"BLACK")</f>
        <v>BLACK</v>
      </c>
      <c r="G575" s="20" t="str">
        <f>IFERROR(__xludf.DUMMYFUNCTION("""COMPUTED_VALUE"""),"Tap 6 Clone (10/15/2021)")</f>
        <v>Tap 6 Clone (10/15/2021)</v>
      </c>
      <c r="H575" s="19"/>
    </row>
    <row r="576">
      <c r="A576" s="9"/>
      <c r="B576" s="15"/>
      <c r="C576" s="9">
        <f>IFERROR(__xludf.DUMMYFUNCTION("""COMPUTED_VALUE"""),44505.7071936111)</f>
        <v>44505.70719</v>
      </c>
      <c r="D576" s="15">
        <f>IFERROR(__xludf.DUMMYFUNCTION("""COMPUTED_VALUE"""),1.013)</f>
        <v>1.013</v>
      </c>
      <c r="E576" s="16">
        <f>IFERROR(__xludf.DUMMYFUNCTION("""COMPUTED_VALUE"""),64.0)</f>
        <v>64</v>
      </c>
      <c r="F576" s="19" t="str">
        <f>IFERROR(__xludf.DUMMYFUNCTION("""COMPUTED_VALUE"""),"BLACK")</f>
        <v>BLACK</v>
      </c>
      <c r="G576" s="20" t="str">
        <f>IFERROR(__xludf.DUMMYFUNCTION("""COMPUTED_VALUE"""),"Tap 6 Clone (10/15/2021)")</f>
        <v>Tap 6 Clone (10/15/2021)</v>
      </c>
      <c r="H576" s="19"/>
    </row>
    <row r="577">
      <c r="A577" s="9"/>
      <c r="B577" s="15"/>
      <c r="C577" s="9">
        <f>IFERROR(__xludf.DUMMYFUNCTION("""COMPUTED_VALUE"""),44505.6967609722)</f>
        <v>44505.69676</v>
      </c>
      <c r="D577" s="15">
        <f>IFERROR(__xludf.DUMMYFUNCTION("""COMPUTED_VALUE"""),1.013)</f>
        <v>1.013</v>
      </c>
      <c r="E577" s="16">
        <f>IFERROR(__xludf.DUMMYFUNCTION("""COMPUTED_VALUE"""),65.0)</f>
        <v>65</v>
      </c>
      <c r="F577" s="19" t="str">
        <f>IFERROR(__xludf.DUMMYFUNCTION("""COMPUTED_VALUE"""),"BLACK")</f>
        <v>BLACK</v>
      </c>
      <c r="G577" s="20" t="str">
        <f>IFERROR(__xludf.DUMMYFUNCTION("""COMPUTED_VALUE"""),"Tap 6 Clone (10/15/2021)")</f>
        <v>Tap 6 Clone (10/15/2021)</v>
      </c>
      <c r="H577" s="19"/>
    </row>
    <row r="578">
      <c r="A578" s="9"/>
      <c r="B578" s="15"/>
      <c r="C578" s="9">
        <f>IFERROR(__xludf.DUMMYFUNCTION("""COMPUTED_VALUE"""),44505.6863398842)</f>
        <v>44505.68634</v>
      </c>
      <c r="D578" s="15">
        <f>IFERROR(__xludf.DUMMYFUNCTION("""COMPUTED_VALUE"""),1.013)</f>
        <v>1.013</v>
      </c>
      <c r="E578" s="16">
        <f>IFERROR(__xludf.DUMMYFUNCTION("""COMPUTED_VALUE"""),64.0)</f>
        <v>64</v>
      </c>
      <c r="F578" s="19" t="str">
        <f>IFERROR(__xludf.DUMMYFUNCTION("""COMPUTED_VALUE"""),"BLACK")</f>
        <v>BLACK</v>
      </c>
      <c r="G578" s="20" t="str">
        <f>IFERROR(__xludf.DUMMYFUNCTION("""COMPUTED_VALUE"""),"Tap 6 Clone (10/15/2021)")</f>
        <v>Tap 6 Clone (10/15/2021)</v>
      </c>
      <c r="H578" s="19"/>
    </row>
    <row r="579">
      <c r="A579" s="9"/>
      <c r="B579" s="15"/>
      <c r="C579" s="9">
        <f>IFERROR(__xludf.DUMMYFUNCTION("""COMPUTED_VALUE"""),44505.6759060879)</f>
        <v>44505.67591</v>
      </c>
      <c r="D579" s="15">
        <f>IFERROR(__xludf.DUMMYFUNCTION("""COMPUTED_VALUE"""),1.013)</f>
        <v>1.013</v>
      </c>
      <c r="E579" s="16">
        <f>IFERROR(__xludf.DUMMYFUNCTION("""COMPUTED_VALUE"""),64.0)</f>
        <v>64</v>
      </c>
      <c r="F579" s="19" t="str">
        <f>IFERROR(__xludf.DUMMYFUNCTION("""COMPUTED_VALUE"""),"BLACK")</f>
        <v>BLACK</v>
      </c>
      <c r="G579" s="20" t="str">
        <f>IFERROR(__xludf.DUMMYFUNCTION("""COMPUTED_VALUE"""),"Tap 6 Clone (10/15/2021)")</f>
        <v>Tap 6 Clone (10/15/2021)</v>
      </c>
      <c r="H579" s="19"/>
    </row>
    <row r="580">
      <c r="A580" s="9"/>
      <c r="B580" s="15"/>
      <c r="C580" s="9">
        <f>IFERROR(__xludf.DUMMYFUNCTION("""COMPUTED_VALUE"""),44505.6654634259)</f>
        <v>44505.66546</v>
      </c>
      <c r="D580" s="15">
        <f>IFERROR(__xludf.DUMMYFUNCTION("""COMPUTED_VALUE"""),1.013)</f>
        <v>1.013</v>
      </c>
      <c r="E580" s="16">
        <f>IFERROR(__xludf.DUMMYFUNCTION("""COMPUTED_VALUE"""),64.0)</f>
        <v>64</v>
      </c>
      <c r="F580" s="19" t="str">
        <f>IFERROR(__xludf.DUMMYFUNCTION("""COMPUTED_VALUE"""),"BLACK")</f>
        <v>BLACK</v>
      </c>
      <c r="G580" s="20" t="str">
        <f>IFERROR(__xludf.DUMMYFUNCTION("""COMPUTED_VALUE"""),"Tap 6 Clone (10/15/2021)")</f>
        <v>Tap 6 Clone (10/15/2021)</v>
      </c>
      <c r="H580" s="19"/>
    </row>
    <row r="581">
      <c r="A581" s="9"/>
      <c r="B581" s="15"/>
      <c r="C581" s="9">
        <f>IFERROR(__xludf.DUMMYFUNCTION("""COMPUTED_VALUE"""),44505.6550308449)</f>
        <v>44505.65503</v>
      </c>
      <c r="D581" s="15">
        <f>IFERROR(__xludf.DUMMYFUNCTION("""COMPUTED_VALUE"""),1.013)</f>
        <v>1.013</v>
      </c>
      <c r="E581" s="16">
        <f>IFERROR(__xludf.DUMMYFUNCTION("""COMPUTED_VALUE"""),64.0)</f>
        <v>64</v>
      </c>
      <c r="F581" s="19" t="str">
        <f>IFERROR(__xludf.DUMMYFUNCTION("""COMPUTED_VALUE"""),"BLACK")</f>
        <v>BLACK</v>
      </c>
      <c r="G581" s="20" t="str">
        <f>IFERROR(__xludf.DUMMYFUNCTION("""COMPUTED_VALUE"""),"Tap 6 Clone (10/15/2021)")</f>
        <v>Tap 6 Clone (10/15/2021)</v>
      </c>
      <c r="H581" s="19"/>
    </row>
    <row r="582">
      <c r="A582" s="9"/>
      <c r="B582" s="15"/>
      <c r="C582" s="9">
        <f>IFERROR(__xludf.DUMMYFUNCTION("""COMPUTED_VALUE"""),44505.6446096296)</f>
        <v>44505.64461</v>
      </c>
      <c r="D582" s="15">
        <f>IFERROR(__xludf.DUMMYFUNCTION("""COMPUTED_VALUE"""),1.013)</f>
        <v>1.013</v>
      </c>
      <c r="E582" s="16">
        <f>IFERROR(__xludf.DUMMYFUNCTION("""COMPUTED_VALUE"""),64.0)</f>
        <v>64</v>
      </c>
      <c r="F582" s="19" t="str">
        <f>IFERROR(__xludf.DUMMYFUNCTION("""COMPUTED_VALUE"""),"BLACK")</f>
        <v>BLACK</v>
      </c>
      <c r="G582" s="20" t="str">
        <f>IFERROR(__xludf.DUMMYFUNCTION("""COMPUTED_VALUE"""),"Tap 6 Clone (10/15/2021)")</f>
        <v>Tap 6 Clone (10/15/2021)</v>
      </c>
      <c r="H582" s="19"/>
    </row>
    <row r="583">
      <c r="A583" s="9"/>
      <c r="B583" s="15"/>
      <c r="C583" s="9">
        <f>IFERROR(__xludf.DUMMYFUNCTION("""COMPUTED_VALUE"""),44505.6341885069)</f>
        <v>44505.63419</v>
      </c>
      <c r="D583" s="15">
        <f>IFERROR(__xludf.DUMMYFUNCTION("""COMPUTED_VALUE"""),1.013)</f>
        <v>1.013</v>
      </c>
      <c r="E583" s="16">
        <f>IFERROR(__xludf.DUMMYFUNCTION("""COMPUTED_VALUE"""),65.0)</f>
        <v>65</v>
      </c>
      <c r="F583" s="19" t="str">
        <f>IFERROR(__xludf.DUMMYFUNCTION("""COMPUTED_VALUE"""),"BLACK")</f>
        <v>BLACK</v>
      </c>
      <c r="G583" s="20" t="str">
        <f>IFERROR(__xludf.DUMMYFUNCTION("""COMPUTED_VALUE"""),"Tap 6 Clone (10/15/2021)")</f>
        <v>Tap 6 Clone (10/15/2021)</v>
      </c>
      <c r="H583" s="19"/>
    </row>
    <row r="584">
      <c r="A584" s="9"/>
      <c r="B584" s="15"/>
      <c r="C584" s="9">
        <f>IFERROR(__xludf.DUMMYFUNCTION("""COMPUTED_VALUE"""),44505.6237675)</f>
        <v>44505.62377</v>
      </c>
      <c r="D584" s="15">
        <f>IFERROR(__xludf.DUMMYFUNCTION("""COMPUTED_VALUE"""),1.014)</f>
        <v>1.014</v>
      </c>
      <c r="E584" s="16">
        <f>IFERROR(__xludf.DUMMYFUNCTION("""COMPUTED_VALUE"""),65.0)</f>
        <v>65</v>
      </c>
      <c r="F584" s="19" t="str">
        <f>IFERROR(__xludf.DUMMYFUNCTION("""COMPUTED_VALUE"""),"BLACK")</f>
        <v>BLACK</v>
      </c>
      <c r="G584" s="20" t="str">
        <f>IFERROR(__xludf.DUMMYFUNCTION("""COMPUTED_VALUE"""),"Tap 6 Clone (10/15/2021)")</f>
        <v>Tap 6 Clone (10/15/2021)</v>
      </c>
      <c r="H584" s="19"/>
    </row>
    <row r="585">
      <c r="A585" s="9"/>
      <c r="B585" s="15"/>
      <c r="C585" s="9">
        <f>IFERROR(__xludf.DUMMYFUNCTION("""COMPUTED_VALUE"""),44505.6133467013)</f>
        <v>44505.61335</v>
      </c>
      <c r="D585" s="15">
        <f>IFERROR(__xludf.DUMMYFUNCTION("""COMPUTED_VALUE"""),1.013)</f>
        <v>1.013</v>
      </c>
      <c r="E585" s="16">
        <f>IFERROR(__xludf.DUMMYFUNCTION("""COMPUTED_VALUE"""),64.0)</f>
        <v>64</v>
      </c>
      <c r="F585" s="19" t="str">
        <f>IFERROR(__xludf.DUMMYFUNCTION("""COMPUTED_VALUE"""),"BLACK")</f>
        <v>BLACK</v>
      </c>
      <c r="G585" s="20" t="str">
        <f>IFERROR(__xludf.DUMMYFUNCTION("""COMPUTED_VALUE"""),"Tap 6 Clone (10/15/2021)")</f>
        <v>Tap 6 Clone (10/15/2021)</v>
      </c>
      <c r="H585" s="19"/>
    </row>
    <row r="586">
      <c r="A586" s="9"/>
      <c r="B586" s="15"/>
      <c r="C586" s="9">
        <f>IFERROR(__xludf.DUMMYFUNCTION("""COMPUTED_VALUE"""),44505.6029255324)</f>
        <v>44505.60293</v>
      </c>
      <c r="D586" s="15">
        <f>IFERROR(__xludf.DUMMYFUNCTION("""COMPUTED_VALUE"""),1.013)</f>
        <v>1.013</v>
      </c>
      <c r="E586" s="16">
        <f>IFERROR(__xludf.DUMMYFUNCTION("""COMPUTED_VALUE"""),64.0)</f>
        <v>64</v>
      </c>
      <c r="F586" s="19" t="str">
        <f>IFERROR(__xludf.DUMMYFUNCTION("""COMPUTED_VALUE"""),"BLACK")</f>
        <v>BLACK</v>
      </c>
      <c r="G586" s="20" t="str">
        <f>IFERROR(__xludf.DUMMYFUNCTION("""COMPUTED_VALUE"""),"Tap 6 Clone (10/15/2021)")</f>
        <v>Tap 6 Clone (10/15/2021)</v>
      </c>
      <c r="H586" s="19"/>
    </row>
    <row r="587">
      <c r="A587" s="9"/>
      <c r="B587" s="15"/>
      <c r="C587" s="9">
        <f>IFERROR(__xludf.DUMMYFUNCTION("""COMPUTED_VALUE"""),44505.5925038541)</f>
        <v>44505.5925</v>
      </c>
      <c r="D587" s="15">
        <f>IFERROR(__xludf.DUMMYFUNCTION("""COMPUTED_VALUE"""),1.013)</f>
        <v>1.013</v>
      </c>
      <c r="E587" s="16">
        <f>IFERROR(__xludf.DUMMYFUNCTION("""COMPUTED_VALUE"""),64.0)</f>
        <v>64</v>
      </c>
      <c r="F587" s="19" t="str">
        <f>IFERROR(__xludf.DUMMYFUNCTION("""COMPUTED_VALUE"""),"BLACK")</f>
        <v>BLACK</v>
      </c>
      <c r="G587" s="20" t="str">
        <f>IFERROR(__xludf.DUMMYFUNCTION("""COMPUTED_VALUE"""),"Tap 6 Clone (10/15/2021)")</f>
        <v>Tap 6 Clone (10/15/2021)</v>
      </c>
      <c r="H587" s="19"/>
    </row>
    <row r="588">
      <c r="A588" s="9"/>
      <c r="B588" s="15"/>
      <c r="C588" s="9">
        <f>IFERROR(__xludf.DUMMYFUNCTION("""COMPUTED_VALUE"""),44505.5820832523)</f>
        <v>44505.58208</v>
      </c>
      <c r="D588" s="15">
        <f>IFERROR(__xludf.DUMMYFUNCTION("""COMPUTED_VALUE"""),1.013)</f>
        <v>1.013</v>
      </c>
      <c r="E588" s="16">
        <f>IFERROR(__xludf.DUMMYFUNCTION("""COMPUTED_VALUE"""),65.0)</f>
        <v>65</v>
      </c>
      <c r="F588" s="19" t="str">
        <f>IFERROR(__xludf.DUMMYFUNCTION("""COMPUTED_VALUE"""),"BLACK")</f>
        <v>BLACK</v>
      </c>
      <c r="G588" s="20" t="str">
        <f>IFERROR(__xludf.DUMMYFUNCTION("""COMPUTED_VALUE"""),"Tap 6 Clone (10/15/2021)")</f>
        <v>Tap 6 Clone (10/15/2021)</v>
      </c>
      <c r="H588" s="19"/>
    </row>
    <row r="589">
      <c r="A589" s="9"/>
      <c r="B589" s="15"/>
      <c r="C589" s="9">
        <f>IFERROR(__xludf.DUMMYFUNCTION("""COMPUTED_VALUE"""),44505.5716639351)</f>
        <v>44505.57166</v>
      </c>
      <c r="D589" s="15">
        <f>IFERROR(__xludf.DUMMYFUNCTION("""COMPUTED_VALUE"""),1.013)</f>
        <v>1.013</v>
      </c>
      <c r="E589" s="16">
        <f>IFERROR(__xludf.DUMMYFUNCTION("""COMPUTED_VALUE"""),64.0)</f>
        <v>64</v>
      </c>
      <c r="F589" s="19" t="str">
        <f>IFERROR(__xludf.DUMMYFUNCTION("""COMPUTED_VALUE"""),"BLACK")</f>
        <v>BLACK</v>
      </c>
      <c r="G589" s="20" t="str">
        <f>IFERROR(__xludf.DUMMYFUNCTION("""COMPUTED_VALUE"""),"Tap 6 Clone (10/15/2021)")</f>
        <v>Tap 6 Clone (10/15/2021)</v>
      </c>
      <c r="H589" s="19"/>
    </row>
    <row r="590">
      <c r="A590" s="9"/>
      <c r="B590" s="15"/>
      <c r="C590" s="9">
        <f>IFERROR(__xludf.DUMMYFUNCTION("""COMPUTED_VALUE"""),44505.5612424074)</f>
        <v>44505.56124</v>
      </c>
      <c r="D590" s="15">
        <f>IFERROR(__xludf.DUMMYFUNCTION("""COMPUTED_VALUE"""),1.013)</f>
        <v>1.013</v>
      </c>
      <c r="E590" s="16">
        <f>IFERROR(__xludf.DUMMYFUNCTION("""COMPUTED_VALUE"""),65.0)</f>
        <v>65</v>
      </c>
      <c r="F590" s="19" t="str">
        <f>IFERROR(__xludf.DUMMYFUNCTION("""COMPUTED_VALUE"""),"BLACK")</f>
        <v>BLACK</v>
      </c>
      <c r="G590" s="20" t="str">
        <f>IFERROR(__xludf.DUMMYFUNCTION("""COMPUTED_VALUE"""),"Tap 6 Clone (10/15/2021)")</f>
        <v>Tap 6 Clone (10/15/2021)</v>
      </c>
      <c r="H590" s="19"/>
    </row>
    <row r="591">
      <c r="A591" s="9"/>
      <c r="B591" s="15"/>
      <c r="C591" s="9">
        <f>IFERROR(__xludf.DUMMYFUNCTION("""COMPUTED_VALUE"""),44505.5508223958)</f>
        <v>44505.55082</v>
      </c>
      <c r="D591" s="15">
        <f>IFERROR(__xludf.DUMMYFUNCTION("""COMPUTED_VALUE"""),1.013)</f>
        <v>1.013</v>
      </c>
      <c r="E591" s="16">
        <f>IFERROR(__xludf.DUMMYFUNCTION("""COMPUTED_VALUE"""),64.0)</f>
        <v>64</v>
      </c>
      <c r="F591" s="19" t="str">
        <f>IFERROR(__xludf.DUMMYFUNCTION("""COMPUTED_VALUE"""),"BLACK")</f>
        <v>BLACK</v>
      </c>
      <c r="G591" s="20" t="str">
        <f>IFERROR(__xludf.DUMMYFUNCTION("""COMPUTED_VALUE"""),"Tap 6 Clone (10/15/2021)")</f>
        <v>Tap 6 Clone (10/15/2021)</v>
      </c>
      <c r="H591" s="19"/>
    </row>
    <row r="592">
      <c r="A592" s="9"/>
      <c r="B592" s="15"/>
      <c r="C592" s="9">
        <f>IFERROR(__xludf.DUMMYFUNCTION("""COMPUTED_VALUE"""),44505.540401574)</f>
        <v>44505.5404</v>
      </c>
      <c r="D592" s="15">
        <f>IFERROR(__xludf.DUMMYFUNCTION("""COMPUTED_VALUE"""),1.013)</f>
        <v>1.013</v>
      </c>
      <c r="E592" s="16">
        <f>IFERROR(__xludf.DUMMYFUNCTION("""COMPUTED_VALUE"""),65.0)</f>
        <v>65</v>
      </c>
      <c r="F592" s="19" t="str">
        <f>IFERROR(__xludf.DUMMYFUNCTION("""COMPUTED_VALUE"""),"BLACK")</f>
        <v>BLACK</v>
      </c>
      <c r="G592" s="20" t="str">
        <f>IFERROR(__xludf.DUMMYFUNCTION("""COMPUTED_VALUE"""),"Tap 6 Clone (10/15/2021)")</f>
        <v>Tap 6 Clone (10/15/2021)</v>
      </c>
      <c r="H592" s="19"/>
    </row>
    <row r="593">
      <c r="A593" s="9"/>
      <c r="B593" s="15"/>
      <c r="C593" s="9">
        <f>IFERROR(__xludf.DUMMYFUNCTION("""COMPUTED_VALUE"""),44505.529979537)</f>
        <v>44505.52998</v>
      </c>
      <c r="D593" s="15">
        <f>IFERROR(__xludf.DUMMYFUNCTION("""COMPUTED_VALUE"""),1.013)</f>
        <v>1.013</v>
      </c>
      <c r="E593" s="16">
        <f>IFERROR(__xludf.DUMMYFUNCTION("""COMPUTED_VALUE"""),64.0)</f>
        <v>64</v>
      </c>
      <c r="F593" s="19" t="str">
        <f>IFERROR(__xludf.DUMMYFUNCTION("""COMPUTED_VALUE"""),"BLACK")</f>
        <v>BLACK</v>
      </c>
      <c r="G593" s="20" t="str">
        <f>IFERROR(__xludf.DUMMYFUNCTION("""COMPUTED_VALUE"""),"Tap 6 Clone (10/15/2021)")</f>
        <v>Tap 6 Clone (10/15/2021)</v>
      </c>
      <c r="H593" s="19"/>
    </row>
    <row r="594">
      <c r="A594" s="9"/>
      <c r="B594" s="15"/>
      <c r="C594" s="9">
        <f>IFERROR(__xludf.DUMMYFUNCTION("""COMPUTED_VALUE"""),44505.5195477662)</f>
        <v>44505.51955</v>
      </c>
      <c r="D594" s="15">
        <f>IFERROR(__xludf.DUMMYFUNCTION("""COMPUTED_VALUE"""),1.013)</f>
        <v>1.013</v>
      </c>
      <c r="E594" s="16">
        <f>IFERROR(__xludf.DUMMYFUNCTION("""COMPUTED_VALUE"""),64.0)</f>
        <v>64</v>
      </c>
      <c r="F594" s="19" t="str">
        <f>IFERROR(__xludf.DUMMYFUNCTION("""COMPUTED_VALUE"""),"BLACK")</f>
        <v>BLACK</v>
      </c>
      <c r="G594" s="20" t="str">
        <f>IFERROR(__xludf.DUMMYFUNCTION("""COMPUTED_VALUE"""),"Tap 6 Clone (10/15/2021)")</f>
        <v>Tap 6 Clone (10/15/2021)</v>
      </c>
      <c r="H594" s="19"/>
    </row>
    <row r="595">
      <c r="A595" s="9"/>
      <c r="B595" s="15"/>
      <c r="C595" s="9">
        <f>IFERROR(__xludf.DUMMYFUNCTION("""COMPUTED_VALUE"""),44505.5091263773)</f>
        <v>44505.50913</v>
      </c>
      <c r="D595" s="15">
        <f>IFERROR(__xludf.DUMMYFUNCTION("""COMPUTED_VALUE"""),1.013)</f>
        <v>1.013</v>
      </c>
      <c r="E595" s="16">
        <f>IFERROR(__xludf.DUMMYFUNCTION("""COMPUTED_VALUE"""),65.0)</f>
        <v>65</v>
      </c>
      <c r="F595" s="19" t="str">
        <f>IFERROR(__xludf.DUMMYFUNCTION("""COMPUTED_VALUE"""),"BLACK")</f>
        <v>BLACK</v>
      </c>
      <c r="G595" s="20" t="str">
        <f>IFERROR(__xludf.DUMMYFUNCTION("""COMPUTED_VALUE"""),"Tap 6 Clone (10/15/2021)")</f>
        <v>Tap 6 Clone (10/15/2021)</v>
      </c>
      <c r="H595" s="19"/>
    </row>
    <row r="596">
      <c r="A596" s="9"/>
      <c r="B596" s="15"/>
      <c r="C596" s="9">
        <f>IFERROR(__xludf.DUMMYFUNCTION("""COMPUTED_VALUE"""),44505.4987046759)</f>
        <v>44505.4987</v>
      </c>
      <c r="D596" s="15">
        <f>IFERROR(__xludf.DUMMYFUNCTION("""COMPUTED_VALUE"""),1.013)</f>
        <v>1.013</v>
      </c>
      <c r="E596" s="16">
        <f>IFERROR(__xludf.DUMMYFUNCTION("""COMPUTED_VALUE"""),64.0)</f>
        <v>64</v>
      </c>
      <c r="F596" s="19" t="str">
        <f>IFERROR(__xludf.DUMMYFUNCTION("""COMPUTED_VALUE"""),"BLACK")</f>
        <v>BLACK</v>
      </c>
      <c r="G596" s="20" t="str">
        <f>IFERROR(__xludf.DUMMYFUNCTION("""COMPUTED_VALUE"""),"Tap 6 Clone (10/15/2021)")</f>
        <v>Tap 6 Clone (10/15/2021)</v>
      </c>
      <c r="H596" s="19"/>
    </row>
    <row r="597">
      <c r="A597" s="9"/>
      <c r="B597" s="15"/>
      <c r="C597" s="9">
        <f>IFERROR(__xludf.DUMMYFUNCTION("""COMPUTED_VALUE"""),44505.4882831828)</f>
        <v>44505.48828</v>
      </c>
      <c r="D597" s="15">
        <f>IFERROR(__xludf.DUMMYFUNCTION("""COMPUTED_VALUE"""),1.013)</f>
        <v>1.013</v>
      </c>
      <c r="E597" s="16">
        <f>IFERROR(__xludf.DUMMYFUNCTION("""COMPUTED_VALUE"""),64.0)</f>
        <v>64</v>
      </c>
      <c r="F597" s="19" t="str">
        <f>IFERROR(__xludf.DUMMYFUNCTION("""COMPUTED_VALUE"""),"BLACK")</f>
        <v>BLACK</v>
      </c>
      <c r="G597" s="20" t="str">
        <f>IFERROR(__xludf.DUMMYFUNCTION("""COMPUTED_VALUE"""),"Tap 6 Clone (10/15/2021)")</f>
        <v>Tap 6 Clone (10/15/2021)</v>
      </c>
      <c r="H597" s="19"/>
    </row>
    <row r="598">
      <c r="A598" s="9"/>
      <c r="B598" s="15"/>
      <c r="C598" s="9">
        <f>IFERROR(__xludf.DUMMYFUNCTION("""COMPUTED_VALUE"""),44505.4778622338)</f>
        <v>44505.47786</v>
      </c>
      <c r="D598" s="15">
        <f>IFERROR(__xludf.DUMMYFUNCTION("""COMPUTED_VALUE"""),1.013)</f>
        <v>1.013</v>
      </c>
      <c r="E598" s="16">
        <f>IFERROR(__xludf.DUMMYFUNCTION("""COMPUTED_VALUE"""),64.0)</f>
        <v>64</v>
      </c>
      <c r="F598" s="19" t="str">
        <f>IFERROR(__xludf.DUMMYFUNCTION("""COMPUTED_VALUE"""),"BLACK")</f>
        <v>BLACK</v>
      </c>
      <c r="G598" s="20" t="str">
        <f>IFERROR(__xludf.DUMMYFUNCTION("""COMPUTED_VALUE"""),"Tap 6 Clone (10/15/2021)")</f>
        <v>Tap 6 Clone (10/15/2021)</v>
      </c>
      <c r="H598" s="19"/>
    </row>
    <row r="599">
      <c r="A599" s="9"/>
      <c r="B599" s="15"/>
      <c r="C599" s="9">
        <f>IFERROR(__xludf.DUMMYFUNCTION("""COMPUTED_VALUE"""),44505.4674414699)</f>
        <v>44505.46744</v>
      </c>
      <c r="D599" s="15">
        <f>IFERROR(__xludf.DUMMYFUNCTION("""COMPUTED_VALUE"""),1.013)</f>
        <v>1.013</v>
      </c>
      <c r="E599" s="16">
        <f>IFERROR(__xludf.DUMMYFUNCTION("""COMPUTED_VALUE"""),64.0)</f>
        <v>64</v>
      </c>
      <c r="F599" s="19" t="str">
        <f>IFERROR(__xludf.DUMMYFUNCTION("""COMPUTED_VALUE"""),"BLACK")</f>
        <v>BLACK</v>
      </c>
      <c r="G599" s="20" t="str">
        <f>IFERROR(__xludf.DUMMYFUNCTION("""COMPUTED_VALUE"""),"Tap 6 Clone (10/15/2021)")</f>
        <v>Tap 6 Clone (10/15/2021)</v>
      </c>
      <c r="H599" s="19"/>
    </row>
    <row r="600">
      <c r="A600" s="9"/>
      <c r="B600" s="15"/>
      <c r="C600" s="9">
        <f>IFERROR(__xludf.DUMMYFUNCTION("""COMPUTED_VALUE"""),44505.4570193634)</f>
        <v>44505.45702</v>
      </c>
      <c r="D600" s="15">
        <f>IFERROR(__xludf.DUMMYFUNCTION("""COMPUTED_VALUE"""),1.013)</f>
        <v>1.013</v>
      </c>
      <c r="E600" s="16">
        <f>IFERROR(__xludf.DUMMYFUNCTION("""COMPUTED_VALUE"""),64.0)</f>
        <v>64</v>
      </c>
      <c r="F600" s="19" t="str">
        <f>IFERROR(__xludf.DUMMYFUNCTION("""COMPUTED_VALUE"""),"BLACK")</f>
        <v>BLACK</v>
      </c>
      <c r="G600" s="20" t="str">
        <f>IFERROR(__xludf.DUMMYFUNCTION("""COMPUTED_VALUE"""),"Tap 6 Clone (10/15/2021)")</f>
        <v>Tap 6 Clone (10/15/2021)</v>
      </c>
      <c r="H600" s="19"/>
    </row>
    <row r="601">
      <c r="A601" s="9"/>
      <c r="B601" s="15"/>
      <c r="C601" s="9">
        <f>IFERROR(__xludf.DUMMYFUNCTION("""COMPUTED_VALUE"""),44505.4465979976)</f>
        <v>44505.4466</v>
      </c>
      <c r="D601" s="15">
        <f>IFERROR(__xludf.DUMMYFUNCTION("""COMPUTED_VALUE"""),1.013)</f>
        <v>1.013</v>
      </c>
      <c r="E601" s="16">
        <f>IFERROR(__xludf.DUMMYFUNCTION("""COMPUTED_VALUE"""),65.0)</f>
        <v>65</v>
      </c>
      <c r="F601" s="19" t="str">
        <f>IFERROR(__xludf.DUMMYFUNCTION("""COMPUTED_VALUE"""),"BLACK")</f>
        <v>BLACK</v>
      </c>
      <c r="G601" s="20" t="str">
        <f>IFERROR(__xludf.DUMMYFUNCTION("""COMPUTED_VALUE"""),"Tap 6 Clone (10/15/2021)")</f>
        <v>Tap 6 Clone (10/15/2021)</v>
      </c>
      <c r="H601" s="19"/>
    </row>
    <row r="602">
      <c r="A602" s="9"/>
      <c r="B602" s="15"/>
      <c r="C602" s="9">
        <f>IFERROR(__xludf.DUMMYFUNCTION("""COMPUTED_VALUE"""),44505.4361752777)</f>
        <v>44505.43618</v>
      </c>
      <c r="D602" s="15">
        <f>IFERROR(__xludf.DUMMYFUNCTION("""COMPUTED_VALUE"""),1.013)</f>
        <v>1.013</v>
      </c>
      <c r="E602" s="16">
        <f>IFERROR(__xludf.DUMMYFUNCTION("""COMPUTED_VALUE"""),64.0)</f>
        <v>64</v>
      </c>
      <c r="F602" s="19" t="str">
        <f>IFERROR(__xludf.DUMMYFUNCTION("""COMPUTED_VALUE"""),"BLACK")</f>
        <v>BLACK</v>
      </c>
      <c r="G602" s="20" t="str">
        <f>IFERROR(__xludf.DUMMYFUNCTION("""COMPUTED_VALUE"""),"Tap 6 Clone (10/15/2021)")</f>
        <v>Tap 6 Clone (10/15/2021)</v>
      </c>
      <c r="H602" s="19"/>
    </row>
    <row r="603">
      <c r="A603" s="9"/>
      <c r="B603" s="15"/>
      <c r="C603" s="9">
        <f>IFERROR(__xludf.DUMMYFUNCTION("""COMPUTED_VALUE"""),44505.4257540277)</f>
        <v>44505.42575</v>
      </c>
      <c r="D603" s="15">
        <f>IFERROR(__xludf.DUMMYFUNCTION("""COMPUTED_VALUE"""),1.013)</f>
        <v>1.013</v>
      </c>
      <c r="E603" s="16">
        <f>IFERROR(__xludf.DUMMYFUNCTION("""COMPUTED_VALUE"""),64.0)</f>
        <v>64</v>
      </c>
      <c r="F603" s="19" t="str">
        <f>IFERROR(__xludf.DUMMYFUNCTION("""COMPUTED_VALUE"""),"BLACK")</f>
        <v>BLACK</v>
      </c>
      <c r="G603" s="20" t="str">
        <f>IFERROR(__xludf.DUMMYFUNCTION("""COMPUTED_VALUE"""),"Tap 6 Clone (10/15/2021)")</f>
        <v>Tap 6 Clone (10/15/2021)</v>
      </c>
      <c r="H603" s="19"/>
    </row>
    <row r="604">
      <c r="A604" s="9"/>
      <c r="B604" s="15"/>
      <c r="C604" s="9">
        <f>IFERROR(__xludf.DUMMYFUNCTION("""COMPUTED_VALUE"""),44505.4153329051)</f>
        <v>44505.41533</v>
      </c>
      <c r="D604" s="15">
        <f>IFERROR(__xludf.DUMMYFUNCTION("""COMPUTED_VALUE"""),1.013)</f>
        <v>1.013</v>
      </c>
      <c r="E604" s="16">
        <f>IFERROR(__xludf.DUMMYFUNCTION("""COMPUTED_VALUE"""),65.0)</f>
        <v>65</v>
      </c>
      <c r="F604" s="19" t="str">
        <f>IFERROR(__xludf.DUMMYFUNCTION("""COMPUTED_VALUE"""),"BLACK")</f>
        <v>BLACK</v>
      </c>
      <c r="G604" s="20" t="str">
        <f>IFERROR(__xludf.DUMMYFUNCTION("""COMPUTED_VALUE"""),"Tap 6 Clone (10/15/2021)")</f>
        <v>Tap 6 Clone (10/15/2021)</v>
      </c>
      <c r="H604" s="19"/>
    </row>
    <row r="605">
      <c r="A605" s="9"/>
      <c r="B605" s="15"/>
      <c r="C605" s="9">
        <f>IFERROR(__xludf.DUMMYFUNCTION("""COMPUTED_VALUE"""),44505.4049115625)</f>
        <v>44505.40491</v>
      </c>
      <c r="D605" s="15">
        <f>IFERROR(__xludf.DUMMYFUNCTION("""COMPUTED_VALUE"""),1.013)</f>
        <v>1.013</v>
      </c>
      <c r="E605" s="16">
        <f>IFERROR(__xludf.DUMMYFUNCTION("""COMPUTED_VALUE"""),64.0)</f>
        <v>64</v>
      </c>
      <c r="F605" s="19" t="str">
        <f>IFERROR(__xludf.DUMMYFUNCTION("""COMPUTED_VALUE"""),"BLACK")</f>
        <v>BLACK</v>
      </c>
      <c r="G605" s="20" t="str">
        <f>IFERROR(__xludf.DUMMYFUNCTION("""COMPUTED_VALUE"""),"Tap 6 Clone (10/15/2021)")</f>
        <v>Tap 6 Clone (10/15/2021)</v>
      </c>
      <c r="H605" s="19"/>
    </row>
    <row r="606">
      <c r="A606" s="9"/>
      <c r="B606" s="15"/>
      <c r="C606" s="9">
        <f>IFERROR(__xludf.DUMMYFUNCTION("""COMPUTED_VALUE"""),44505.3944906712)</f>
        <v>44505.39449</v>
      </c>
      <c r="D606" s="15">
        <f>IFERROR(__xludf.DUMMYFUNCTION("""COMPUTED_VALUE"""),1.013)</f>
        <v>1.013</v>
      </c>
      <c r="E606" s="16">
        <f>IFERROR(__xludf.DUMMYFUNCTION("""COMPUTED_VALUE"""),65.0)</f>
        <v>65</v>
      </c>
      <c r="F606" s="19" t="str">
        <f>IFERROR(__xludf.DUMMYFUNCTION("""COMPUTED_VALUE"""),"BLACK")</f>
        <v>BLACK</v>
      </c>
      <c r="G606" s="20" t="str">
        <f>IFERROR(__xludf.DUMMYFUNCTION("""COMPUTED_VALUE"""),"Tap 6 Clone (10/15/2021)")</f>
        <v>Tap 6 Clone (10/15/2021)</v>
      </c>
      <c r="H606" s="19"/>
    </row>
    <row r="607">
      <c r="A607" s="9"/>
      <c r="B607" s="15"/>
      <c r="C607" s="9">
        <f>IFERROR(__xludf.DUMMYFUNCTION("""COMPUTED_VALUE"""),44505.3840687037)</f>
        <v>44505.38407</v>
      </c>
      <c r="D607" s="15">
        <f>IFERROR(__xludf.DUMMYFUNCTION("""COMPUTED_VALUE"""),1.013)</f>
        <v>1.013</v>
      </c>
      <c r="E607" s="16">
        <f>IFERROR(__xludf.DUMMYFUNCTION("""COMPUTED_VALUE"""),65.0)</f>
        <v>65</v>
      </c>
      <c r="F607" s="19" t="str">
        <f>IFERROR(__xludf.DUMMYFUNCTION("""COMPUTED_VALUE"""),"BLACK")</f>
        <v>BLACK</v>
      </c>
      <c r="G607" s="20" t="str">
        <f>IFERROR(__xludf.DUMMYFUNCTION("""COMPUTED_VALUE"""),"Tap 6 Clone (10/15/2021)")</f>
        <v>Tap 6 Clone (10/15/2021)</v>
      </c>
      <c r="H607" s="19"/>
    </row>
    <row r="608">
      <c r="A608" s="9"/>
      <c r="B608" s="15"/>
      <c r="C608" s="9">
        <f>IFERROR(__xludf.DUMMYFUNCTION("""COMPUTED_VALUE"""),44505.3736464004)</f>
        <v>44505.37365</v>
      </c>
      <c r="D608" s="15">
        <f>IFERROR(__xludf.DUMMYFUNCTION("""COMPUTED_VALUE"""),1.013)</f>
        <v>1.013</v>
      </c>
      <c r="E608" s="16">
        <f>IFERROR(__xludf.DUMMYFUNCTION("""COMPUTED_VALUE"""),65.0)</f>
        <v>65</v>
      </c>
      <c r="F608" s="19" t="str">
        <f>IFERROR(__xludf.DUMMYFUNCTION("""COMPUTED_VALUE"""),"BLACK")</f>
        <v>BLACK</v>
      </c>
      <c r="G608" s="20" t="str">
        <f>IFERROR(__xludf.DUMMYFUNCTION("""COMPUTED_VALUE"""),"Tap 6 Clone (10/15/2021)")</f>
        <v>Tap 6 Clone (10/15/2021)</v>
      </c>
      <c r="H608" s="19"/>
    </row>
    <row r="609">
      <c r="A609" s="9"/>
      <c r="B609" s="15"/>
      <c r="C609" s="9">
        <f>IFERROR(__xludf.DUMMYFUNCTION("""COMPUTED_VALUE"""),44505.3632248264)</f>
        <v>44505.36322</v>
      </c>
      <c r="D609" s="15">
        <f>IFERROR(__xludf.DUMMYFUNCTION("""COMPUTED_VALUE"""),1.013)</f>
        <v>1.013</v>
      </c>
      <c r="E609" s="16">
        <f>IFERROR(__xludf.DUMMYFUNCTION("""COMPUTED_VALUE"""),65.0)</f>
        <v>65</v>
      </c>
      <c r="F609" s="19" t="str">
        <f>IFERROR(__xludf.DUMMYFUNCTION("""COMPUTED_VALUE"""),"BLACK")</f>
        <v>BLACK</v>
      </c>
      <c r="G609" s="20" t="str">
        <f>IFERROR(__xludf.DUMMYFUNCTION("""COMPUTED_VALUE"""),"Tap 6 Clone (10/15/2021)")</f>
        <v>Tap 6 Clone (10/15/2021)</v>
      </c>
      <c r="H609" s="19"/>
    </row>
    <row r="610">
      <c r="A610" s="9"/>
      <c r="B610" s="15"/>
      <c r="C610" s="9">
        <f>IFERROR(__xludf.DUMMYFUNCTION("""COMPUTED_VALUE"""),44505.3528045023)</f>
        <v>44505.3528</v>
      </c>
      <c r="D610" s="15">
        <f>IFERROR(__xludf.DUMMYFUNCTION("""COMPUTED_VALUE"""),1.012)</f>
        <v>1.012</v>
      </c>
      <c r="E610" s="16">
        <f>IFERROR(__xludf.DUMMYFUNCTION("""COMPUTED_VALUE"""),65.0)</f>
        <v>65</v>
      </c>
      <c r="F610" s="19" t="str">
        <f>IFERROR(__xludf.DUMMYFUNCTION("""COMPUTED_VALUE"""),"BLACK")</f>
        <v>BLACK</v>
      </c>
      <c r="G610" s="20" t="str">
        <f>IFERROR(__xludf.DUMMYFUNCTION("""COMPUTED_VALUE"""),"Tap 6 Clone (10/15/2021)")</f>
        <v>Tap 6 Clone (10/15/2021)</v>
      </c>
      <c r="H610" s="19"/>
    </row>
    <row r="611">
      <c r="A611" s="9"/>
      <c r="B611" s="15"/>
      <c r="C611" s="9">
        <f>IFERROR(__xludf.DUMMYFUNCTION("""COMPUTED_VALUE"""),44505.3423819213)</f>
        <v>44505.34238</v>
      </c>
      <c r="D611" s="15">
        <f>IFERROR(__xludf.DUMMYFUNCTION("""COMPUTED_VALUE"""),1.013)</f>
        <v>1.013</v>
      </c>
      <c r="E611" s="16">
        <f>IFERROR(__xludf.DUMMYFUNCTION("""COMPUTED_VALUE"""),65.0)</f>
        <v>65</v>
      </c>
      <c r="F611" s="19" t="str">
        <f>IFERROR(__xludf.DUMMYFUNCTION("""COMPUTED_VALUE"""),"BLACK")</f>
        <v>BLACK</v>
      </c>
      <c r="G611" s="20" t="str">
        <f>IFERROR(__xludf.DUMMYFUNCTION("""COMPUTED_VALUE"""),"Tap 6 Clone (10/15/2021)")</f>
        <v>Tap 6 Clone (10/15/2021)</v>
      </c>
      <c r="H611" s="19"/>
    </row>
    <row r="612">
      <c r="A612" s="9"/>
      <c r="B612" s="15"/>
      <c r="C612" s="9">
        <f>IFERROR(__xludf.DUMMYFUNCTION("""COMPUTED_VALUE"""),44505.3319637962)</f>
        <v>44505.33196</v>
      </c>
      <c r="D612" s="15">
        <f>IFERROR(__xludf.DUMMYFUNCTION("""COMPUTED_VALUE"""),1.013)</f>
        <v>1.013</v>
      </c>
      <c r="E612" s="16">
        <f>IFERROR(__xludf.DUMMYFUNCTION("""COMPUTED_VALUE"""),65.0)</f>
        <v>65</v>
      </c>
      <c r="F612" s="19" t="str">
        <f>IFERROR(__xludf.DUMMYFUNCTION("""COMPUTED_VALUE"""),"BLACK")</f>
        <v>BLACK</v>
      </c>
      <c r="G612" s="20" t="str">
        <f>IFERROR(__xludf.DUMMYFUNCTION("""COMPUTED_VALUE"""),"Tap 6 Clone (10/15/2021)")</f>
        <v>Tap 6 Clone (10/15/2021)</v>
      </c>
      <c r="H612" s="19"/>
    </row>
    <row r="613">
      <c r="A613" s="9"/>
      <c r="B613" s="15"/>
      <c r="C613" s="9">
        <f>IFERROR(__xludf.DUMMYFUNCTION("""COMPUTED_VALUE"""),44505.321542037)</f>
        <v>44505.32154</v>
      </c>
      <c r="D613" s="15">
        <f>IFERROR(__xludf.DUMMYFUNCTION("""COMPUTED_VALUE"""),1.013)</f>
        <v>1.013</v>
      </c>
      <c r="E613" s="16">
        <f>IFERROR(__xludf.DUMMYFUNCTION("""COMPUTED_VALUE"""),65.0)</f>
        <v>65</v>
      </c>
      <c r="F613" s="19" t="str">
        <f>IFERROR(__xludf.DUMMYFUNCTION("""COMPUTED_VALUE"""),"BLACK")</f>
        <v>BLACK</v>
      </c>
      <c r="G613" s="20" t="str">
        <f>IFERROR(__xludf.DUMMYFUNCTION("""COMPUTED_VALUE"""),"Tap 6 Clone (10/15/2021)")</f>
        <v>Tap 6 Clone (10/15/2021)</v>
      </c>
      <c r="H613" s="19"/>
    </row>
    <row r="614">
      <c r="A614" s="9"/>
      <c r="B614" s="15"/>
      <c r="C614" s="9">
        <f>IFERROR(__xludf.DUMMYFUNCTION("""COMPUTED_VALUE"""),44505.3111215162)</f>
        <v>44505.31112</v>
      </c>
      <c r="D614" s="15">
        <f>IFERROR(__xludf.DUMMYFUNCTION("""COMPUTED_VALUE"""),1.013)</f>
        <v>1.013</v>
      </c>
      <c r="E614" s="16">
        <f>IFERROR(__xludf.DUMMYFUNCTION("""COMPUTED_VALUE"""),65.0)</f>
        <v>65</v>
      </c>
      <c r="F614" s="19" t="str">
        <f>IFERROR(__xludf.DUMMYFUNCTION("""COMPUTED_VALUE"""),"BLACK")</f>
        <v>BLACK</v>
      </c>
      <c r="G614" s="20" t="str">
        <f>IFERROR(__xludf.DUMMYFUNCTION("""COMPUTED_VALUE"""),"Tap 6 Clone (10/15/2021)")</f>
        <v>Tap 6 Clone (10/15/2021)</v>
      </c>
      <c r="H614" s="19"/>
    </row>
    <row r="615">
      <c r="A615" s="9"/>
      <c r="B615" s="15"/>
      <c r="C615" s="9">
        <f>IFERROR(__xludf.DUMMYFUNCTION("""COMPUTED_VALUE"""),44505.3006994791)</f>
        <v>44505.3007</v>
      </c>
      <c r="D615" s="15">
        <f>IFERROR(__xludf.DUMMYFUNCTION("""COMPUTED_VALUE"""),1.012)</f>
        <v>1.012</v>
      </c>
      <c r="E615" s="16">
        <f>IFERROR(__xludf.DUMMYFUNCTION("""COMPUTED_VALUE"""),64.0)</f>
        <v>64</v>
      </c>
      <c r="F615" s="19" t="str">
        <f>IFERROR(__xludf.DUMMYFUNCTION("""COMPUTED_VALUE"""),"BLACK")</f>
        <v>BLACK</v>
      </c>
      <c r="G615" s="20" t="str">
        <f>IFERROR(__xludf.DUMMYFUNCTION("""COMPUTED_VALUE"""),"Tap 6 Clone (10/15/2021)")</f>
        <v>Tap 6 Clone (10/15/2021)</v>
      </c>
      <c r="H615" s="19"/>
    </row>
    <row r="616">
      <c r="A616" s="9"/>
      <c r="B616" s="15"/>
      <c r="C616" s="9">
        <f>IFERROR(__xludf.DUMMYFUNCTION("""COMPUTED_VALUE"""),44505.2902542592)</f>
        <v>44505.29025</v>
      </c>
      <c r="D616" s="15">
        <f>IFERROR(__xludf.DUMMYFUNCTION("""COMPUTED_VALUE"""),1.013)</f>
        <v>1.013</v>
      </c>
      <c r="E616" s="16">
        <f>IFERROR(__xludf.DUMMYFUNCTION("""COMPUTED_VALUE"""),64.0)</f>
        <v>64</v>
      </c>
      <c r="F616" s="19" t="str">
        <f>IFERROR(__xludf.DUMMYFUNCTION("""COMPUTED_VALUE"""),"BLACK")</f>
        <v>BLACK</v>
      </c>
      <c r="G616" s="20" t="str">
        <f>IFERROR(__xludf.DUMMYFUNCTION("""COMPUTED_VALUE"""),"Tap 6 Clone (10/15/2021)")</f>
        <v>Tap 6 Clone (10/15/2021)</v>
      </c>
      <c r="H616" s="19"/>
    </row>
    <row r="617">
      <c r="A617" s="9"/>
      <c r="B617" s="15"/>
      <c r="C617" s="9">
        <f>IFERROR(__xludf.DUMMYFUNCTION("""COMPUTED_VALUE"""),44505.2798322916)</f>
        <v>44505.27983</v>
      </c>
      <c r="D617" s="15">
        <f>IFERROR(__xludf.DUMMYFUNCTION("""COMPUTED_VALUE"""),1.013)</f>
        <v>1.013</v>
      </c>
      <c r="E617" s="16">
        <f>IFERROR(__xludf.DUMMYFUNCTION("""COMPUTED_VALUE"""),64.0)</f>
        <v>64</v>
      </c>
      <c r="F617" s="19" t="str">
        <f>IFERROR(__xludf.DUMMYFUNCTION("""COMPUTED_VALUE"""),"BLACK")</f>
        <v>BLACK</v>
      </c>
      <c r="G617" s="20" t="str">
        <f>IFERROR(__xludf.DUMMYFUNCTION("""COMPUTED_VALUE"""),"Tap 6 Clone (10/15/2021)")</f>
        <v>Tap 6 Clone (10/15/2021)</v>
      </c>
      <c r="H617" s="19"/>
    </row>
    <row r="618">
      <c r="A618" s="9"/>
      <c r="B618" s="15"/>
      <c r="C618" s="9">
        <f>IFERROR(__xludf.DUMMYFUNCTION("""COMPUTED_VALUE"""),44505.269413287)</f>
        <v>44505.26941</v>
      </c>
      <c r="D618" s="15">
        <f>IFERROR(__xludf.DUMMYFUNCTION("""COMPUTED_VALUE"""),1.013)</f>
        <v>1.013</v>
      </c>
      <c r="E618" s="16">
        <f>IFERROR(__xludf.DUMMYFUNCTION("""COMPUTED_VALUE"""),65.0)</f>
        <v>65</v>
      </c>
      <c r="F618" s="19" t="str">
        <f>IFERROR(__xludf.DUMMYFUNCTION("""COMPUTED_VALUE"""),"BLACK")</f>
        <v>BLACK</v>
      </c>
      <c r="G618" s="20" t="str">
        <f>IFERROR(__xludf.DUMMYFUNCTION("""COMPUTED_VALUE"""),"Tap 6 Clone (10/15/2021)")</f>
        <v>Tap 6 Clone (10/15/2021)</v>
      </c>
      <c r="H618" s="19"/>
    </row>
    <row r="619">
      <c r="A619" s="9"/>
      <c r="B619" s="15"/>
      <c r="C619" s="9">
        <f>IFERROR(__xludf.DUMMYFUNCTION("""COMPUTED_VALUE"""),44505.2589920833)</f>
        <v>44505.25899</v>
      </c>
      <c r="D619" s="15">
        <f>IFERROR(__xludf.DUMMYFUNCTION("""COMPUTED_VALUE"""),1.012)</f>
        <v>1.012</v>
      </c>
      <c r="E619" s="16">
        <f>IFERROR(__xludf.DUMMYFUNCTION("""COMPUTED_VALUE"""),65.0)</f>
        <v>65</v>
      </c>
      <c r="F619" s="19" t="str">
        <f>IFERROR(__xludf.DUMMYFUNCTION("""COMPUTED_VALUE"""),"BLACK")</f>
        <v>BLACK</v>
      </c>
      <c r="G619" s="20" t="str">
        <f>IFERROR(__xludf.DUMMYFUNCTION("""COMPUTED_VALUE"""),"Tap 6 Clone (10/15/2021)")</f>
        <v>Tap 6 Clone (10/15/2021)</v>
      </c>
      <c r="H619" s="19"/>
    </row>
    <row r="620">
      <c r="A620" s="9"/>
      <c r="B620" s="15"/>
      <c r="C620" s="9">
        <f>IFERROR(__xludf.DUMMYFUNCTION("""COMPUTED_VALUE"""),44505.2485705208)</f>
        <v>44505.24857</v>
      </c>
      <c r="D620" s="15">
        <f>IFERROR(__xludf.DUMMYFUNCTION("""COMPUTED_VALUE"""),1.013)</f>
        <v>1.013</v>
      </c>
      <c r="E620" s="16">
        <f>IFERROR(__xludf.DUMMYFUNCTION("""COMPUTED_VALUE"""),65.0)</f>
        <v>65</v>
      </c>
      <c r="F620" s="19" t="str">
        <f>IFERROR(__xludf.DUMMYFUNCTION("""COMPUTED_VALUE"""),"BLACK")</f>
        <v>BLACK</v>
      </c>
      <c r="G620" s="20" t="str">
        <f>IFERROR(__xludf.DUMMYFUNCTION("""COMPUTED_VALUE"""),"Tap 6 Clone (10/15/2021)")</f>
        <v>Tap 6 Clone (10/15/2021)</v>
      </c>
      <c r="H620" s="19"/>
    </row>
    <row r="621">
      <c r="A621" s="9"/>
      <c r="B621" s="15"/>
      <c r="C621" s="9">
        <f>IFERROR(__xludf.DUMMYFUNCTION("""COMPUTED_VALUE"""),44505.2381502662)</f>
        <v>44505.23815</v>
      </c>
      <c r="D621" s="15">
        <f>IFERROR(__xludf.DUMMYFUNCTION("""COMPUTED_VALUE"""),1.013)</f>
        <v>1.013</v>
      </c>
      <c r="E621" s="16">
        <f>IFERROR(__xludf.DUMMYFUNCTION("""COMPUTED_VALUE"""),65.0)</f>
        <v>65</v>
      </c>
      <c r="F621" s="19" t="str">
        <f>IFERROR(__xludf.DUMMYFUNCTION("""COMPUTED_VALUE"""),"BLACK")</f>
        <v>BLACK</v>
      </c>
      <c r="G621" s="20" t="str">
        <f>IFERROR(__xludf.DUMMYFUNCTION("""COMPUTED_VALUE"""),"Tap 6 Clone (10/15/2021)")</f>
        <v>Tap 6 Clone (10/15/2021)</v>
      </c>
      <c r="H621" s="19"/>
    </row>
    <row r="622">
      <c r="A622" s="9"/>
      <c r="B622" s="15"/>
      <c r="C622" s="9">
        <f>IFERROR(__xludf.DUMMYFUNCTION("""COMPUTED_VALUE"""),44505.2277274189)</f>
        <v>44505.22773</v>
      </c>
      <c r="D622" s="15">
        <f>IFERROR(__xludf.DUMMYFUNCTION("""COMPUTED_VALUE"""),1.012)</f>
        <v>1.012</v>
      </c>
      <c r="E622" s="16">
        <f>IFERROR(__xludf.DUMMYFUNCTION("""COMPUTED_VALUE"""),64.0)</f>
        <v>64</v>
      </c>
      <c r="F622" s="19" t="str">
        <f>IFERROR(__xludf.DUMMYFUNCTION("""COMPUTED_VALUE"""),"BLACK")</f>
        <v>BLACK</v>
      </c>
      <c r="G622" s="20" t="str">
        <f>IFERROR(__xludf.DUMMYFUNCTION("""COMPUTED_VALUE"""),"Tap 6 Clone (10/15/2021)")</f>
        <v>Tap 6 Clone (10/15/2021)</v>
      </c>
      <c r="H622" s="19"/>
    </row>
    <row r="623">
      <c r="A623" s="9"/>
      <c r="B623" s="15"/>
      <c r="C623" s="9">
        <f>IFERROR(__xludf.DUMMYFUNCTION("""COMPUTED_VALUE"""),44505.2173062384)</f>
        <v>44505.21731</v>
      </c>
      <c r="D623" s="15">
        <f>IFERROR(__xludf.DUMMYFUNCTION("""COMPUTED_VALUE"""),1.013)</f>
        <v>1.013</v>
      </c>
      <c r="E623" s="16">
        <f>IFERROR(__xludf.DUMMYFUNCTION("""COMPUTED_VALUE"""),65.0)</f>
        <v>65</v>
      </c>
      <c r="F623" s="19" t="str">
        <f>IFERROR(__xludf.DUMMYFUNCTION("""COMPUTED_VALUE"""),"BLACK")</f>
        <v>BLACK</v>
      </c>
      <c r="G623" s="20" t="str">
        <f>IFERROR(__xludf.DUMMYFUNCTION("""COMPUTED_VALUE"""),"Tap 6 Clone (10/15/2021)")</f>
        <v>Tap 6 Clone (10/15/2021)</v>
      </c>
      <c r="H623" s="19"/>
    </row>
    <row r="624">
      <c r="A624" s="9"/>
      <c r="B624" s="15"/>
      <c r="C624" s="9">
        <f>IFERROR(__xludf.DUMMYFUNCTION("""COMPUTED_VALUE"""),44505.206885706)</f>
        <v>44505.20689</v>
      </c>
      <c r="D624" s="15">
        <f>IFERROR(__xludf.DUMMYFUNCTION("""COMPUTED_VALUE"""),1.013)</f>
        <v>1.013</v>
      </c>
      <c r="E624" s="16">
        <f>IFERROR(__xludf.DUMMYFUNCTION("""COMPUTED_VALUE"""),65.0)</f>
        <v>65</v>
      </c>
      <c r="F624" s="19" t="str">
        <f>IFERROR(__xludf.DUMMYFUNCTION("""COMPUTED_VALUE"""),"BLACK")</f>
        <v>BLACK</v>
      </c>
      <c r="G624" s="20" t="str">
        <f>IFERROR(__xludf.DUMMYFUNCTION("""COMPUTED_VALUE"""),"Tap 6 Clone (10/15/2021)")</f>
        <v>Tap 6 Clone (10/15/2021)</v>
      </c>
      <c r="H624" s="19"/>
    </row>
    <row r="625">
      <c r="A625" s="9"/>
      <c r="B625" s="15"/>
      <c r="C625" s="9">
        <f>IFERROR(__xludf.DUMMYFUNCTION("""COMPUTED_VALUE"""),44505.1964284837)</f>
        <v>44505.19643</v>
      </c>
      <c r="D625" s="15">
        <f>IFERROR(__xludf.DUMMYFUNCTION("""COMPUTED_VALUE"""),1.012)</f>
        <v>1.012</v>
      </c>
      <c r="E625" s="16">
        <f>IFERROR(__xludf.DUMMYFUNCTION("""COMPUTED_VALUE"""),65.0)</f>
        <v>65</v>
      </c>
      <c r="F625" s="19" t="str">
        <f>IFERROR(__xludf.DUMMYFUNCTION("""COMPUTED_VALUE"""),"BLACK")</f>
        <v>BLACK</v>
      </c>
      <c r="G625" s="20" t="str">
        <f>IFERROR(__xludf.DUMMYFUNCTION("""COMPUTED_VALUE"""),"Tap 6 Clone (10/15/2021)")</f>
        <v>Tap 6 Clone (10/15/2021)</v>
      </c>
      <c r="H625" s="19"/>
    </row>
    <row r="626">
      <c r="A626" s="9"/>
      <c r="B626" s="15"/>
      <c r="C626" s="9">
        <f>IFERROR(__xludf.DUMMYFUNCTION("""COMPUTED_VALUE"""),44505.1860066435)</f>
        <v>44505.18601</v>
      </c>
      <c r="D626" s="15">
        <f>IFERROR(__xludf.DUMMYFUNCTION("""COMPUTED_VALUE"""),1.013)</f>
        <v>1.013</v>
      </c>
      <c r="E626" s="16">
        <f>IFERROR(__xludf.DUMMYFUNCTION("""COMPUTED_VALUE"""),65.0)</f>
        <v>65</v>
      </c>
      <c r="F626" s="19" t="str">
        <f>IFERROR(__xludf.DUMMYFUNCTION("""COMPUTED_VALUE"""),"BLACK")</f>
        <v>BLACK</v>
      </c>
      <c r="G626" s="20" t="str">
        <f>IFERROR(__xludf.DUMMYFUNCTION("""COMPUTED_VALUE"""),"Tap 6 Clone (10/15/2021)")</f>
        <v>Tap 6 Clone (10/15/2021)</v>
      </c>
      <c r="H626" s="19"/>
    </row>
    <row r="627">
      <c r="A627" s="9"/>
      <c r="B627" s="15"/>
      <c r="C627" s="9">
        <f>IFERROR(__xludf.DUMMYFUNCTION("""COMPUTED_VALUE"""),44505.1755862615)</f>
        <v>44505.17559</v>
      </c>
      <c r="D627" s="15">
        <f>IFERROR(__xludf.DUMMYFUNCTION("""COMPUTED_VALUE"""),1.012)</f>
        <v>1.012</v>
      </c>
      <c r="E627" s="16">
        <f>IFERROR(__xludf.DUMMYFUNCTION("""COMPUTED_VALUE"""),65.0)</f>
        <v>65</v>
      </c>
      <c r="F627" s="19" t="str">
        <f>IFERROR(__xludf.DUMMYFUNCTION("""COMPUTED_VALUE"""),"BLACK")</f>
        <v>BLACK</v>
      </c>
      <c r="G627" s="20" t="str">
        <f>IFERROR(__xludf.DUMMYFUNCTION("""COMPUTED_VALUE"""),"Tap 6 Clone (10/15/2021)")</f>
        <v>Tap 6 Clone (10/15/2021)</v>
      </c>
      <c r="H627" s="19"/>
    </row>
    <row r="628">
      <c r="A628" s="9"/>
      <c r="B628" s="15"/>
      <c r="C628" s="9">
        <f>IFERROR(__xludf.DUMMYFUNCTION("""COMPUTED_VALUE"""),44505.1651649652)</f>
        <v>44505.16516</v>
      </c>
      <c r="D628" s="15">
        <f>IFERROR(__xludf.DUMMYFUNCTION("""COMPUTED_VALUE"""),1.012)</f>
        <v>1.012</v>
      </c>
      <c r="E628" s="16">
        <f>IFERROR(__xludf.DUMMYFUNCTION("""COMPUTED_VALUE"""),65.0)</f>
        <v>65</v>
      </c>
      <c r="F628" s="19" t="str">
        <f>IFERROR(__xludf.DUMMYFUNCTION("""COMPUTED_VALUE"""),"BLACK")</f>
        <v>BLACK</v>
      </c>
      <c r="G628" s="20" t="str">
        <f>IFERROR(__xludf.DUMMYFUNCTION("""COMPUTED_VALUE"""),"Tap 6 Clone (10/15/2021)")</f>
        <v>Tap 6 Clone (10/15/2021)</v>
      </c>
      <c r="H628" s="19"/>
    </row>
    <row r="629">
      <c r="A629" s="9"/>
      <c r="B629" s="15"/>
      <c r="C629" s="9">
        <f>IFERROR(__xludf.DUMMYFUNCTION("""COMPUTED_VALUE"""),44505.1547439467)</f>
        <v>44505.15474</v>
      </c>
      <c r="D629" s="15">
        <f>IFERROR(__xludf.DUMMYFUNCTION("""COMPUTED_VALUE"""),1.012)</f>
        <v>1.012</v>
      </c>
      <c r="E629" s="16">
        <f>IFERROR(__xludf.DUMMYFUNCTION("""COMPUTED_VALUE"""),65.0)</f>
        <v>65</v>
      </c>
      <c r="F629" s="19" t="str">
        <f>IFERROR(__xludf.DUMMYFUNCTION("""COMPUTED_VALUE"""),"BLACK")</f>
        <v>BLACK</v>
      </c>
      <c r="G629" s="20" t="str">
        <f>IFERROR(__xludf.DUMMYFUNCTION("""COMPUTED_VALUE"""),"Tap 6 Clone (10/15/2021)")</f>
        <v>Tap 6 Clone (10/15/2021)</v>
      </c>
      <c r="H629" s="19"/>
    </row>
    <row r="630">
      <c r="A630" s="9"/>
      <c r="B630" s="15"/>
      <c r="C630" s="9">
        <f>IFERROR(__xludf.DUMMYFUNCTION("""COMPUTED_VALUE"""),44505.144299537)</f>
        <v>44505.1443</v>
      </c>
      <c r="D630" s="15">
        <f>IFERROR(__xludf.DUMMYFUNCTION("""COMPUTED_VALUE"""),1.013)</f>
        <v>1.013</v>
      </c>
      <c r="E630" s="16">
        <f>IFERROR(__xludf.DUMMYFUNCTION("""COMPUTED_VALUE"""),65.0)</f>
        <v>65</v>
      </c>
      <c r="F630" s="19" t="str">
        <f>IFERROR(__xludf.DUMMYFUNCTION("""COMPUTED_VALUE"""),"BLACK")</f>
        <v>BLACK</v>
      </c>
      <c r="G630" s="20" t="str">
        <f>IFERROR(__xludf.DUMMYFUNCTION("""COMPUTED_VALUE"""),"Tap 6 Clone (10/15/2021)")</f>
        <v>Tap 6 Clone (10/15/2021)</v>
      </c>
      <c r="H630" s="19"/>
    </row>
    <row r="631">
      <c r="A631" s="9"/>
      <c r="B631" s="15"/>
      <c r="C631" s="9">
        <f>IFERROR(__xludf.DUMMYFUNCTION("""COMPUTED_VALUE"""),44505.1338668171)</f>
        <v>44505.13387</v>
      </c>
      <c r="D631" s="15">
        <f>IFERROR(__xludf.DUMMYFUNCTION("""COMPUTED_VALUE"""),1.013)</f>
        <v>1.013</v>
      </c>
      <c r="E631" s="16">
        <f>IFERROR(__xludf.DUMMYFUNCTION("""COMPUTED_VALUE"""),65.0)</f>
        <v>65</v>
      </c>
      <c r="F631" s="19" t="str">
        <f>IFERROR(__xludf.DUMMYFUNCTION("""COMPUTED_VALUE"""),"BLACK")</f>
        <v>BLACK</v>
      </c>
      <c r="G631" s="20" t="str">
        <f>IFERROR(__xludf.DUMMYFUNCTION("""COMPUTED_VALUE"""),"Tap 6 Clone (10/15/2021)")</f>
        <v>Tap 6 Clone (10/15/2021)</v>
      </c>
      <c r="H631" s="19"/>
    </row>
    <row r="632">
      <c r="A632" s="9"/>
      <c r="B632" s="15"/>
      <c r="C632" s="9">
        <f>IFERROR(__xludf.DUMMYFUNCTION("""COMPUTED_VALUE"""),44505.1234482754)</f>
        <v>44505.12345</v>
      </c>
      <c r="D632" s="15">
        <f>IFERROR(__xludf.DUMMYFUNCTION("""COMPUTED_VALUE"""),1.013)</f>
        <v>1.013</v>
      </c>
      <c r="E632" s="16">
        <f>IFERROR(__xludf.DUMMYFUNCTION("""COMPUTED_VALUE"""),65.0)</f>
        <v>65</v>
      </c>
      <c r="F632" s="19" t="str">
        <f>IFERROR(__xludf.DUMMYFUNCTION("""COMPUTED_VALUE"""),"BLACK")</f>
        <v>BLACK</v>
      </c>
      <c r="G632" s="20" t="str">
        <f>IFERROR(__xludf.DUMMYFUNCTION("""COMPUTED_VALUE"""),"Tap 6 Clone (10/15/2021)")</f>
        <v>Tap 6 Clone (10/15/2021)</v>
      </c>
      <c r="H632" s="19"/>
    </row>
    <row r="633">
      <c r="A633" s="9"/>
      <c r="B633" s="15"/>
      <c r="C633" s="9">
        <f>IFERROR(__xludf.DUMMYFUNCTION("""COMPUTED_VALUE"""),44505.1130274305)</f>
        <v>44505.11303</v>
      </c>
      <c r="D633" s="15">
        <f>IFERROR(__xludf.DUMMYFUNCTION("""COMPUTED_VALUE"""),1.013)</f>
        <v>1.013</v>
      </c>
      <c r="E633" s="16">
        <f>IFERROR(__xludf.DUMMYFUNCTION("""COMPUTED_VALUE"""),65.0)</f>
        <v>65</v>
      </c>
      <c r="F633" s="19" t="str">
        <f>IFERROR(__xludf.DUMMYFUNCTION("""COMPUTED_VALUE"""),"BLACK")</f>
        <v>BLACK</v>
      </c>
      <c r="G633" s="20" t="str">
        <f>IFERROR(__xludf.DUMMYFUNCTION("""COMPUTED_VALUE"""),"Tap 6 Clone (10/15/2021)")</f>
        <v>Tap 6 Clone (10/15/2021)</v>
      </c>
      <c r="H633" s="19"/>
    </row>
    <row r="634">
      <c r="A634" s="9"/>
      <c r="B634" s="15"/>
      <c r="C634" s="9">
        <f>IFERROR(__xludf.DUMMYFUNCTION("""COMPUTED_VALUE"""),44505.1026061111)</f>
        <v>44505.10261</v>
      </c>
      <c r="D634" s="15">
        <f>IFERROR(__xludf.DUMMYFUNCTION("""COMPUTED_VALUE"""),1.013)</f>
        <v>1.013</v>
      </c>
      <c r="E634" s="16">
        <f>IFERROR(__xludf.DUMMYFUNCTION("""COMPUTED_VALUE"""),65.0)</f>
        <v>65</v>
      </c>
      <c r="F634" s="19" t="str">
        <f>IFERROR(__xludf.DUMMYFUNCTION("""COMPUTED_VALUE"""),"BLACK")</f>
        <v>BLACK</v>
      </c>
      <c r="G634" s="20" t="str">
        <f>IFERROR(__xludf.DUMMYFUNCTION("""COMPUTED_VALUE"""),"Tap 6 Clone (10/15/2021)")</f>
        <v>Tap 6 Clone (10/15/2021)</v>
      </c>
      <c r="H634" s="19"/>
    </row>
    <row r="635">
      <c r="A635" s="9"/>
      <c r="B635" s="15"/>
      <c r="C635" s="9">
        <f>IFERROR(__xludf.DUMMYFUNCTION("""COMPUTED_VALUE"""),44505.092184155)</f>
        <v>44505.09218</v>
      </c>
      <c r="D635" s="15">
        <f>IFERROR(__xludf.DUMMYFUNCTION("""COMPUTED_VALUE"""),1.013)</f>
        <v>1.013</v>
      </c>
      <c r="E635" s="16">
        <f>IFERROR(__xludf.DUMMYFUNCTION("""COMPUTED_VALUE"""),65.0)</f>
        <v>65</v>
      </c>
      <c r="F635" s="19" t="str">
        <f>IFERROR(__xludf.DUMMYFUNCTION("""COMPUTED_VALUE"""),"BLACK")</f>
        <v>BLACK</v>
      </c>
      <c r="G635" s="20" t="str">
        <f>IFERROR(__xludf.DUMMYFUNCTION("""COMPUTED_VALUE"""),"Tap 6 Clone (10/15/2021)")</f>
        <v>Tap 6 Clone (10/15/2021)</v>
      </c>
      <c r="H635" s="19"/>
    </row>
    <row r="636">
      <c r="A636" s="9"/>
      <c r="B636" s="15"/>
      <c r="C636" s="9">
        <f>IFERROR(__xludf.DUMMYFUNCTION("""COMPUTED_VALUE"""),44505.0817625)</f>
        <v>44505.08176</v>
      </c>
      <c r="D636" s="15">
        <f>IFERROR(__xludf.DUMMYFUNCTION("""COMPUTED_VALUE"""),1.013)</f>
        <v>1.013</v>
      </c>
      <c r="E636" s="16">
        <f>IFERROR(__xludf.DUMMYFUNCTION("""COMPUTED_VALUE"""),65.0)</f>
        <v>65</v>
      </c>
      <c r="F636" s="19" t="str">
        <f>IFERROR(__xludf.DUMMYFUNCTION("""COMPUTED_VALUE"""),"BLACK")</f>
        <v>BLACK</v>
      </c>
      <c r="G636" s="20" t="str">
        <f>IFERROR(__xludf.DUMMYFUNCTION("""COMPUTED_VALUE"""),"Tap 6 Clone (10/15/2021)")</f>
        <v>Tap 6 Clone (10/15/2021)</v>
      </c>
      <c r="H636" s="19"/>
    </row>
    <row r="637">
      <c r="A637" s="9"/>
      <c r="B637" s="15"/>
      <c r="C637" s="9">
        <f>IFERROR(__xludf.DUMMYFUNCTION("""COMPUTED_VALUE"""),44505.0713276736)</f>
        <v>44505.07133</v>
      </c>
      <c r="D637" s="15">
        <f>IFERROR(__xludf.DUMMYFUNCTION("""COMPUTED_VALUE"""),1.013)</f>
        <v>1.013</v>
      </c>
      <c r="E637" s="16">
        <f>IFERROR(__xludf.DUMMYFUNCTION("""COMPUTED_VALUE"""),65.0)</f>
        <v>65</v>
      </c>
      <c r="F637" s="19" t="str">
        <f>IFERROR(__xludf.DUMMYFUNCTION("""COMPUTED_VALUE"""),"BLACK")</f>
        <v>BLACK</v>
      </c>
      <c r="G637" s="20" t="str">
        <f>IFERROR(__xludf.DUMMYFUNCTION("""COMPUTED_VALUE"""),"Tap 6 Clone (10/15/2021)")</f>
        <v>Tap 6 Clone (10/15/2021)</v>
      </c>
      <c r="H637" s="19"/>
    </row>
    <row r="638">
      <c r="A638" s="9"/>
      <c r="B638" s="15"/>
      <c r="C638" s="9">
        <f>IFERROR(__xludf.DUMMYFUNCTION("""COMPUTED_VALUE"""),44505.0609038194)</f>
        <v>44505.0609</v>
      </c>
      <c r="D638" s="15">
        <f>IFERROR(__xludf.DUMMYFUNCTION("""COMPUTED_VALUE"""),1.013)</f>
        <v>1.013</v>
      </c>
      <c r="E638" s="16">
        <f>IFERROR(__xludf.DUMMYFUNCTION("""COMPUTED_VALUE"""),65.0)</f>
        <v>65</v>
      </c>
      <c r="F638" s="19" t="str">
        <f>IFERROR(__xludf.DUMMYFUNCTION("""COMPUTED_VALUE"""),"BLACK")</f>
        <v>BLACK</v>
      </c>
      <c r="G638" s="20" t="str">
        <f>IFERROR(__xludf.DUMMYFUNCTION("""COMPUTED_VALUE"""),"Tap 6 Clone (10/15/2021)")</f>
        <v>Tap 6 Clone (10/15/2021)</v>
      </c>
      <c r="H638" s="19"/>
    </row>
    <row r="639">
      <c r="A639" s="9"/>
      <c r="B639" s="15"/>
      <c r="C639" s="9">
        <f>IFERROR(__xludf.DUMMYFUNCTION("""COMPUTED_VALUE"""),44505.050482662)</f>
        <v>44505.05048</v>
      </c>
      <c r="D639" s="15">
        <f>IFERROR(__xludf.DUMMYFUNCTION("""COMPUTED_VALUE"""),1.013)</f>
        <v>1.013</v>
      </c>
      <c r="E639" s="16">
        <f>IFERROR(__xludf.DUMMYFUNCTION("""COMPUTED_VALUE"""),65.0)</f>
        <v>65</v>
      </c>
      <c r="F639" s="19" t="str">
        <f>IFERROR(__xludf.DUMMYFUNCTION("""COMPUTED_VALUE"""),"BLACK")</f>
        <v>BLACK</v>
      </c>
      <c r="G639" s="20" t="str">
        <f>IFERROR(__xludf.DUMMYFUNCTION("""COMPUTED_VALUE"""),"Tap 6 Clone (10/15/2021)")</f>
        <v>Tap 6 Clone (10/15/2021)</v>
      </c>
      <c r="H639" s="19"/>
    </row>
    <row r="640">
      <c r="A640" s="9"/>
      <c r="B640" s="15"/>
      <c r="C640" s="9">
        <f>IFERROR(__xludf.DUMMYFUNCTION("""COMPUTED_VALUE"""),44505.0400606365)</f>
        <v>44505.04006</v>
      </c>
      <c r="D640" s="15">
        <f>IFERROR(__xludf.DUMMYFUNCTION("""COMPUTED_VALUE"""),1.013)</f>
        <v>1.013</v>
      </c>
      <c r="E640" s="16">
        <f>IFERROR(__xludf.DUMMYFUNCTION("""COMPUTED_VALUE"""),65.0)</f>
        <v>65</v>
      </c>
      <c r="F640" s="19" t="str">
        <f>IFERROR(__xludf.DUMMYFUNCTION("""COMPUTED_VALUE"""),"BLACK")</f>
        <v>BLACK</v>
      </c>
      <c r="G640" s="20" t="str">
        <f>IFERROR(__xludf.DUMMYFUNCTION("""COMPUTED_VALUE"""),"Tap 6 Clone (10/15/2021)")</f>
        <v>Tap 6 Clone (10/15/2021)</v>
      </c>
      <c r="H640" s="19"/>
    </row>
    <row r="641">
      <c r="A641" s="9"/>
      <c r="B641" s="15"/>
      <c r="C641" s="9">
        <f>IFERROR(__xludf.DUMMYFUNCTION("""COMPUTED_VALUE"""),44505.0296283449)</f>
        <v>44505.02963</v>
      </c>
      <c r="D641" s="15">
        <f>IFERROR(__xludf.DUMMYFUNCTION("""COMPUTED_VALUE"""),1.013)</f>
        <v>1.013</v>
      </c>
      <c r="E641" s="16">
        <f>IFERROR(__xludf.DUMMYFUNCTION("""COMPUTED_VALUE"""),65.0)</f>
        <v>65</v>
      </c>
      <c r="F641" s="19" t="str">
        <f>IFERROR(__xludf.DUMMYFUNCTION("""COMPUTED_VALUE"""),"BLACK")</f>
        <v>BLACK</v>
      </c>
      <c r="G641" s="20" t="str">
        <f>IFERROR(__xludf.DUMMYFUNCTION("""COMPUTED_VALUE"""),"Tap 6 Clone (10/15/2021)")</f>
        <v>Tap 6 Clone (10/15/2021)</v>
      </c>
      <c r="H641" s="19"/>
    </row>
    <row r="642">
      <c r="A642" s="9"/>
      <c r="B642" s="15"/>
      <c r="C642" s="9">
        <f>IFERROR(__xludf.DUMMYFUNCTION("""COMPUTED_VALUE"""),44505.0192094328)</f>
        <v>44505.01921</v>
      </c>
      <c r="D642" s="15">
        <f>IFERROR(__xludf.DUMMYFUNCTION("""COMPUTED_VALUE"""),1.013)</f>
        <v>1.013</v>
      </c>
      <c r="E642" s="16">
        <f>IFERROR(__xludf.DUMMYFUNCTION("""COMPUTED_VALUE"""),65.0)</f>
        <v>65</v>
      </c>
      <c r="F642" s="19" t="str">
        <f>IFERROR(__xludf.DUMMYFUNCTION("""COMPUTED_VALUE"""),"BLACK")</f>
        <v>BLACK</v>
      </c>
      <c r="G642" s="20" t="str">
        <f>IFERROR(__xludf.DUMMYFUNCTION("""COMPUTED_VALUE"""),"Tap 6 Clone (10/15/2021)")</f>
        <v>Tap 6 Clone (10/15/2021)</v>
      </c>
      <c r="H642" s="19"/>
    </row>
    <row r="643">
      <c r="A643" s="9"/>
      <c r="B643" s="15"/>
      <c r="C643" s="9">
        <f>IFERROR(__xludf.DUMMYFUNCTION("""COMPUTED_VALUE"""),44505.0087874421)</f>
        <v>44505.00879</v>
      </c>
      <c r="D643" s="15">
        <f>IFERROR(__xludf.DUMMYFUNCTION("""COMPUTED_VALUE"""),1.013)</f>
        <v>1.013</v>
      </c>
      <c r="E643" s="16">
        <f>IFERROR(__xludf.DUMMYFUNCTION("""COMPUTED_VALUE"""),65.0)</f>
        <v>65</v>
      </c>
      <c r="F643" s="19" t="str">
        <f>IFERROR(__xludf.DUMMYFUNCTION("""COMPUTED_VALUE"""),"BLACK")</f>
        <v>BLACK</v>
      </c>
      <c r="G643" s="20" t="str">
        <f>IFERROR(__xludf.DUMMYFUNCTION("""COMPUTED_VALUE"""),"Tap 6 Clone (10/15/2021)")</f>
        <v>Tap 6 Clone (10/15/2021)</v>
      </c>
      <c r="H643" s="19"/>
    </row>
    <row r="644">
      <c r="A644" s="9"/>
      <c r="B644" s="15"/>
      <c r="C644" s="9">
        <f>IFERROR(__xludf.DUMMYFUNCTION("""COMPUTED_VALUE"""),44504.9983672569)</f>
        <v>44504.99837</v>
      </c>
      <c r="D644" s="15">
        <f>IFERROR(__xludf.DUMMYFUNCTION("""COMPUTED_VALUE"""),1.013)</f>
        <v>1.013</v>
      </c>
      <c r="E644" s="16">
        <f>IFERROR(__xludf.DUMMYFUNCTION("""COMPUTED_VALUE"""),65.0)</f>
        <v>65</v>
      </c>
      <c r="F644" s="19" t="str">
        <f>IFERROR(__xludf.DUMMYFUNCTION("""COMPUTED_VALUE"""),"BLACK")</f>
        <v>BLACK</v>
      </c>
      <c r="G644" s="20" t="str">
        <f>IFERROR(__xludf.DUMMYFUNCTION("""COMPUTED_VALUE"""),"Tap 6 Clone (10/15/2021)")</f>
        <v>Tap 6 Clone (10/15/2021)</v>
      </c>
      <c r="H644" s="19"/>
    </row>
    <row r="645">
      <c r="A645" s="9"/>
      <c r="B645" s="15"/>
      <c r="C645" s="9">
        <f>IFERROR(__xludf.DUMMYFUNCTION("""COMPUTED_VALUE"""),44504.9879476736)</f>
        <v>44504.98795</v>
      </c>
      <c r="D645" s="15">
        <f>IFERROR(__xludf.DUMMYFUNCTION("""COMPUTED_VALUE"""),1.013)</f>
        <v>1.013</v>
      </c>
      <c r="E645" s="16">
        <f>IFERROR(__xludf.DUMMYFUNCTION("""COMPUTED_VALUE"""),65.0)</f>
        <v>65</v>
      </c>
      <c r="F645" s="19" t="str">
        <f>IFERROR(__xludf.DUMMYFUNCTION("""COMPUTED_VALUE"""),"BLACK")</f>
        <v>BLACK</v>
      </c>
      <c r="G645" s="20" t="str">
        <f>IFERROR(__xludf.DUMMYFUNCTION("""COMPUTED_VALUE"""),"Tap 6 Clone (10/15/2021)")</f>
        <v>Tap 6 Clone (10/15/2021)</v>
      </c>
      <c r="H645" s="19"/>
    </row>
    <row r="646">
      <c r="A646" s="9"/>
      <c r="B646" s="15"/>
      <c r="C646" s="9">
        <f>IFERROR(__xludf.DUMMYFUNCTION("""COMPUTED_VALUE"""),44504.9775258564)</f>
        <v>44504.97753</v>
      </c>
      <c r="D646" s="15">
        <f>IFERROR(__xludf.DUMMYFUNCTION("""COMPUTED_VALUE"""),1.013)</f>
        <v>1.013</v>
      </c>
      <c r="E646" s="16">
        <f>IFERROR(__xludf.DUMMYFUNCTION("""COMPUTED_VALUE"""),65.0)</f>
        <v>65</v>
      </c>
      <c r="F646" s="19" t="str">
        <f>IFERROR(__xludf.DUMMYFUNCTION("""COMPUTED_VALUE"""),"BLACK")</f>
        <v>BLACK</v>
      </c>
      <c r="G646" s="20" t="str">
        <f>IFERROR(__xludf.DUMMYFUNCTION("""COMPUTED_VALUE"""),"Tap 6 Clone (10/15/2021)")</f>
        <v>Tap 6 Clone (10/15/2021)</v>
      </c>
      <c r="H646" s="19"/>
    </row>
    <row r="647">
      <c r="A647" s="9"/>
      <c r="B647" s="15"/>
      <c r="C647" s="9">
        <f>IFERROR(__xludf.DUMMYFUNCTION("""COMPUTED_VALUE"""),44504.9670935301)</f>
        <v>44504.96709</v>
      </c>
      <c r="D647" s="15">
        <f>IFERROR(__xludf.DUMMYFUNCTION("""COMPUTED_VALUE"""),1.013)</f>
        <v>1.013</v>
      </c>
      <c r="E647" s="16">
        <f>IFERROR(__xludf.DUMMYFUNCTION("""COMPUTED_VALUE"""),65.0)</f>
        <v>65</v>
      </c>
      <c r="F647" s="19" t="str">
        <f>IFERROR(__xludf.DUMMYFUNCTION("""COMPUTED_VALUE"""),"BLACK")</f>
        <v>BLACK</v>
      </c>
      <c r="G647" s="20" t="str">
        <f>IFERROR(__xludf.DUMMYFUNCTION("""COMPUTED_VALUE"""),"Tap 6 Clone (10/15/2021)")</f>
        <v>Tap 6 Clone (10/15/2021)</v>
      </c>
      <c r="H647" s="19"/>
    </row>
    <row r="648">
      <c r="A648" s="9"/>
      <c r="B648" s="15"/>
      <c r="C648" s="9">
        <f>IFERROR(__xludf.DUMMYFUNCTION("""COMPUTED_VALUE"""),44504.9566714583)</f>
        <v>44504.95667</v>
      </c>
      <c r="D648" s="15">
        <f>IFERROR(__xludf.DUMMYFUNCTION("""COMPUTED_VALUE"""),1.013)</f>
        <v>1.013</v>
      </c>
      <c r="E648" s="16">
        <f>IFERROR(__xludf.DUMMYFUNCTION("""COMPUTED_VALUE"""),65.0)</f>
        <v>65</v>
      </c>
      <c r="F648" s="19" t="str">
        <f>IFERROR(__xludf.DUMMYFUNCTION("""COMPUTED_VALUE"""),"BLACK")</f>
        <v>BLACK</v>
      </c>
      <c r="G648" s="20" t="str">
        <f>IFERROR(__xludf.DUMMYFUNCTION("""COMPUTED_VALUE"""),"Tap 6 Clone (10/15/2021)")</f>
        <v>Tap 6 Clone (10/15/2021)</v>
      </c>
      <c r="H648" s="19"/>
    </row>
    <row r="649">
      <c r="A649" s="9"/>
      <c r="B649" s="15"/>
      <c r="C649" s="9">
        <f>IFERROR(__xludf.DUMMYFUNCTION("""COMPUTED_VALUE"""),44504.9462517129)</f>
        <v>44504.94625</v>
      </c>
      <c r="D649" s="15">
        <f>IFERROR(__xludf.DUMMYFUNCTION("""COMPUTED_VALUE"""),1.013)</f>
        <v>1.013</v>
      </c>
      <c r="E649" s="16">
        <f>IFERROR(__xludf.DUMMYFUNCTION("""COMPUTED_VALUE"""),65.0)</f>
        <v>65</v>
      </c>
      <c r="F649" s="19" t="str">
        <f>IFERROR(__xludf.DUMMYFUNCTION("""COMPUTED_VALUE"""),"BLACK")</f>
        <v>BLACK</v>
      </c>
      <c r="G649" s="20" t="str">
        <f>IFERROR(__xludf.DUMMYFUNCTION("""COMPUTED_VALUE"""),"Tap 6 Clone (10/15/2021)")</f>
        <v>Tap 6 Clone (10/15/2021)</v>
      </c>
      <c r="H649" s="19"/>
    </row>
    <row r="650">
      <c r="A650" s="9"/>
      <c r="B650" s="15"/>
      <c r="C650" s="9">
        <f>IFERROR(__xludf.DUMMYFUNCTION("""COMPUTED_VALUE"""),44504.9358308564)</f>
        <v>44504.93583</v>
      </c>
      <c r="D650" s="15">
        <f>IFERROR(__xludf.DUMMYFUNCTION("""COMPUTED_VALUE"""),1.013)</f>
        <v>1.013</v>
      </c>
      <c r="E650" s="16">
        <f>IFERROR(__xludf.DUMMYFUNCTION("""COMPUTED_VALUE"""),65.0)</f>
        <v>65</v>
      </c>
      <c r="F650" s="19" t="str">
        <f>IFERROR(__xludf.DUMMYFUNCTION("""COMPUTED_VALUE"""),"BLACK")</f>
        <v>BLACK</v>
      </c>
      <c r="G650" s="20" t="str">
        <f>IFERROR(__xludf.DUMMYFUNCTION("""COMPUTED_VALUE"""),"Tap 6 Clone (10/15/2021)")</f>
        <v>Tap 6 Clone (10/15/2021)</v>
      </c>
      <c r="H650" s="19"/>
    </row>
    <row r="651">
      <c r="A651" s="9"/>
      <c r="B651" s="15"/>
      <c r="C651" s="9">
        <f>IFERROR(__xludf.DUMMYFUNCTION("""COMPUTED_VALUE"""),44504.9254082638)</f>
        <v>44504.92541</v>
      </c>
      <c r="D651" s="15">
        <f>IFERROR(__xludf.DUMMYFUNCTION("""COMPUTED_VALUE"""),1.013)</f>
        <v>1.013</v>
      </c>
      <c r="E651" s="16">
        <f>IFERROR(__xludf.DUMMYFUNCTION("""COMPUTED_VALUE"""),65.0)</f>
        <v>65</v>
      </c>
      <c r="F651" s="19" t="str">
        <f>IFERROR(__xludf.DUMMYFUNCTION("""COMPUTED_VALUE"""),"BLACK")</f>
        <v>BLACK</v>
      </c>
      <c r="G651" s="20" t="str">
        <f>IFERROR(__xludf.DUMMYFUNCTION("""COMPUTED_VALUE"""),"Tap 6 Clone (10/15/2021)")</f>
        <v>Tap 6 Clone (10/15/2021)</v>
      </c>
      <c r="H651" s="19"/>
    </row>
    <row r="652">
      <c r="A652" s="9"/>
      <c r="B652" s="15"/>
      <c r="C652" s="9">
        <f>IFERROR(__xludf.DUMMYFUNCTION("""COMPUTED_VALUE"""),44504.914987118)</f>
        <v>44504.91499</v>
      </c>
      <c r="D652" s="15">
        <f>IFERROR(__xludf.DUMMYFUNCTION("""COMPUTED_VALUE"""),1.013)</f>
        <v>1.013</v>
      </c>
      <c r="E652" s="16">
        <f>IFERROR(__xludf.DUMMYFUNCTION("""COMPUTED_VALUE"""),65.0)</f>
        <v>65</v>
      </c>
      <c r="F652" s="19" t="str">
        <f>IFERROR(__xludf.DUMMYFUNCTION("""COMPUTED_VALUE"""),"BLACK")</f>
        <v>BLACK</v>
      </c>
      <c r="G652" s="20" t="str">
        <f>IFERROR(__xludf.DUMMYFUNCTION("""COMPUTED_VALUE"""),"Tap 6 Clone (10/15/2021)")</f>
        <v>Tap 6 Clone (10/15/2021)</v>
      </c>
      <c r="H652" s="19"/>
    </row>
    <row r="653">
      <c r="A653" s="9"/>
      <c r="B653" s="15"/>
      <c r="C653" s="9">
        <f>IFERROR(__xludf.DUMMYFUNCTION("""COMPUTED_VALUE"""),44504.9045649537)</f>
        <v>44504.90456</v>
      </c>
      <c r="D653" s="15">
        <f>IFERROR(__xludf.DUMMYFUNCTION("""COMPUTED_VALUE"""),1.013)</f>
        <v>1.013</v>
      </c>
      <c r="E653" s="16">
        <f>IFERROR(__xludf.DUMMYFUNCTION("""COMPUTED_VALUE"""),65.0)</f>
        <v>65</v>
      </c>
      <c r="F653" s="19" t="str">
        <f>IFERROR(__xludf.DUMMYFUNCTION("""COMPUTED_VALUE"""),"BLACK")</f>
        <v>BLACK</v>
      </c>
      <c r="G653" s="20" t="str">
        <f>IFERROR(__xludf.DUMMYFUNCTION("""COMPUTED_VALUE"""),"Tap 6 Clone (10/15/2021)")</f>
        <v>Tap 6 Clone (10/15/2021)</v>
      </c>
      <c r="H653" s="19"/>
    </row>
    <row r="654">
      <c r="A654" s="9"/>
      <c r="B654" s="15"/>
      <c r="C654" s="9">
        <f>IFERROR(__xludf.DUMMYFUNCTION("""COMPUTED_VALUE"""),44504.8941316435)</f>
        <v>44504.89413</v>
      </c>
      <c r="D654" s="15">
        <f>IFERROR(__xludf.DUMMYFUNCTION("""COMPUTED_VALUE"""),1.013)</f>
        <v>1.013</v>
      </c>
      <c r="E654" s="16">
        <f>IFERROR(__xludf.DUMMYFUNCTION("""COMPUTED_VALUE"""),65.0)</f>
        <v>65</v>
      </c>
      <c r="F654" s="19" t="str">
        <f>IFERROR(__xludf.DUMMYFUNCTION("""COMPUTED_VALUE"""),"BLACK")</f>
        <v>BLACK</v>
      </c>
      <c r="G654" s="20" t="str">
        <f>IFERROR(__xludf.DUMMYFUNCTION("""COMPUTED_VALUE"""),"Tap 6 Clone (10/15/2021)")</f>
        <v>Tap 6 Clone (10/15/2021)</v>
      </c>
      <c r="H654" s="19"/>
    </row>
    <row r="655">
      <c r="A655" s="9"/>
      <c r="B655" s="15"/>
      <c r="C655" s="9">
        <f>IFERROR(__xludf.DUMMYFUNCTION("""COMPUTED_VALUE"""),44504.8837097916)</f>
        <v>44504.88371</v>
      </c>
      <c r="D655" s="15">
        <f>IFERROR(__xludf.DUMMYFUNCTION("""COMPUTED_VALUE"""),1.013)</f>
        <v>1.013</v>
      </c>
      <c r="E655" s="16">
        <f>IFERROR(__xludf.DUMMYFUNCTION("""COMPUTED_VALUE"""),65.0)</f>
        <v>65</v>
      </c>
      <c r="F655" s="19" t="str">
        <f>IFERROR(__xludf.DUMMYFUNCTION("""COMPUTED_VALUE"""),"BLACK")</f>
        <v>BLACK</v>
      </c>
      <c r="G655" s="20" t="str">
        <f>IFERROR(__xludf.DUMMYFUNCTION("""COMPUTED_VALUE"""),"Tap 6 Clone (10/15/2021)")</f>
        <v>Tap 6 Clone (10/15/2021)</v>
      </c>
      <c r="H655" s="19"/>
    </row>
    <row r="656">
      <c r="A656" s="9"/>
      <c r="B656" s="15"/>
      <c r="C656" s="9">
        <f>IFERROR(__xludf.DUMMYFUNCTION("""COMPUTED_VALUE"""),44504.8732879398)</f>
        <v>44504.87329</v>
      </c>
      <c r="D656" s="15">
        <f>IFERROR(__xludf.DUMMYFUNCTION("""COMPUTED_VALUE"""),1.013)</f>
        <v>1.013</v>
      </c>
      <c r="E656" s="16">
        <f>IFERROR(__xludf.DUMMYFUNCTION("""COMPUTED_VALUE"""),65.0)</f>
        <v>65</v>
      </c>
      <c r="F656" s="19" t="str">
        <f>IFERROR(__xludf.DUMMYFUNCTION("""COMPUTED_VALUE"""),"BLACK")</f>
        <v>BLACK</v>
      </c>
      <c r="G656" s="20" t="str">
        <f>IFERROR(__xludf.DUMMYFUNCTION("""COMPUTED_VALUE"""),"Tap 6 Clone (10/15/2021)")</f>
        <v>Tap 6 Clone (10/15/2021)</v>
      </c>
      <c r="H656" s="19"/>
    </row>
    <row r="657">
      <c r="A657" s="9"/>
      <c r="B657" s="15"/>
      <c r="C657" s="9">
        <f>IFERROR(__xludf.DUMMYFUNCTION("""COMPUTED_VALUE"""),44504.862855324)</f>
        <v>44504.86286</v>
      </c>
      <c r="D657" s="15">
        <f>IFERROR(__xludf.DUMMYFUNCTION("""COMPUTED_VALUE"""),1.013)</f>
        <v>1.013</v>
      </c>
      <c r="E657" s="16">
        <f>IFERROR(__xludf.DUMMYFUNCTION("""COMPUTED_VALUE"""),65.0)</f>
        <v>65</v>
      </c>
      <c r="F657" s="19" t="str">
        <f>IFERROR(__xludf.DUMMYFUNCTION("""COMPUTED_VALUE"""),"BLACK")</f>
        <v>BLACK</v>
      </c>
      <c r="G657" s="20" t="str">
        <f>IFERROR(__xludf.DUMMYFUNCTION("""COMPUTED_VALUE"""),"Tap 6 Clone (10/15/2021)")</f>
        <v>Tap 6 Clone (10/15/2021)</v>
      </c>
      <c r="H657" s="19"/>
    </row>
    <row r="658">
      <c r="A658" s="9"/>
      <c r="B658" s="15"/>
      <c r="C658" s="9">
        <f>IFERROR(__xludf.DUMMYFUNCTION("""COMPUTED_VALUE"""),44504.8524352893)</f>
        <v>44504.85244</v>
      </c>
      <c r="D658" s="15">
        <f>IFERROR(__xludf.DUMMYFUNCTION("""COMPUTED_VALUE"""),1.013)</f>
        <v>1.013</v>
      </c>
      <c r="E658" s="16">
        <f>IFERROR(__xludf.DUMMYFUNCTION("""COMPUTED_VALUE"""),65.0)</f>
        <v>65</v>
      </c>
      <c r="F658" s="19" t="str">
        <f>IFERROR(__xludf.DUMMYFUNCTION("""COMPUTED_VALUE"""),"BLACK")</f>
        <v>BLACK</v>
      </c>
      <c r="G658" s="20" t="str">
        <f>IFERROR(__xludf.DUMMYFUNCTION("""COMPUTED_VALUE"""),"Tap 6 Clone (10/15/2021)")</f>
        <v>Tap 6 Clone (10/15/2021)</v>
      </c>
      <c r="H658" s="19"/>
    </row>
    <row r="659">
      <c r="A659" s="9"/>
      <c r="B659" s="15"/>
      <c r="C659" s="9">
        <f>IFERROR(__xludf.DUMMYFUNCTION("""COMPUTED_VALUE"""),44504.8420120023)</f>
        <v>44504.84201</v>
      </c>
      <c r="D659" s="15">
        <f>IFERROR(__xludf.DUMMYFUNCTION("""COMPUTED_VALUE"""),1.013)</f>
        <v>1.013</v>
      </c>
      <c r="E659" s="16">
        <f>IFERROR(__xludf.DUMMYFUNCTION("""COMPUTED_VALUE"""),65.0)</f>
        <v>65</v>
      </c>
      <c r="F659" s="19" t="str">
        <f>IFERROR(__xludf.DUMMYFUNCTION("""COMPUTED_VALUE"""),"BLACK")</f>
        <v>BLACK</v>
      </c>
      <c r="G659" s="20" t="str">
        <f>IFERROR(__xludf.DUMMYFUNCTION("""COMPUTED_VALUE"""),"Tap 6 Clone (10/15/2021)")</f>
        <v>Tap 6 Clone (10/15/2021)</v>
      </c>
      <c r="H659" s="19"/>
    </row>
    <row r="660">
      <c r="A660" s="9"/>
      <c r="B660" s="15"/>
      <c r="C660" s="9">
        <f>IFERROR(__xludf.DUMMYFUNCTION("""COMPUTED_VALUE"""),44504.8315916782)</f>
        <v>44504.83159</v>
      </c>
      <c r="D660" s="15">
        <f>IFERROR(__xludf.DUMMYFUNCTION("""COMPUTED_VALUE"""),1.013)</f>
        <v>1.013</v>
      </c>
      <c r="E660" s="16">
        <f>IFERROR(__xludf.DUMMYFUNCTION("""COMPUTED_VALUE"""),65.0)</f>
        <v>65</v>
      </c>
      <c r="F660" s="19" t="str">
        <f>IFERROR(__xludf.DUMMYFUNCTION("""COMPUTED_VALUE"""),"BLACK")</f>
        <v>BLACK</v>
      </c>
      <c r="G660" s="20" t="str">
        <f>IFERROR(__xludf.DUMMYFUNCTION("""COMPUTED_VALUE"""),"Tap 6 Clone (10/15/2021)")</f>
        <v>Tap 6 Clone (10/15/2021)</v>
      </c>
      <c r="H660" s="19"/>
    </row>
    <row r="661">
      <c r="A661" s="9"/>
      <c r="B661" s="15"/>
      <c r="C661" s="9">
        <f>IFERROR(__xludf.DUMMYFUNCTION("""COMPUTED_VALUE"""),44504.8211720949)</f>
        <v>44504.82117</v>
      </c>
      <c r="D661" s="15">
        <f>IFERROR(__xludf.DUMMYFUNCTION("""COMPUTED_VALUE"""),1.013)</f>
        <v>1.013</v>
      </c>
      <c r="E661" s="16">
        <f>IFERROR(__xludf.DUMMYFUNCTION("""COMPUTED_VALUE"""),65.0)</f>
        <v>65</v>
      </c>
      <c r="F661" s="19" t="str">
        <f>IFERROR(__xludf.DUMMYFUNCTION("""COMPUTED_VALUE"""),"BLACK")</f>
        <v>BLACK</v>
      </c>
      <c r="G661" s="20" t="str">
        <f>IFERROR(__xludf.DUMMYFUNCTION("""COMPUTED_VALUE"""),"Tap 6 Clone (10/15/2021)")</f>
        <v>Tap 6 Clone (10/15/2021)</v>
      </c>
      <c r="H661" s="19"/>
    </row>
    <row r="662">
      <c r="A662" s="9"/>
      <c r="B662" s="15"/>
      <c r="C662" s="9">
        <f>IFERROR(__xludf.DUMMYFUNCTION("""COMPUTED_VALUE"""),44504.810750706)</f>
        <v>44504.81075</v>
      </c>
      <c r="D662" s="15">
        <f>IFERROR(__xludf.DUMMYFUNCTION("""COMPUTED_VALUE"""),1.013)</f>
        <v>1.013</v>
      </c>
      <c r="E662" s="16">
        <f>IFERROR(__xludf.DUMMYFUNCTION("""COMPUTED_VALUE"""),65.0)</f>
        <v>65</v>
      </c>
      <c r="F662" s="19" t="str">
        <f>IFERROR(__xludf.DUMMYFUNCTION("""COMPUTED_VALUE"""),"BLACK")</f>
        <v>BLACK</v>
      </c>
      <c r="G662" s="20" t="str">
        <f>IFERROR(__xludf.DUMMYFUNCTION("""COMPUTED_VALUE"""),"Tap 6 Clone (10/15/2021)")</f>
        <v>Tap 6 Clone (10/15/2021)</v>
      </c>
      <c r="H662" s="19"/>
    </row>
    <row r="663">
      <c r="A663" s="9"/>
      <c r="B663" s="15"/>
      <c r="C663" s="9">
        <f>IFERROR(__xludf.DUMMYFUNCTION("""COMPUTED_VALUE"""),44504.8003288078)</f>
        <v>44504.80033</v>
      </c>
      <c r="D663" s="15">
        <f>IFERROR(__xludf.DUMMYFUNCTION("""COMPUTED_VALUE"""),1.013)</f>
        <v>1.013</v>
      </c>
      <c r="E663" s="16">
        <f>IFERROR(__xludf.DUMMYFUNCTION("""COMPUTED_VALUE"""),65.0)</f>
        <v>65</v>
      </c>
      <c r="F663" s="19" t="str">
        <f>IFERROR(__xludf.DUMMYFUNCTION("""COMPUTED_VALUE"""),"BLACK")</f>
        <v>BLACK</v>
      </c>
      <c r="G663" s="20" t="str">
        <f>IFERROR(__xludf.DUMMYFUNCTION("""COMPUTED_VALUE"""),"Tap 6 Clone (10/15/2021)")</f>
        <v>Tap 6 Clone (10/15/2021)</v>
      </c>
      <c r="H663" s="19"/>
    </row>
    <row r="664">
      <c r="A664" s="9"/>
      <c r="B664" s="15"/>
      <c r="C664" s="9">
        <f>IFERROR(__xludf.DUMMYFUNCTION("""COMPUTED_VALUE"""),44504.7899059375)</f>
        <v>44504.78991</v>
      </c>
      <c r="D664" s="15">
        <f>IFERROR(__xludf.DUMMYFUNCTION("""COMPUTED_VALUE"""),1.013)</f>
        <v>1.013</v>
      </c>
      <c r="E664" s="16">
        <f>IFERROR(__xludf.DUMMYFUNCTION("""COMPUTED_VALUE"""),65.0)</f>
        <v>65</v>
      </c>
      <c r="F664" s="19" t="str">
        <f>IFERROR(__xludf.DUMMYFUNCTION("""COMPUTED_VALUE"""),"BLACK")</f>
        <v>BLACK</v>
      </c>
      <c r="G664" s="20" t="str">
        <f>IFERROR(__xludf.DUMMYFUNCTION("""COMPUTED_VALUE"""),"Tap 6 Clone (10/15/2021)")</f>
        <v>Tap 6 Clone (10/15/2021)</v>
      </c>
      <c r="H664" s="19"/>
    </row>
    <row r="665">
      <c r="A665" s="9"/>
      <c r="B665" s="15"/>
      <c r="C665" s="9">
        <f>IFERROR(__xludf.DUMMYFUNCTION("""COMPUTED_VALUE"""),44504.7794840509)</f>
        <v>44504.77948</v>
      </c>
      <c r="D665" s="15">
        <f>IFERROR(__xludf.DUMMYFUNCTION("""COMPUTED_VALUE"""),1.013)</f>
        <v>1.013</v>
      </c>
      <c r="E665" s="16">
        <f>IFERROR(__xludf.DUMMYFUNCTION("""COMPUTED_VALUE"""),65.0)</f>
        <v>65</v>
      </c>
      <c r="F665" s="19" t="str">
        <f>IFERROR(__xludf.DUMMYFUNCTION("""COMPUTED_VALUE"""),"BLACK")</f>
        <v>BLACK</v>
      </c>
      <c r="G665" s="20" t="str">
        <f>IFERROR(__xludf.DUMMYFUNCTION("""COMPUTED_VALUE"""),"Tap 6 Clone (10/15/2021)")</f>
        <v>Tap 6 Clone (10/15/2021)</v>
      </c>
      <c r="H665" s="19"/>
    </row>
    <row r="666">
      <c r="A666" s="9"/>
      <c r="B666" s="15"/>
      <c r="C666" s="9">
        <f>IFERROR(__xludf.DUMMYFUNCTION("""COMPUTED_VALUE"""),44504.7690395949)</f>
        <v>44504.76904</v>
      </c>
      <c r="D666" s="15">
        <f>IFERROR(__xludf.DUMMYFUNCTION("""COMPUTED_VALUE"""),1.013)</f>
        <v>1.013</v>
      </c>
      <c r="E666" s="16">
        <f>IFERROR(__xludf.DUMMYFUNCTION("""COMPUTED_VALUE"""),65.0)</f>
        <v>65</v>
      </c>
      <c r="F666" s="19" t="str">
        <f>IFERROR(__xludf.DUMMYFUNCTION("""COMPUTED_VALUE"""),"BLACK")</f>
        <v>BLACK</v>
      </c>
      <c r="G666" s="20" t="str">
        <f>IFERROR(__xludf.DUMMYFUNCTION("""COMPUTED_VALUE"""),"Tap 6 Clone (10/15/2021)")</f>
        <v>Tap 6 Clone (10/15/2021)</v>
      </c>
      <c r="H666" s="19"/>
    </row>
    <row r="667">
      <c r="A667" s="9"/>
      <c r="B667" s="15"/>
      <c r="C667" s="9">
        <f>IFERROR(__xludf.DUMMYFUNCTION("""COMPUTED_VALUE"""),44504.75862)</f>
        <v>44504.75862</v>
      </c>
      <c r="D667" s="15">
        <f>IFERROR(__xludf.DUMMYFUNCTION("""COMPUTED_VALUE"""),1.013)</f>
        <v>1.013</v>
      </c>
      <c r="E667" s="16">
        <f>IFERROR(__xludf.DUMMYFUNCTION("""COMPUTED_VALUE"""),65.0)</f>
        <v>65</v>
      </c>
      <c r="F667" s="19" t="str">
        <f>IFERROR(__xludf.DUMMYFUNCTION("""COMPUTED_VALUE"""),"BLACK")</f>
        <v>BLACK</v>
      </c>
      <c r="G667" s="20" t="str">
        <f>IFERROR(__xludf.DUMMYFUNCTION("""COMPUTED_VALUE"""),"Tap 6 Clone (10/15/2021)")</f>
        <v>Tap 6 Clone (10/15/2021)</v>
      </c>
      <c r="H667" s="19"/>
    </row>
    <row r="668">
      <c r="A668" s="9"/>
      <c r="B668" s="15"/>
      <c r="C668" s="9">
        <f>IFERROR(__xludf.DUMMYFUNCTION("""COMPUTED_VALUE"""),44504.7481959722)</f>
        <v>44504.7482</v>
      </c>
      <c r="D668" s="15">
        <f>IFERROR(__xludf.DUMMYFUNCTION("""COMPUTED_VALUE"""),1.013)</f>
        <v>1.013</v>
      </c>
      <c r="E668" s="16">
        <f>IFERROR(__xludf.DUMMYFUNCTION("""COMPUTED_VALUE"""),65.0)</f>
        <v>65</v>
      </c>
      <c r="F668" s="19" t="str">
        <f>IFERROR(__xludf.DUMMYFUNCTION("""COMPUTED_VALUE"""),"BLACK")</f>
        <v>BLACK</v>
      </c>
      <c r="G668" s="20" t="str">
        <f>IFERROR(__xludf.DUMMYFUNCTION("""COMPUTED_VALUE"""),"Tap 6 Clone (10/15/2021)")</f>
        <v>Tap 6 Clone (10/15/2021)</v>
      </c>
      <c r="H668" s="19"/>
    </row>
    <row r="669">
      <c r="A669" s="9"/>
      <c r="B669" s="15"/>
      <c r="C669" s="9">
        <f>IFERROR(__xludf.DUMMYFUNCTION("""COMPUTED_VALUE"""),44504.7377644791)</f>
        <v>44504.73776</v>
      </c>
      <c r="D669" s="15">
        <f>IFERROR(__xludf.DUMMYFUNCTION("""COMPUTED_VALUE"""),1.013)</f>
        <v>1.013</v>
      </c>
      <c r="E669" s="16">
        <f>IFERROR(__xludf.DUMMYFUNCTION("""COMPUTED_VALUE"""),65.0)</f>
        <v>65</v>
      </c>
      <c r="F669" s="19" t="str">
        <f>IFERROR(__xludf.DUMMYFUNCTION("""COMPUTED_VALUE"""),"BLACK")</f>
        <v>BLACK</v>
      </c>
      <c r="G669" s="20" t="str">
        <f>IFERROR(__xludf.DUMMYFUNCTION("""COMPUTED_VALUE"""),"Tap 6 Clone (10/15/2021)")</f>
        <v>Tap 6 Clone (10/15/2021)</v>
      </c>
      <c r="H669" s="19"/>
    </row>
    <row r="670">
      <c r="A670" s="9"/>
      <c r="B670" s="15"/>
      <c r="C670" s="9">
        <f>IFERROR(__xludf.DUMMYFUNCTION("""COMPUTED_VALUE"""),44504.7273418634)</f>
        <v>44504.72734</v>
      </c>
      <c r="D670" s="15">
        <f>IFERROR(__xludf.DUMMYFUNCTION("""COMPUTED_VALUE"""),1.013)</f>
        <v>1.013</v>
      </c>
      <c r="E670" s="16">
        <f>IFERROR(__xludf.DUMMYFUNCTION("""COMPUTED_VALUE"""),65.0)</f>
        <v>65</v>
      </c>
      <c r="F670" s="19" t="str">
        <f>IFERROR(__xludf.DUMMYFUNCTION("""COMPUTED_VALUE"""),"BLACK")</f>
        <v>BLACK</v>
      </c>
      <c r="G670" s="20" t="str">
        <f>IFERROR(__xludf.DUMMYFUNCTION("""COMPUTED_VALUE"""),"Tap 6 Clone (10/15/2021)")</f>
        <v>Tap 6 Clone (10/15/2021)</v>
      </c>
      <c r="H670" s="19"/>
    </row>
    <row r="671">
      <c r="A671" s="9"/>
      <c r="B671" s="15"/>
      <c r="C671" s="9">
        <f>IFERROR(__xludf.DUMMYFUNCTION("""COMPUTED_VALUE"""),44504.7169090162)</f>
        <v>44504.71691</v>
      </c>
      <c r="D671" s="15">
        <f>IFERROR(__xludf.DUMMYFUNCTION("""COMPUTED_VALUE"""),1.013)</f>
        <v>1.013</v>
      </c>
      <c r="E671" s="16">
        <f>IFERROR(__xludf.DUMMYFUNCTION("""COMPUTED_VALUE"""),65.0)</f>
        <v>65</v>
      </c>
      <c r="F671" s="19" t="str">
        <f>IFERROR(__xludf.DUMMYFUNCTION("""COMPUTED_VALUE"""),"BLACK")</f>
        <v>BLACK</v>
      </c>
      <c r="G671" s="20" t="str">
        <f>IFERROR(__xludf.DUMMYFUNCTION("""COMPUTED_VALUE"""),"Tap 6 Clone (10/15/2021)")</f>
        <v>Tap 6 Clone (10/15/2021)</v>
      </c>
      <c r="H671" s="19"/>
    </row>
    <row r="672">
      <c r="A672" s="9"/>
      <c r="B672" s="15"/>
      <c r="C672" s="9">
        <f>IFERROR(__xludf.DUMMYFUNCTION("""COMPUTED_VALUE"""),44504.7064747569)</f>
        <v>44504.70647</v>
      </c>
      <c r="D672" s="15">
        <f>IFERROR(__xludf.DUMMYFUNCTION("""COMPUTED_VALUE"""),1.013)</f>
        <v>1.013</v>
      </c>
      <c r="E672" s="16">
        <f>IFERROR(__xludf.DUMMYFUNCTION("""COMPUTED_VALUE"""),65.0)</f>
        <v>65</v>
      </c>
      <c r="F672" s="19" t="str">
        <f>IFERROR(__xludf.DUMMYFUNCTION("""COMPUTED_VALUE"""),"BLACK")</f>
        <v>BLACK</v>
      </c>
      <c r="G672" s="20" t="str">
        <f>IFERROR(__xludf.DUMMYFUNCTION("""COMPUTED_VALUE"""),"Tap 6 Clone (10/15/2021)")</f>
        <v>Tap 6 Clone (10/15/2021)</v>
      </c>
      <c r="H672" s="19"/>
    </row>
    <row r="673">
      <c r="A673" s="9"/>
      <c r="B673" s="15"/>
      <c r="C673" s="9">
        <f>IFERROR(__xludf.DUMMYFUNCTION("""COMPUTED_VALUE"""),44504.6960537847)</f>
        <v>44504.69605</v>
      </c>
      <c r="D673" s="15">
        <f>IFERROR(__xludf.DUMMYFUNCTION("""COMPUTED_VALUE"""),1.013)</f>
        <v>1.013</v>
      </c>
      <c r="E673" s="16">
        <f>IFERROR(__xludf.DUMMYFUNCTION("""COMPUTED_VALUE"""),65.0)</f>
        <v>65</v>
      </c>
      <c r="F673" s="19" t="str">
        <f>IFERROR(__xludf.DUMMYFUNCTION("""COMPUTED_VALUE"""),"BLACK")</f>
        <v>BLACK</v>
      </c>
      <c r="G673" s="20" t="str">
        <f>IFERROR(__xludf.DUMMYFUNCTION("""COMPUTED_VALUE"""),"Tap 6 Clone (10/15/2021)")</f>
        <v>Tap 6 Clone (10/15/2021)</v>
      </c>
      <c r="H673" s="19"/>
    </row>
    <row r="674">
      <c r="A674" s="9"/>
      <c r="B674" s="15"/>
      <c r="C674" s="9">
        <f>IFERROR(__xludf.DUMMYFUNCTION("""COMPUTED_VALUE"""),44504.6856347337)</f>
        <v>44504.68563</v>
      </c>
      <c r="D674" s="15">
        <f>IFERROR(__xludf.DUMMYFUNCTION("""COMPUTED_VALUE"""),1.013)</f>
        <v>1.013</v>
      </c>
      <c r="E674" s="16">
        <f>IFERROR(__xludf.DUMMYFUNCTION("""COMPUTED_VALUE"""),65.0)</f>
        <v>65</v>
      </c>
      <c r="F674" s="19" t="str">
        <f>IFERROR(__xludf.DUMMYFUNCTION("""COMPUTED_VALUE"""),"BLACK")</f>
        <v>BLACK</v>
      </c>
      <c r="G674" s="20" t="str">
        <f>IFERROR(__xludf.DUMMYFUNCTION("""COMPUTED_VALUE"""),"Tap 6 Clone (10/15/2021)")</f>
        <v>Tap 6 Clone (10/15/2021)</v>
      </c>
      <c r="H674" s="19"/>
    </row>
    <row r="675">
      <c r="A675" s="9"/>
      <c r="B675" s="15"/>
      <c r="C675" s="9">
        <f>IFERROR(__xludf.DUMMYFUNCTION("""COMPUTED_VALUE"""),44504.675213912)</f>
        <v>44504.67521</v>
      </c>
      <c r="D675" s="15">
        <f>IFERROR(__xludf.DUMMYFUNCTION("""COMPUTED_VALUE"""),1.013)</f>
        <v>1.013</v>
      </c>
      <c r="E675" s="16">
        <f>IFERROR(__xludf.DUMMYFUNCTION("""COMPUTED_VALUE"""),65.0)</f>
        <v>65</v>
      </c>
      <c r="F675" s="19" t="str">
        <f>IFERROR(__xludf.DUMMYFUNCTION("""COMPUTED_VALUE"""),"BLACK")</f>
        <v>BLACK</v>
      </c>
      <c r="G675" s="20" t="str">
        <f>IFERROR(__xludf.DUMMYFUNCTION("""COMPUTED_VALUE"""),"Tap 6 Clone (10/15/2021)")</f>
        <v>Tap 6 Clone (10/15/2021)</v>
      </c>
      <c r="H675" s="19"/>
    </row>
    <row r="676">
      <c r="A676" s="9"/>
      <c r="B676" s="15"/>
      <c r="C676" s="9">
        <f>IFERROR(__xludf.DUMMYFUNCTION("""COMPUTED_VALUE"""),44504.6647926967)</f>
        <v>44504.66479</v>
      </c>
      <c r="D676" s="15">
        <f>IFERROR(__xludf.DUMMYFUNCTION("""COMPUTED_VALUE"""),1.013)</f>
        <v>1.013</v>
      </c>
      <c r="E676" s="16">
        <f>IFERROR(__xludf.DUMMYFUNCTION("""COMPUTED_VALUE"""),65.0)</f>
        <v>65</v>
      </c>
      <c r="F676" s="19" t="str">
        <f>IFERROR(__xludf.DUMMYFUNCTION("""COMPUTED_VALUE"""),"BLACK")</f>
        <v>BLACK</v>
      </c>
      <c r="G676" s="20" t="str">
        <f>IFERROR(__xludf.DUMMYFUNCTION("""COMPUTED_VALUE"""),"Tap 6 Clone (10/15/2021)")</f>
        <v>Tap 6 Clone (10/15/2021)</v>
      </c>
      <c r="H676" s="19"/>
    </row>
    <row r="677">
      <c r="A677" s="9"/>
      <c r="B677" s="15"/>
      <c r="C677" s="9">
        <f>IFERROR(__xludf.DUMMYFUNCTION("""COMPUTED_VALUE"""),44504.6543689236)</f>
        <v>44504.65437</v>
      </c>
      <c r="D677" s="15">
        <f>IFERROR(__xludf.DUMMYFUNCTION("""COMPUTED_VALUE"""),1.013)</f>
        <v>1.013</v>
      </c>
      <c r="E677" s="16">
        <f>IFERROR(__xludf.DUMMYFUNCTION("""COMPUTED_VALUE"""),65.0)</f>
        <v>65</v>
      </c>
      <c r="F677" s="19" t="str">
        <f>IFERROR(__xludf.DUMMYFUNCTION("""COMPUTED_VALUE"""),"BLACK")</f>
        <v>BLACK</v>
      </c>
      <c r="G677" s="20" t="str">
        <f>IFERROR(__xludf.DUMMYFUNCTION("""COMPUTED_VALUE"""),"Tap 6 Clone (10/15/2021)")</f>
        <v>Tap 6 Clone (10/15/2021)</v>
      </c>
      <c r="H677" s="19"/>
    </row>
    <row r="678">
      <c r="A678" s="9"/>
      <c r="B678" s="15"/>
      <c r="C678" s="9">
        <f>IFERROR(__xludf.DUMMYFUNCTION("""COMPUTED_VALUE"""),44504.6439477777)</f>
        <v>44504.64395</v>
      </c>
      <c r="D678" s="15">
        <f>IFERROR(__xludf.DUMMYFUNCTION("""COMPUTED_VALUE"""),1.013)</f>
        <v>1.013</v>
      </c>
      <c r="E678" s="16">
        <f>IFERROR(__xludf.DUMMYFUNCTION("""COMPUTED_VALUE"""),65.0)</f>
        <v>65</v>
      </c>
      <c r="F678" s="19" t="str">
        <f>IFERROR(__xludf.DUMMYFUNCTION("""COMPUTED_VALUE"""),"BLACK")</f>
        <v>BLACK</v>
      </c>
      <c r="G678" s="20" t="str">
        <f>IFERROR(__xludf.DUMMYFUNCTION("""COMPUTED_VALUE"""),"Tap 6 Clone (10/15/2021)")</f>
        <v>Tap 6 Clone (10/15/2021)</v>
      </c>
      <c r="H678" s="19"/>
    </row>
    <row r="679">
      <c r="A679" s="9"/>
      <c r="B679" s="15"/>
      <c r="C679" s="9">
        <f>IFERROR(__xludf.DUMMYFUNCTION("""COMPUTED_VALUE"""),44504.6335263194)</f>
        <v>44504.63353</v>
      </c>
      <c r="D679" s="15">
        <f>IFERROR(__xludf.DUMMYFUNCTION("""COMPUTED_VALUE"""),1.013)</f>
        <v>1.013</v>
      </c>
      <c r="E679" s="16">
        <f>IFERROR(__xludf.DUMMYFUNCTION("""COMPUTED_VALUE"""),65.0)</f>
        <v>65</v>
      </c>
      <c r="F679" s="19" t="str">
        <f>IFERROR(__xludf.DUMMYFUNCTION("""COMPUTED_VALUE"""),"BLACK")</f>
        <v>BLACK</v>
      </c>
      <c r="G679" s="20" t="str">
        <f>IFERROR(__xludf.DUMMYFUNCTION("""COMPUTED_VALUE"""),"Tap 6 Clone (10/15/2021)")</f>
        <v>Tap 6 Clone (10/15/2021)</v>
      </c>
      <c r="H679" s="19"/>
    </row>
    <row r="680">
      <c r="A680" s="9"/>
      <c r="B680" s="15"/>
      <c r="C680" s="9">
        <f>IFERROR(__xludf.DUMMYFUNCTION("""COMPUTED_VALUE"""),44504.6230932176)</f>
        <v>44504.62309</v>
      </c>
      <c r="D680" s="15">
        <f>IFERROR(__xludf.DUMMYFUNCTION("""COMPUTED_VALUE"""),1.013)</f>
        <v>1.013</v>
      </c>
      <c r="E680" s="16">
        <f>IFERROR(__xludf.DUMMYFUNCTION("""COMPUTED_VALUE"""),65.0)</f>
        <v>65</v>
      </c>
      <c r="F680" s="19" t="str">
        <f>IFERROR(__xludf.DUMMYFUNCTION("""COMPUTED_VALUE"""),"BLACK")</f>
        <v>BLACK</v>
      </c>
      <c r="G680" s="20" t="str">
        <f>IFERROR(__xludf.DUMMYFUNCTION("""COMPUTED_VALUE"""),"Tap 6 Clone (10/15/2021)")</f>
        <v>Tap 6 Clone (10/15/2021)</v>
      </c>
      <c r="H680" s="19"/>
    </row>
    <row r="681">
      <c r="A681" s="9"/>
      <c r="B681" s="15"/>
      <c r="C681" s="9">
        <f>IFERROR(__xludf.DUMMYFUNCTION("""COMPUTED_VALUE"""),44504.612672743)</f>
        <v>44504.61267</v>
      </c>
      <c r="D681" s="15">
        <f>IFERROR(__xludf.DUMMYFUNCTION("""COMPUTED_VALUE"""),1.013)</f>
        <v>1.013</v>
      </c>
      <c r="E681" s="16">
        <f>IFERROR(__xludf.DUMMYFUNCTION("""COMPUTED_VALUE"""),65.0)</f>
        <v>65</v>
      </c>
      <c r="F681" s="19" t="str">
        <f>IFERROR(__xludf.DUMMYFUNCTION("""COMPUTED_VALUE"""),"BLACK")</f>
        <v>BLACK</v>
      </c>
      <c r="G681" s="20" t="str">
        <f>IFERROR(__xludf.DUMMYFUNCTION("""COMPUTED_VALUE"""),"Tap 6 Clone (10/15/2021)")</f>
        <v>Tap 6 Clone (10/15/2021)</v>
      </c>
      <c r="H681" s="19"/>
    </row>
    <row r="682">
      <c r="A682" s="9"/>
      <c r="B682" s="15"/>
      <c r="C682" s="9">
        <f>IFERROR(__xludf.DUMMYFUNCTION("""COMPUTED_VALUE"""),44504.6022505671)</f>
        <v>44504.60225</v>
      </c>
      <c r="D682" s="15">
        <f>IFERROR(__xludf.DUMMYFUNCTION("""COMPUTED_VALUE"""),1.013)</f>
        <v>1.013</v>
      </c>
      <c r="E682" s="16">
        <f>IFERROR(__xludf.DUMMYFUNCTION("""COMPUTED_VALUE"""),65.0)</f>
        <v>65</v>
      </c>
      <c r="F682" s="19" t="str">
        <f>IFERROR(__xludf.DUMMYFUNCTION("""COMPUTED_VALUE"""),"BLACK")</f>
        <v>BLACK</v>
      </c>
      <c r="G682" s="20" t="str">
        <f>IFERROR(__xludf.DUMMYFUNCTION("""COMPUTED_VALUE"""),"Tap 6 Clone (10/15/2021)")</f>
        <v>Tap 6 Clone (10/15/2021)</v>
      </c>
      <c r="H682" s="19"/>
    </row>
    <row r="683">
      <c r="A683" s="9"/>
      <c r="B683" s="15"/>
      <c r="C683" s="9">
        <f>IFERROR(__xludf.DUMMYFUNCTION("""COMPUTED_VALUE"""),44504.5918292824)</f>
        <v>44504.59183</v>
      </c>
      <c r="D683" s="15">
        <f>IFERROR(__xludf.DUMMYFUNCTION("""COMPUTED_VALUE"""),1.013)</f>
        <v>1.013</v>
      </c>
      <c r="E683" s="16">
        <f>IFERROR(__xludf.DUMMYFUNCTION("""COMPUTED_VALUE"""),65.0)</f>
        <v>65</v>
      </c>
      <c r="F683" s="19" t="str">
        <f>IFERROR(__xludf.DUMMYFUNCTION("""COMPUTED_VALUE"""),"BLACK")</f>
        <v>BLACK</v>
      </c>
      <c r="G683" s="20" t="str">
        <f>IFERROR(__xludf.DUMMYFUNCTION("""COMPUTED_VALUE"""),"Tap 6 Clone (10/15/2021)")</f>
        <v>Tap 6 Clone (10/15/2021)</v>
      </c>
      <c r="H683" s="19"/>
    </row>
    <row r="684">
      <c r="A684" s="9"/>
      <c r="B684" s="15"/>
      <c r="C684" s="9">
        <f>IFERROR(__xludf.DUMMYFUNCTION("""COMPUTED_VALUE"""),44504.5814086111)</f>
        <v>44504.58141</v>
      </c>
      <c r="D684" s="15">
        <f>IFERROR(__xludf.DUMMYFUNCTION("""COMPUTED_VALUE"""),1.013)</f>
        <v>1.013</v>
      </c>
      <c r="E684" s="16">
        <f>IFERROR(__xludf.DUMMYFUNCTION("""COMPUTED_VALUE"""),65.0)</f>
        <v>65</v>
      </c>
      <c r="F684" s="19" t="str">
        <f>IFERROR(__xludf.DUMMYFUNCTION("""COMPUTED_VALUE"""),"BLACK")</f>
        <v>BLACK</v>
      </c>
      <c r="G684" s="20" t="str">
        <f>IFERROR(__xludf.DUMMYFUNCTION("""COMPUTED_VALUE"""),"Tap 6 Clone (10/15/2021)")</f>
        <v>Tap 6 Clone (10/15/2021)</v>
      </c>
      <c r="H684" s="19"/>
    </row>
    <row r="685">
      <c r="A685" s="9"/>
      <c r="B685" s="15"/>
      <c r="C685" s="9">
        <f>IFERROR(__xludf.DUMMYFUNCTION("""COMPUTED_VALUE"""),44504.5709879166)</f>
        <v>44504.57099</v>
      </c>
      <c r="D685" s="15">
        <f>IFERROR(__xludf.DUMMYFUNCTION("""COMPUTED_VALUE"""),1.013)</f>
        <v>1.013</v>
      </c>
      <c r="E685" s="16">
        <f>IFERROR(__xludf.DUMMYFUNCTION("""COMPUTED_VALUE"""),65.0)</f>
        <v>65</v>
      </c>
      <c r="F685" s="19" t="str">
        <f>IFERROR(__xludf.DUMMYFUNCTION("""COMPUTED_VALUE"""),"BLACK")</f>
        <v>BLACK</v>
      </c>
      <c r="G685" s="20" t="str">
        <f>IFERROR(__xludf.DUMMYFUNCTION("""COMPUTED_VALUE"""),"Tap 6 Clone (10/15/2021)")</f>
        <v>Tap 6 Clone (10/15/2021)</v>
      </c>
      <c r="H685" s="19"/>
    </row>
    <row r="686">
      <c r="A686" s="9"/>
      <c r="B686" s="15"/>
      <c r="C686" s="9">
        <f>IFERROR(__xludf.DUMMYFUNCTION("""COMPUTED_VALUE"""),44504.5605649652)</f>
        <v>44504.56056</v>
      </c>
      <c r="D686" s="15">
        <f>IFERROR(__xludf.DUMMYFUNCTION("""COMPUTED_VALUE"""),1.013)</f>
        <v>1.013</v>
      </c>
      <c r="E686" s="16">
        <f>IFERROR(__xludf.DUMMYFUNCTION("""COMPUTED_VALUE"""),65.0)</f>
        <v>65</v>
      </c>
      <c r="F686" s="19" t="str">
        <f>IFERROR(__xludf.DUMMYFUNCTION("""COMPUTED_VALUE"""),"BLACK")</f>
        <v>BLACK</v>
      </c>
      <c r="G686" s="20" t="str">
        <f>IFERROR(__xludf.DUMMYFUNCTION("""COMPUTED_VALUE"""),"Tap 6 Clone (10/15/2021)")</f>
        <v>Tap 6 Clone (10/15/2021)</v>
      </c>
      <c r="H686" s="19"/>
    </row>
    <row r="687">
      <c r="A687" s="9"/>
      <c r="B687" s="15"/>
      <c r="C687" s="9">
        <f>IFERROR(__xludf.DUMMYFUNCTION("""COMPUTED_VALUE"""),44504.5501308564)</f>
        <v>44504.55013</v>
      </c>
      <c r="D687" s="15">
        <f>IFERROR(__xludf.DUMMYFUNCTION("""COMPUTED_VALUE"""),1.013)</f>
        <v>1.013</v>
      </c>
      <c r="E687" s="16">
        <f>IFERROR(__xludf.DUMMYFUNCTION("""COMPUTED_VALUE"""),65.0)</f>
        <v>65</v>
      </c>
      <c r="F687" s="19" t="str">
        <f>IFERROR(__xludf.DUMMYFUNCTION("""COMPUTED_VALUE"""),"BLACK")</f>
        <v>BLACK</v>
      </c>
      <c r="G687" s="20" t="str">
        <f>IFERROR(__xludf.DUMMYFUNCTION("""COMPUTED_VALUE"""),"Tap 6 Clone (10/15/2021)")</f>
        <v>Tap 6 Clone (10/15/2021)</v>
      </c>
      <c r="H687" s="19"/>
    </row>
    <row r="688">
      <c r="A688" s="9"/>
      <c r="B688" s="15"/>
      <c r="C688" s="9">
        <f>IFERROR(__xludf.DUMMYFUNCTION("""COMPUTED_VALUE"""),44504.5397095138)</f>
        <v>44504.53971</v>
      </c>
      <c r="D688" s="15">
        <f>IFERROR(__xludf.DUMMYFUNCTION("""COMPUTED_VALUE"""),1.013)</f>
        <v>1.013</v>
      </c>
      <c r="E688" s="16">
        <f>IFERROR(__xludf.DUMMYFUNCTION("""COMPUTED_VALUE"""),65.0)</f>
        <v>65</v>
      </c>
      <c r="F688" s="19" t="str">
        <f>IFERROR(__xludf.DUMMYFUNCTION("""COMPUTED_VALUE"""),"BLACK")</f>
        <v>BLACK</v>
      </c>
      <c r="G688" s="20" t="str">
        <f>IFERROR(__xludf.DUMMYFUNCTION("""COMPUTED_VALUE"""),"Tap 6 Clone (10/15/2021)")</f>
        <v>Tap 6 Clone (10/15/2021)</v>
      </c>
      <c r="H688" s="19"/>
    </row>
    <row r="689">
      <c r="A689" s="9"/>
      <c r="B689" s="15"/>
      <c r="C689" s="9">
        <f>IFERROR(__xludf.DUMMYFUNCTION("""COMPUTED_VALUE"""),44504.5292778356)</f>
        <v>44504.52928</v>
      </c>
      <c r="D689" s="15">
        <f>IFERROR(__xludf.DUMMYFUNCTION("""COMPUTED_VALUE"""),1.013)</f>
        <v>1.013</v>
      </c>
      <c r="E689" s="16">
        <f>IFERROR(__xludf.DUMMYFUNCTION("""COMPUTED_VALUE"""),65.0)</f>
        <v>65</v>
      </c>
      <c r="F689" s="19" t="str">
        <f>IFERROR(__xludf.DUMMYFUNCTION("""COMPUTED_VALUE"""),"BLACK")</f>
        <v>BLACK</v>
      </c>
      <c r="G689" s="20" t="str">
        <f>IFERROR(__xludf.DUMMYFUNCTION("""COMPUTED_VALUE"""),"Tap 6 Clone (10/15/2021)")</f>
        <v>Tap 6 Clone (10/15/2021)</v>
      </c>
      <c r="H689" s="19"/>
    </row>
    <row r="690">
      <c r="A690" s="9"/>
      <c r="B690" s="15"/>
      <c r="C690" s="9">
        <f>IFERROR(__xludf.DUMMYFUNCTION("""COMPUTED_VALUE"""),44504.5188557986)</f>
        <v>44504.51886</v>
      </c>
      <c r="D690" s="15">
        <f>IFERROR(__xludf.DUMMYFUNCTION("""COMPUTED_VALUE"""),1.013)</f>
        <v>1.013</v>
      </c>
      <c r="E690" s="16">
        <f>IFERROR(__xludf.DUMMYFUNCTION("""COMPUTED_VALUE"""),65.0)</f>
        <v>65</v>
      </c>
      <c r="F690" s="19" t="str">
        <f>IFERROR(__xludf.DUMMYFUNCTION("""COMPUTED_VALUE"""),"BLACK")</f>
        <v>BLACK</v>
      </c>
      <c r="G690" s="20" t="str">
        <f>IFERROR(__xludf.DUMMYFUNCTION("""COMPUTED_VALUE"""),"Tap 6 Clone (10/15/2021)")</f>
        <v>Tap 6 Clone (10/15/2021)</v>
      </c>
      <c r="H690" s="19"/>
    </row>
    <row r="691">
      <c r="A691" s="9"/>
      <c r="B691" s="15"/>
      <c r="C691" s="9">
        <f>IFERROR(__xludf.DUMMYFUNCTION("""COMPUTED_VALUE"""),44504.5084343287)</f>
        <v>44504.50843</v>
      </c>
      <c r="D691" s="15">
        <f>IFERROR(__xludf.DUMMYFUNCTION("""COMPUTED_VALUE"""),1.013)</f>
        <v>1.013</v>
      </c>
      <c r="E691" s="16">
        <f>IFERROR(__xludf.DUMMYFUNCTION("""COMPUTED_VALUE"""),65.0)</f>
        <v>65</v>
      </c>
      <c r="F691" s="19" t="str">
        <f>IFERROR(__xludf.DUMMYFUNCTION("""COMPUTED_VALUE"""),"BLACK")</f>
        <v>BLACK</v>
      </c>
      <c r="G691" s="20" t="str">
        <f>IFERROR(__xludf.DUMMYFUNCTION("""COMPUTED_VALUE"""),"Tap 6 Clone (10/15/2021)")</f>
        <v>Tap 6 Clone (10/15/2021)</v>
      </c>
      <c r="H691" s="19"/>
    </row>
    <row r="692">
      <c r="A692" s="9"/>
      <c r="B692" s="15"/>
      <c r="C692" s="9">
        <f>IFERROR(__xludf.DUMMYFUNCTION("""COMPUTED_VALUE"""),44504.4980129861)</f>
        <v>44504.49801</v>
      </c>
      <c r="D692" s="15">
        <f>IFERROR(__xludf.DUMMYFUNCTION("""COMPUTED_VALUE"""),1.013)</f>
        <v>1.013</v>
      </c>
      <c r="E692" s="16">
        <f>IFERROR(__xludf.DUMMYFUNCTION("""COMPUTED_VALUE"""),65.0)</f>
        <v>65</v>
      </c>
      <c r="F692" s="19" t="str">
        <f>IFERROR(__xludf.DUMMYFUNCTION("""COMPUTED_VALUE"""),"BLACK")</f>
        <v>BLACK</v>
      </c>
      <c r="G692" s="20" t="str">
        <f>IFERROR(__xludf.DUMMYFUNCTION("""COMPUTED_VALUE"""),"Tap 6 Clone (10/15/2021)")</f>
        <v>Tap 6 Clone (10/15/2021)</v>
      </c>
      <c r="H692" s="19"/>
    </row>
    <row r="693">
      <c r="A693" s="9"/>
      <c r="B693" s="15"/>
      <c r="C693" s="9">
        <f>IFERROR(__xludf.DUMMYFUNCTION("""COMPUTED_VALUE"""),44504.4875920949)</f>
        <v>44504.48759</v>
      </c>
      <c r="D693" s="15">
        <f>IFERROR(__xludf.DUMMYFUNCTION("""COMPUTED_VALUE"""),1.013)</f>
        <v>1.013</v>
      </c>
      <c r="E693" s="16">
        <f>IFERROR(__xludf.DUMMYFUNCTION("""COMPUTED_VALUE"""),65.0)</f>
        <v>65</v>
      </c>
      <c r="F693" s="19" t="str">
        <f>IFERROR(__xludf.DUMMYFUNCTION("""COMPUTED_VALUE"""),"BLACK")</f>
        <v>BLACK</v>
      </c>
      <c r="G693" s="20" t="str">
        <f>IFERROR(__xludf.DUMMYFUNCTION("""COMPUTED_VALUE"""),"Tap 6 Clone (10/15/2021)")</f>
        <v>Tap 6 Clone (10/15/2021)</v>
      </c>
      <c r="H693" s="19"/>
    </row>
    <row r="694">
      <c r="A694" s="9"/>
      <c r="B694" s="15"/>
      <c r="C694" s="9">
        <f>IFERROR(__xludf.DUMMYFUNCTION("""COMPUTED_VALUE"""),44504.4771691898)</f>
        <v>44504.47717</v>
      </c>
      <c r="D694" s="15">
        <f>IFERROR(__xludf.DUMMYFUNCTION("""COMPUTED_VALUE"""),1.013)</f>
        <v>1.013</v>
      </c>
      <c r="E694" s="16">
        <f>IFERROR(__xludf.DUMMYFUNCTION("""COMPUTED_VALUE"""),65.0)</f>
        <v>65</v>
      </c>
      <c r="F694" s="19" t="str">
        <f>IFERROR(__xludf.DUMMYFUNCTION("""COMPUTED_VALUE"""),"BLACK")</f>
        <v>BLACK</v>
      </c>
      <c r="G694" s="20" t="str">
        <f>IFERROR(__xludf.DUMMYFUNCTION("""COMPUTED_VALUE"""),"Tap 6 Clone (10/15/2021)")</f>
        <v>Tap 6 Clone (10/15/2021)</v>
      </c>
      <c r="H694" s="19"/>
    </row>
    <row r="695">
      <c r="A695" s="9"/>
      <c r="B695" s="15"/>
      <c r="C695" s="9">
        <f>IFERROR(__xludf.DUMMYFUNCTION("""COMPUTED_VALUE"""),44504.4667487152)</f>
        <v>44504.46675</v>
      </c>
      <c r="D695" s="15">
        <f>IFERROR(__xludf.DUMMYFUNCTION("""COMPUTED_VALUE"""),1.013)</f>
        <v>1.013</v>
      </c>
      <c r="E695" s="16">
        <f>IFERROR(__xludf.DUMMYFUNCTION("""COMPUTED_VALUE"""),65.0)</f>
        <v>65</v>
      </c>
      <c r="F695" s="19" t="str">
        <f>IFERROR(__xludf.DUMMYFUNCTION("""COMPUTED_VALUE"""),"BLACK")</f>
        <v>BLACK</v>
      </c>
      <c r="G695" s="20" t="str">
        <f>IFERROR(__xludf.DUMMYFUNCTION("""COMPUTED_VALUE"""),"Tap 6 Clone (10/15/2021)")</f>
        <v>Tap 6 Clone (10/15/2021)</v>
      </c>
      <c r="H695" s="19"/>
    </row>
    <row r="696">
      <c r="A696" s="9"/>
      <c r="B696" s="15"/>
      <c r="C696" s="9">
        <f>IFERROR(__xludf.DUMMYFUNCTION("""COMPUTED_VALUE"""),44504.4563288541)</f>
        <v>44504.45633</v>
      </c>
      <c r="D696" s="15">
        <f>IFERROR(__xludf.DUMMYFUNCTION("""COMPUTED_VALUE"""),1.013)</f>
        <v>1.013</v>
      </c>
      <c r="E696" s="16">
        <f>IFERROR(__xludf.DUMMYFUNCTION("""COMPUTED_VALUE"""),65.0)</f>
        <v>65</v>
      </c>
      <c r="F696" s="19" t="str">
        <f>IFERROR(__xludf.DUMMYFUNCTION("""COMPUTED_VALUE"""),"BLACK")</f>
        <v>BLACK</v>
      </c>
      <c r="G696" s="20" t="str">
        <f>IFERROR(__xludf.DUMMYFUNCTION("""COMPUTED_VALUE"""),"Tap 6 Clone (10/15/2021)")</f>
        <v>Tap 6 Clone (10/15/2021)</v>
      </c>
      <c r="H696" s="19"/>
    </row>
    <row r="697">
      <c r="A697" s="9"/>
      <c r="B697" s="15"/>
      <c r="C697" s="9">
        <f>IFERROR(__xludf.DUMMYFUNCTION("""COMPUTED_VALUE"""),44504.4459084375)</f>
        <v>44504.44591</v>
      </c>
      <c r="D697" s="15">
        <f>IFERROR(__xludf.DUMMYFUNCTION("""COMPUTED_VALUE"""),1.013)</f>
        <v>1.013</v>
      </c>
      <c r="E697" s="16">
        <f>IFERROR(__xludf.DUMMYFUNCTION("""COMPUTED_VALUE"""),65.0)</f>
        <v>65</v>
      </c>
      <c r="F697" s="19" t="str">
        <f>IFERROR(__xludf.DUMMYFUNCTION("""COMPUTED_VALUE"""),"BLACK")</f>
        <v>BLACK</v>
      </c>
      <c r="G697" s="20" t="str">
        <f>IFERROR(__xludf.DUMMYFUNCTION("""COMPUTED_VALUE"""),"Tap 6 Clone (10/15/2021)")</f>
        <v>Tap 6 Clone (10/15/2021)</v>
      </c>
      <c r="H697" s="19"/>
    </row>
    <row r="698">
      <c r="A698" s="9"/>
      <c r="B698" s="15"/>
      <c r="C698" s="9">
        <f>IFERROR(__xludf.DUMMYFUNCTION("""COMPUTED_VALUE"""),44504.4354881944)</f>
        <v>44504.43549</v>
      </c>
      <c r="D698" s="15">
        <f>IFERROR(__xludf.DUMMYFUNCTION("""COMPUTED_VALUE"""),1.013)</f>
        <v>1.013</v>
      </c>
      <c r="E698" s="16">
        <f>IFERROR(__xludf.DUMMYFUNCTION("""COMPUTED_VALUE"""),65.0)</f>
        <v>65</v>
      </c>
      <c r="F698" s="19" t="str">
        <f>IFERROR(__xludf.DUMMYFUNCTION("""COMPUTED_VALUE"""),"BLACK")</f>
        <v>BLACK</v>
      </c>
      <c r="G698" s="20" t="str">
        <f>IFERROR(__xludf.DUMMYFUNCTION("""COMPUTED_VALUE"""),"Tap 6 Clone (10/15/2021)")</f>
        <v>Tap 6 Clone (10/15/2021)</v>
      </c>
      <c r="H698" s="19"/>
    </row>
    <row r="699">
      <c r="A699" s="9"/>
      <c r="B699" s="15"/>
      <c r="C699" s="9">
        <f>IFERROR(__xludf.DUMMYFUNCTION("""COMPUTED_VALUE"""),44504.4250549537)</f>
        <v>44504.42505</v>
      </c>
      <c r="D699" s="15">
        <f>IFERROR(__xludf.DUMMYFUNCTION("""COMPUTED_VALUE"""),1.013)</f>
        <v>1.013</v>
      </c>
      <c r="E699" s="16">
        <f>IFERROR(__xludf.DUMMYFUNCTION("""COMPUTED_VALUE"""),65.0)</f>
        <v>65</v>
      </c>
      <c r="F699" s="19" t="str">
        <f>IFERROR(__xludf.DUMMYFUNCTION("""COMPUTED_VALUE"""),"BLACK")</f>
        <v>BLACK</v>
      </c>
      <c r="G699" s="20" t="str">
        <f>IFERROR(__xludf.DUMMYFUNCTION("""COMPUTED_VALUE"""),"Tap 6 Clone (10/15/2021)")</f>
        <v>Tap 6 Clone (10/15/2021)</v>
      </c>
      <c r="H699" s="19"/>
    </row>
    <row r="700">
      <c r="A700" s="9"/>
      <c r="B700" s="15"/>
      <c r="C700" s="9">
        <f>IFERROR(__xludf.DUMMYFUNCTION("""COMPUTED_VALUE"""),44504.4146327777)</f>
        <v>44504.41463</v>
      </c>
      <c r="D700" s="15">
        <f>IFERROR(__xludf.DUMMYFUNCTION("""COMPUTED_VALUE"""),1.013)</f>
        <v>1.013</v>
      </c>
      <c r="E700" s="16">
        <f>IFERROR(__xludf.DUMMYFUNCTION("""COMPUTED_VALUE"""),65.0)</f>
        <v>65</v>
      </c>
      <c r="F700" s="19" t="str">
        <f>IFERROR(__xludf.DUMMYFUNCTION("""COMPUTED_VALUE"""),"BLACK")</f>
        <v>BLACK</v>
      </c>
      <c r="G700" s="20" t="str">
        <f>IFERROR(__xludf.DUMMYFUNCTION("""COMPUTED_VALUE"""),"Tap 6 Clone (10/15/2021)")</f>
        <v>Tap 6 Clone (10/15/2021)</v>
      </c>
      <c r="H700" s="19"/>
    </row>
    <row r="701">
      <c r="A701" s="9"/>
      <c r="B701" s="15"/>
      <c r="C701" s="9">
        <f>IFERROR(__xludf.DUMMYFUNCTION("""COMPUTED_VALUE"""),44504.4041987037)</f>
        <v>44504.4042</v>
      </c>
      <c r="D701" s="15">
        <f>IFERROR(__xludf.DUMMYFUNCTION("""COMPUTED_VALUE"""),1.013)</f>
        <v>1.013</v>
      </c>
      <c r="E701" s="16">
        <f>IFERROR(__xludf.DUMMYFUNCTION("""COMPUTED_VALUE"""),65.0)</f>
        <v>65</v>
      </c>
      <c r="F701" s="19" t="str">
        <f>IFERROR(__xludf.DUMMYFUNCTION("""COMPUTED_VALUE"""),"BLACK")</f>
        <v>BLACK</v>
      </c>
      <c r="G701" s="20" t="str">
        <f>IFERROR(__xludf.DUMMYFUNCTION("""COMPUTED_VALUE"""),"Tap 6 Clone (10/15/2021)")</f>
        <v>Tap 6 Clone (10/15/2021)</v>
      </c>
      <c r="H701" s="19"/>
    </row>
    <row r="702">
      <c r="A702" s="9"/>
      <c r="B702" s="15"/>
      <c r="C702" s="9">
        <f>IFERROR(__xludf.DUMMYFUNCTION("""COMPUTED_VALUE"""),44504.3937664814)</f>
        <v>44504.39377</v>
      </c>
      <c r="D702" s="15">
        <f>IFERROR(__xludf.DUMMYFUNCTION("""COMPUTED_VALUE"""),1.013)</f>
        <v>1.013</v>
      </c>
      <c r="E702" s="16">
        <f>IFERROR(__xludf.DUMMYFUNCTION("""COMPUTED_VALUE"""),65.0)</f>
        <v>65</v>
      </c>
      <c r="F702" s="19" t="str">
        <f>IFERROR(__xludf.DUMMYFUNCTION("""COMPUTED_VALUE"""),"BLACK")</f>
        <v>BLACK</v>
      </c>
      <c r="G702" s="20" t="str">
        <f>IFERROR(__xludf.DUMMYFUNCTION("""COMPUTED_VALUE"""),"Tap 6 Clone (10/15/2021)")</f>
        <v>Tap 6 Clone (10/15/2021)</v>
      </c>
      <c r="H702" s="19"/>
    </row>
    <row r="703">
      <c r="A703" s="9"/>
      <c r="B703" s="15"/>
      <c r="C703" s="9">
        <f>IFERROR(__xludf.DUMMYFUNCTION("""COMPUTED_VALUE"""),44504.3833448148)</f>
        <v>44504.38334</v>
      </c>
      <c r="D703" s="15">
        <f>IFERROR(__xludf.DUMMYFUNCTION("""COMPUTED_VALUE"""),1.013)</f>
        <v>1.013</v>
      </c>
      <c r="E703" s="16">
        <f>IFERROR(__xludf.DUMMYFUNCTION("""COMPUTED_VALUE"""),65.0)</f>
        <v>65</v>
      </c>
      <c r="F703" s="19" t="str">
        <f>IFERROR(__xludf.DUMMYFUNCTION("""COMPUTED_VALUE"""),"BLACK")</f>
        <v>BLACK</v>
      </c>
      <c r="G703" s="20" t="str">
        <f>IFERROR(__xludf.DUMMYFUNCTION("""COMPUTED_VALUE"""),"Tap 6 Clone (10/15/2021)")</f>
        <v>Tap 6 Clone (10/15/2021)</v>
      </c>
      <c r="H703" s="19"/>
    </row>
    <row r="704">
      <c r="A704" s="9"/>
      <c r="B704" s="15"/>
      <c r="C704" s="9">
        <f>IFERROR(__xludf.DUMMYFUNCTION("""COMPUTED_VALUE"""),44504.3729216203)</f>
        <v>44504.37292</v>
      </c>
      <c r="D704" s="15">
        <f>IFERROR(__xludf.DUMMYFUNCTION("""COMPUTED_VALUE"""),1.013)</f>
        <v>1.013</v>
      </c>
      <c r="E704" s="16">
        <f>IFERROR(__xludf.DUMMYFUNCTION("""COMPUTED_VALUE"""),65.0)</f>
        <v>65</v>
      </c>
      <c r="F704" s="19" t="str">
        <f>IFERROR(__xludf.DUMMYFUNCTION("""COMPUTED_VALUE"""),"BLACK")</f>
        <v>BLACK</v>
      </c>
      <c r="G704" s="20" t="str">
        <f>IFERROR(__xludf.DUMMYFUNCTION("""COMPUTED_VALUE"""),"Tap 6 Clone (10/15/2021)")</f>
        <v>Tap 6 Clone (10/15/2021)</v>
      </c>
      <c r="H704" s="19"/>
    </row>
    <row r="705">
      <c r="A705" s="9"/>
      <c r="B705" s="15"/>
      <c r="C705" s="9">
        <f>IFERROR(__xludf.DUMMYFUNCTION("""COMPUTED_VALUE"""),44504.362498993)</f>
        <v>44504.3625</v>
      </c>
      <c r="D705" s="15">
        <f>IFERROR(__xludf.DUMMYFUNCTION("""COMPUTED_VALUE"""),1.013)</f>
        <v>1.013</v>
      </c>
      <c r="E705" s="16">
        <f>IFERROR(__xludf.DUMMYFUNCTION("""COMPUTED_VALUE"""),65.0)</f>
        <v>65</v>
      </c>
      <c r="F705" s="19" t="str">
        <f>IFERROR(__xludf.DUMMYFUNCTION("""COMPUTED_VALUE"""),"BLACK")</f>
        <v>BLACK</v>
      </c>
      <c r="G705" s="20" t="str">
        <f>IFERROR(__xludf.DUMMYFUNCTION("""COMPUTED_VALUE"""),"Tap 6 Clone (10/15/2021)")</f>
        <v>Tap 6 Clone (10/15/2021)</v>
      </c>
      <c r="H705" s="19"/>
    </row>
    <row r="706">
      <c r="A706" s="9"/>
      <c r="B706" s="15"/>
      <c r="C706" s="9">
        <f>IFERROR(__xludf.DUMMYFUNCTION("""COMPUTED_VALUE"""),44504.3520782986)</f>
        <v>44504.35208</v>
      </c>
      <c r="D706" s="15">
        <f>IFERROR(__xludf.DUMMYFUNCTION("""COMPUTED_VALUE"""),1.013)</f>
        <v>1.013</v>
      </c>
      <c r="E706" s="16">
        <f>IFERROR(__xludf.DUMMYFUNCTION("""COMPUTED_VALUE"""),65.0)</f>
        <v>65</v>
      </c>
      <c r="F706" s="19" t="str">
        <f>IFERROR(__xludf.DUMMYFUNCTION("""COMPUTED_VALUE"""),"BLACK")</f>
        <v>BLACK</v>
      </c>
      <c r="G706" s="20" t="str">
        <f>IFERROR(__xludf.DUMMYFUNCTION("""COMPUTED_VALUE"""),"Tap 6 Clone (10/15/2021)")</f>
        <v>Tap 6 Clone (10/15/2021)</v>
      </c>
      <c r="H706" s="19"/>
    </row>
    <row r="707">
      <c r="A707" s="9"/>
      <c r="B707" s="15"/>
      <c r="C707" s="9">
        <f>IFERROR(__xludf.DUMMYFUNCTION("""COMPUTED_VALUE"""),44504.3416571527)</f>
        <v>44504.34166</v>
      </c>
      <c r="D707" s="15">
        <f>IFERROR(__xludf.DUMMYFUNCTION("""COMPUTED_VALUE"""),1.013)</f>
        <v>1.013</v>
      </c>
      <c r="E707" s="16">
        <f>IFERROR(__xludf.DUMMYFUNCTION("""COMPUTED_VALUE"""),65.0)</f>
        <v>65</v>
      </c>
      <c r="F707" s="19" t="str">
        <f>IFERROR(__xludf.DUMMYFUNCTION("""COMPUTED_VALUE"""),"BLACK")</f>
        <v>BLACK</v>
      </c>
      <c r="G707" s="20" t="str">
        <f>IFERROR(__xludf.DUMMYFUNCTION("""COMPUTED_VALUE"""),"Tap 6 Clone (10/15/2021)")</f>
        <v>Tap 6 Clone (10/15/2021)</v>
      </c>
      <c r="H707" s="19"/>
    </row>
    <row r="708">
      <c r="A708" s="9"/>
      <c r="B708" s="15"/>
      <c r="C708" s="9">
        <f>IFERROR(__xludf.DUMMYFUNCTION("""COMPUTED_VALUE"""),44504.3312340162)</f>
        <v>44504.33123</v>
      </c>
      <c r="D708" s="15">
        <f>IFERROR(__xludf.DUMMYFUNCTION("""COMPUTED_VALUE"""),1.013)</f>
        <v>1.013</v>
      </c>
      <c r="E708" s="16">
        <f>IFERROR(__xludf.DUMMYFUNCTION("""COMPUTED_VALUE"""),65.0)</f>
        <v>65</v>
      </c>
      <c r="F708" s="19" t="str">
        <f>IFERROR(__xludf.DUMMYFUNCTION("""COMPUTED_VALUE"""),"BLACK")</f>
        <v>BLACK</v>
      </c>
      <c r="G708" s="20" t="str">
        <f>IFERROR(__xludf.DUMMYFUNCTION("""COMPUTED_VALUE"""),"Tap 6 Clone (10/15/2021)")</f>
        <v>Tap 6 Clone (10/15/2021)</v>
      </c>
      <c r="H708" s="19"/>
    </row>
    <row r="709">
      <c r="A709" s="9"/>
      <c r="B709" s="15"/>
      <c r="C709" s="9">
        <f>IFERROR(__xludf.DUMMYFUNCTION("""COMPUTED_VALUE"""),44504.3208140856)</f>
        <v>44504.32081</v>
      </c>
      <c r="D709" s="15">
        <f>IFERROR(__xludf.DUMMYFUNCTION("""COMPUTED_VALUE"""),1.013)</f>
        <v>1.013</v>
      </c>
      <c r="E709" s="16">
        <f>IFERROR(__xludf.DUMMYFUNCTION("""COMPUTED_VALUE"""),65.0)</f>
        <v>65</v>
      </c>
      <c r="F709" s="19" t="str">
        <f>IFERROR(__xludf.DUMMYFUNCTION("""COMPUTED_VALUE"""),"BLACK")</f>
        <v>BLACK</v>
      </c>
      <c r="G709" s="20" t="str">
        <f>IFERROR(__xludf.DUMMYFUNCTION("""COMPUTED_VALUE"""),"Tap 6 Clone (10/15/2021)")</f>
        <v>Tap 6 Clone (10/15/2021)</v>
      </c>
      <c r="H709" s="19"/>
    </row>
    <row r="710">
      <c r="A710" s="9"/>
      <c r="B710" s="15"/>
      <c r="C710" s="9">
        <f>IFERROR(__xludf.DUMMYFUNCTION("""COMPUTED_VALUE"""),44504.3103795833)</f>
        <v>44504.31038</v>
      </c>
      <c r="D710" s="15">
        <f>IFERROR(__xludf.DUMMYFUNCTION("""COMPUTED_VALUE"""),1.013)</f>
        <v>1.013</v>
      </c>
      <c r="E710" s="16">
        <f>IFERROR(__xludf.DUMMYFUNCTION("""COMPUTED_VALUE"""),65.0)</f>
        <v>65</v>
      </c>
      <c r="F710" s="19" t="str">
        <f>IFERROR(__xludf.DUMMYFUNCTION("""COMPUTED_VALUE"""),"BLACK")</f>
        <v>BLACK</v>
      </c>
      <c r="G710" s="20" t="str">
        <f>IFERROR(__xludf.DUMMYFUNCTION("""COMPUTED_VALUE"""),"Tap 6 Clone (10/15/2021)")</f>
        <v>Tap 6 Clone (10/15/2021)</v>
      </c>
      <c r="H710" s="19"/>
    </row>
    <row r="711">
      <c r="A711" s="9"/>
      <c r="B711" s="15"/>
      <c r="C711" s="9">
        <f>IFERROR(__xludf.DUMMYFUNCTION("""COMPUTED_VALUE"""),44504.2999584259)</f>
        <v>44504.29996</v>
      </c>
      <c r="D711" s="15">
        <f>IFERROR(__xludf.DUMMYFUNCTION("""COMPUTED_VALUE"""),1.013)</f>
        <v>1.013</v>
      </c>
      <c r="E711" s="16">
        <f>IFERROR(__xludf.DUMMYFUNCTION("""COMPUTED_VALUE"""),65.0)</f>
        <v>65</v>
      </c>
      <c r="F711" s="19" t="str">
        <f>IFERROR(__xludf.DUMMYFUNCTION("""COMPUTED_VALUE"""),"BLACK")</f>
        <v>BLACK</v>
      </c>
      <c r="G711" s="20" t="str">
        <f>IFERROR(__xludf.DUMMYFUNCTION("""COMPUTED_VALUE"""),"Tap 6 Clone (10/15/2021)")</f>
        <v>Tap 6 Clone (10/15/2021)</v>
      </c>
      <c r="H711" s="19"/>
    </row>
    <row r="712">
      <c r="A712" s="9"/>
      <c r="B712" s="15"/>
      <c r="C712" s="9">
        <f>IFERROR(__xludf.DUMMYFUNCTION("""COMPUTED_VALUE"""),44504.2895268981)</f>
        <v>44504.28953</v>
      </c>
      <c r="D712" s="15">
        <f>IFERROR(__xludf.DUMMYFUNCTION("""COMPUTED_VALUE"""),1.013)</f>
        <v>1.013</v>
      </c>
      <c r="E712" s="16">
        <f>IFERROR(__xludf.DUMMYFUNCTION("""COMPUTED_VALUE"""),65.0)</f>
        <v>65</v>
      </c>
      <c r="F712" s="19" t="str">
        <f>IFERROR(__xludf.DUMMYFUNCTION("""COMPUTED_VALUE"""),"BLACK")</f>
        <v>BLACK</v>
      </c>
      <c r="G712" s="20" t="str">
        <f>IFERROR(__xludf.DUMMYFUNCTION("""COMPUTED_VALUE"""),"Tap 6 Clone (10/15/2021)")</f>
        <v>Tap 6 Clone (10/15/2021)</v>
      </c>
      <c r="H712" s="19"/>
    </row>
    <row r="713">
      <c r="A713" s="9"/>
      <c r="B713" s="15"/>
      <c r="C713" s="9">
        <f>IFERROR(__xludf.DUMMYFUNCTION("""COMPUTED_VALUE"""),44504.279105)</f>
        <v>44504.27911</v>
      </c>
      <c r="D713" s="15">
        <f>IFERROR(__xludf.DUMMYFUNCTION("""COMPUTED_VALUE"""),1.013)</f>
        <v>1.013</v>
      </c>
      <c r="E713" s="16">
        <f>IFERROR(__xludf.DUMMYFUNCTION("""COMPUTED_VALUE"""),65.0)</f>
        <v>65</v>
      </c>
      <c r="F713" s="19" t="str">
        <f>IFERROR(__xludf.DUMMYFUNCTION("""COMPUTED_VALUE"""),"BLACK")</f>
        <v>BLACK</v>
      </c>
      <c r="G713" s="20" t="str">
        <f>IFERROR(__xludf.DUMMYFUNCTION("""COMPUTED_VALUE"""),"Tap 6 Clone (10/15/2021)")</f>
        <v>Tap 6 Clone (10/15/2021)</v>
      </c>
      <c r="H713" s="19"/>
    </row>
    <row r="714">
      <c r="A714" s="9"/>
      <c r="B714" s="15"/>
      <c r="C714" s="9">
        <f>IFERROR(__xludf.DUMMYFUNCTION("""COMPUTED_VALUE"""),44504.2686732291)</f>
        <v>44504.26867</v>
      </c>
      <c r="D714" s="15">
        <f>IFERROR(__xludf.DUMMYFUNCTION("""COMPUTED_VALUE"""),1.013)</f>
        <v>1.013</v>
      </c>
      <c r="E714" s="16">
        <f>IFERROR(__xludf.DUMMYFUNCTION("""COMPUTED_VALUE"""),65.0)</f>
        <v>65</v>
      </c>
      <c r="F714" s="19" t="str">
        <f>IFERROR(__xludf.DUMMYFUNCTION("""COMPUTED_VALUE"""),"BLACK")</f>
        <v>BLACK</v>
      </c>
      <c r="G714" s="20" t="str">
        <f>IFERROR(__xludf.DUMMYFUNCTION("""COMPUTED_VALUE"""),"Tap 6 Clone (10/15/2021)")</f>
        <v>Tap 6 Clone (10/15/2021)</v>
      </c>
      <c r="H714" s="19"/>
    </row>
    <row r="715">
      <c r="A715" s="9"/>
      <c r="B715" s="15"/>
      <c r="C715" s="9">
        <f>IFERROR(__xludf.DUMMYFUNCTION("""COMPUTED_VALUE"""),44504.2582531597)</f>
        <v>44504.25825</v>
      </c>
      <c r="D715" s="15">
        <f>IFERROR(__xludf.DUMMYFUNCTION("""COMPUTED_VALUE"""),1.013)</f>
        <v>1.013</v>
      </c>
      <c r="E715" s="16">
        <f>IFERROR(__xludf.DUMMYFUNCTION("""COMPUTED_VALUE"""),65.0)</f>
        <v>65</v>
      </c>
      <c r="F715" s="19" t="str">
        <f>IFERROR(__xludf.DUMMYFUNCTION("""COMPUTED_VALUE"""),"BLACK")</f>
        <v>BLACK</v>
      </c>
      <c r="G715" s="20" t="str">
        <f>IFERROR(__xludf.DUMMYFUNCTION("""COMPUTED_VALUE"""),"Tap 6 Clone (10/15/2021)")</f>
        <v>Tap 6 Clone (10/15/2021)</v>
      </c>
      <c r="H715" s="19"/>
    </row>
    <row r="716">
      <c r="A716" s="9"/>
      <c r="B716" s="15"/>
      <c r="C716" s="9">
        <f>IFERROR(__xludf.DUMMYFUNCTION("""COMPUTED_VALUE"""),44504.2478331134)</f>
        <v>44504.24783</v>
      </c>
      <c r="D716" s="15">
        <f>IFERROR(__xludf.DUMMYFUNCTION("""COMPUTED_VALUE"""),1.013)</f>
        <v>1.013</v>
      </c>
      <c r="E716" s="16">
        <f>IFERROR(__xludf.DUMMYFUNCTION("""COMPUTED_VALUE"""),65.0)</f>
        <v>65</v>
      </c>
      <c r="F716" s="19" t="str">
        <f>IFERROR(__xludf.DUMMYFUNCTION("""COMPUTED_VALUE"""),"BLACK")</f>
        <v>BLACK</v>
      </c>
      <c r="G716" s="20" t="str">
        <f>IFERROR(__xludf.DUMMYFUNCTION("""COMPUTED_VALUE"""),"Tap 6 Clone (10/15/2021)")</f>
        <v>Tap 6 Clone (10/15/2021)</v>
      </c>
      <c r="H716" s="19"/>
    </row>
    <row r="717">
      <c r="A717" s="9"/>
      <c r="B717" s="15"/>
      <c r="C717" s="9">
        <f>IFERROR(__xludf.DUMMYFUNCTION("""COMPUTED_VALUE"""),44504.2374027777)</f>
        <v>44504.2374</v>
      </c>
      <c r="D717" s="15">
        <f>IFERROR(__xludf.DUMMYFUNCTION("""COMPUTED_VALUE"""),1.014)</f>
        <v>1.014</v>
      </c>
      <c r="E717" s="16">
        <f>IFERROR(__xludf.DUMMYFUNCTION("""COMPUTED_VALUE"""),65.0)</f>
        <v>65</v>
      </c>
      <c r="F717" s="19" t="str">
        <f>IFERROR(__xludf.DUMMYFUNCTION("""COMPUTED_VALUE"""),"BLACK")</f>
        <v>BLACK</v>
      </c>
      <c r="G717" s="20" t="str">
        <f>IFERROR(__xludf.DUMMYFUNCTION("""COMPUTED_VALUE"""),"Tap 6 Clone (10/15/2021)")</f>
        <v>Tap 6 Clone (10/15/2021)</v>
      </c>
      <c r="H717" s="19"/>
    </row>
    <row r="718">
      <c r="A718" s="9"/>
      <c r="B718" s="15"/>
      <c r="C718" s="9">
        <f>IFERROR(__xludf.DUMMYFUNCTION("""COMPUTED_VALUE"""),44504.2269842245)</f>
        <v>44504.22698</v>
      </c>
      <c r="D718" s="15">
        <f>IFERROR(__xludf.DUMMYFUNCTION("""COMPUTED_VALUE"""),1.014)</f>
        <v>1.014</v>
      </c>
      <c r="E718" s="16">
        <f>IFERROR(__xludf.DUMMYFUNCTION("""COMPUTED_VALUE"""),65.0)</f>
        <v>65</v>
      </c>
      <c r="F718" s="19" t="str">
        <f>IFERROR(__xludf.DUMMYFUNCTION("""COMPUTED_VALUE"""),"BLACK")</f>
        <v>BLACK</v>
      </c>
      <c r="G718" s="20" t="str">
        <f>IFERROR(__xludf.DUMMYFUNCTION("""COMPUTED_VALUE"""),"Tap 6 Clone (10/15/2021)")</f>
        <v>Tap 6 Clone (10/15/2021)</v>
      </c>
      <c r="H718" s="19"/>
    </row>
    <row r="719">
      <c r="A719" s="9"/>
      <c r="B719" s="15"/>
      <c r="C719" s="9">
        <f>IFERROR(__xludf.DUMMYFUNCTION("""COMPUTED_VALUE"""),44504.2165517592)</f>
        <v>44504.21655</v>
      </c>
      <c r="D719" s="15">
        <f>IFERROR(__xludf.DUMMYFUNCTION("""COMPUTED_VALUE"""),1.013)</f>
        <v>1.013</v>
      </c>
      <c r="E719" s="16">
        <f>IFERROR(__xludf.DUMMYFUNCTION("""COMPUTED_VALUE"""),65.0)</f>
        <v>65</v>
      </c>
      <c r="F719" s="19" t="str">
        <f>IFERROR(__xludf.DUMMYFUNCTION("""COMPUTED_VALUE"""),"BLACK")</f>
        <v>BLACK</v>
      </c>
      <c r="G719" s="20" t="str">
        <f>IFERROR(__xludf.DUMMYFUNCTION("""COMPUTED_VALUE"""),"Tap 6 Clone (10/15/2021)")</f>
        <v>Tap 6 Clone (10/15/2021)</v>
      </c>
      <c r="H719" s="19"/>
    </row>
    <row r="720">
      <c r="A720" s="9"/>
      <c r="B720" s="15"/>
      <c r="C720" s="9">
        <f>IFERROR(__xludf.DUMMYFUNCTION("""COMPUTED_VALUE"""),44504.2061182638)</f>
        <v>44504.20612</v>
      </c>
      <c r="D720" s="15">
        <f>IFERROR(__xludf.DUMMYFUNCTION("""COMPUTED_VALUE"""),1.014)</f>
        <v>1.014</v>
      </c>
      <c r="E720" s="16">
        <f>IFERROR(__xludf.DUMMYFUNCTION("""COMPUTED_VALUE"""),65.0)</f>
        <v>65</v>
      </c>
      <c r="F720" s="19" t="str">
        <f>IFERROR(__xludf.DUMMYFUNCTION("""COMPUTED_VALUE"""),"BLACK")</f>
        <v>BLACK</v>
      </c>
      <c r="G720" s="20" t="str">
        <f>IFERROR(__xludf.DUMMYFUNCTION("""COMPUTED_VALUE"""),"Tap 6 Clone (10/15/2021)")</f>
        <v>Tap 6 Clone (10/15/2021)</v>
      </c>
      <c r="H720" s="19"/>
    </row>
    <row r="721">
      <c r="A721" s="9"/>
      <c r="B721" s="15"/>
      <c r="C721" s="9">
        <f>IFERROR(__xludf.DUMMYFUNCTION("""COMPUTED_VALUE"""),44504.1956964351)</f>
        <v>44504.1957</v>
      </c>
      <c r="D721" s="15">
        <f>IFERROR(__xludf.DUMMYFUNCTION("""COMPUTED_VALUE"""),1.013)</f>
        <v>1.013</v>
      </c>
      <c r="E721" s="16">
        <f>IFERROR(__xludf.DUMMYFUNCTION("""COMPUTED_VALUE"""),65.0)</f>
        <v>65</v>
      </c>
      <c r="F721" s="19" t="str">
        <f>IFERROR(__xludf.DUMMYFUNCTION("""COMPUTED_VALUE"""),"BLACK")</f>
        <v>BLACK</v>
      </c>
      <c r="G721" s="20" t="str">
        <f>IFERROR(__xludf.DUMMYFUNCTION("""COMPUTED_VALUE"""),"Tap 6 Clone (10/15/2021)")</f>
        <v>Tap 6 Clone (10/15/2021)</v>
      </c>
      <c r="H721" s="19"/>
    </row>
    <row r="722">
      <c r="A722" s="9"/>
      <c r="B722" s="15"/>
      <c r="C722" s="9">
        <f>IFERROR(__xludf.DUMMYFUNCTION("""COMPUTED_VALUE"""),44504.1852749652)</f>
        <v>44504.18527</v>
      </c>
      <c r="D722" s="15">
        <f>IFERROR(__xludf.DUMMYFUNCTION("""COMPUTED_VALUE"""),1.013)</f>
        <v>1.013</v>
      </c>
      <c r="E722" s="16">
        <f>IFERROR(__xludf.DUMMYFUNCTION("""COMPUTED_VALUE"""),65.0)</f>
        <v>65</v>
      </c>
      <c r="F722" s="19" t="str">
        <f>IFERROR(__xludf.DUMMYFUNCTION("""COMPUTED_VALUE"""),"BLACK")</f>
        <v>BLACK</v>
      </c>
      <c r="G722" s="20" t="str">
        <f>IFERROR(__xludf.DUMMYFUNCTION("""COMPUTED_VALUE"""),"Tap 6 Clone (10/15/2021)")</f>
        <v>Tap 6 Clone (10/15/2021)</v>
      </c>
      <c r="H722" s="19"/>
    </row>
    <row r="723">
      <c r="A723" s="9"/>
      <c r="B723" s="15"/>
      <c r="C723" s="9">
        <f>IFERROR(__xludf.DUMMYFUNCTION("""COMPUTED_VALUE"""),44504.1748515046)</f>
        <v>44504.17485</v>
      </c>
      <c r="D723" s="15">
        <f>IFERROR(__xludf.DUMMYFUNCTION("""COMPUTED_VALUE"""),1.013)</f>
        <v>1.013</v>
      </c>
      <c r="E723" s="16">
        <f>IFERROR(__xludf.DUMMYFUNCTION("""COMPUTED_VALUE"""),65.0)</f>
        <v>65</v>
      </c>
      <c r="F723" s="19" t="str">
        <f>IFERROR(__xludf.DUMMYFUNCTION("""COMPUTED_VALUE"""),"BLACK")</f>
        <v>BLACK</v>
      </c>
      <c r="G723" s="20" t="str">
        <f>IFERROR(__xludf.DUMMYFUNCTION("""COMPUTED_VALUE"""),"Tap 6 Clone (10/15/2021)")</f>
        <v>Tap 6 Clone (10/15/2021)</v>
      </c>
      <c r="H723" s="19"/>
    </row>
    <row r="724">
      <c r="A724" s="9"/>
      <c r="B724" s="15"/>
      <c r="C724" s="9">
        <f>IFERROR(__xludf.DUMMYFUNCTION("""COMPUTED_VALUE"""),44504.1644181365)</f>
        <v>44504.16442</v>
      </c>
      <c r="D724" s="15">
        <f>IFERROR(__xludf.DUMMYFUNCTION("""COMPUTED_VALUE"""),1.013)</f>
        <v>1.013</v>
      </c>
      <c r="E724" s="16">
        <f>IFERROR(__xludf.DUMMYFUNCTION("""COMPUTED_VALUE"""),65.0)</f>
        <v>65</v>
      </c>
      <c r="F724" s="19" t="str">
        <f>IFERROR(__xludf.DUMMYFUNCTION("""COMPUTED_VALUE"""),"BLACK")</f>
        <v>BLACK</v>
      </c>
      <c r="G724" s="20" t="str">
        <f>IFERROR(__xludf.DUMMYFUNCTION("""COMPUTED_VALUE"""),"Tap 6 Clone (10/15/2021)")</f>
        <v>Tap 6 Clone (10/15/2021)</v>
      </c>
      <c r="H724" s="19"/>
    </row>
    <row r="725">
      <c r="A725" s="9"/>
      <c r="B725" s="15"/>
      <c r="C725" s="9">
        <f>IFERROR(__xludf.DUMMYFUNCTION("""COMPUTED_VALUE"""),44504.1539980555)</f>
        <v>44504.154</v>
      </c>
      <c r="D725" s="15">
        <f>IFERROR(__xludf.DUMMYFUNCTION("""COMPUTED_VALUE"""),1.013)</f>
        <v>1.013</v>
      </c>
      <c r="E725" s="16">
        <f>IFERROR(__xludf.DUMMYFUNCTION("""COMPUTED_VALUE"""),65.0)</f>
        <v>65</v>
      </c>
      <c r="F725" s="19" t="str">
        <f>IFERROR(__xludf.DUMMYFUNCTION("""COMPUTED_VALUE"""),"BLACK")</f>
        <v>BLACK</v>
      </c>
      <c r="G725" s="20" t="str">
        <f>IFERROR(__xludf.DUMMYFUNCTION("""COMPUTED_VALUE"""),"Tap 6 Clone (10/15/2021)")</f>
        <v>Tap 6 Clone (10/15/2021)</v>
      </c>
      <c r="H725" s="19"/>
    </row>
    <row r="726">
      <c r="A726" s="9"/>
      <c r="B726" s="15"/>
      <c r="C726" s="9">
        <f>IFERROR(__xludf.DUMMYFUNCTION("""COMPUTED_VALUE"""),44504.1435780902)</f>
        <v>44504.14358</v>
      </c>
      <c r="D726" s="15">
        <f>IFERROR(__xludf.DUMMYFUNCTION("""COMPUTED_VALUE"""),1.013)</f>
        <v>1.013</v>
      </c>
      <c r="E726" s="16">
        <f>IFERROR(__xludf.DUMMYFUNCTION("""COMPUTED_VALUE"""),65.0)</f>
        <v>65</v>
      </c>
      <c r="F726" s="19" t="str">
        <f>IFERROR(__xludf.DUMMYFUNCTION("""COMPUTED_VALUE"""),"BLACK")</f>
        <v>BLACK</v>
      </c>
      <c r="G726" s="20" t="str">
        <f>IFERROR(__xludf.DUMMYFUNCTION("""COMPUTED_VALUE"""),"Tap 6 Clone (10/15/2021)")</f>
        <v>Tap 6 Clone (10/15/2021)</v>
      </c>
      <c r="H726" s="19"/>
    </row>
    <row r="727">
      <c r="A727" s="9"/>
      <c r="B727" s="15"/>
      <c r="C727" s="9">
        <f>IFERROR(__xludf.DUMMYFUNCTION("""COMPUTED_VALUE"""),44504.1331573726)</f>
        <v>44504.13316</v>
      </c>
      <c r="D727" s="15">
        <f>IFERROR(__xludf.DUMMYFUNCTION("""COMPUTED_VALUE"""),1.013)</f>
        <v>1.013</v>
      </c>
      <c r="E727" s="16">
        <f>IFERROR(__xludf.DUMMYFUNCTION("""COMPUTED_VALUE"""),65.0)</f>
        <v>65</v>
      </c>
      <c r="F727" s="19" t="str">
        <f>IFERROR(__xludf.DUMMYFUNCTION("""COMPUTED_VALUE"""),"BLACK")</f>
        <v>BLACK</v>
      </c>
      <c r="G727" s="20" t="str">
        <f>IFERROR(__xludf.DUMMYFUNCTION("""COMPUTED_VALUE"""),"Tap 6 Clone (10/15/2021)")</f>
        <v>Tap 6 Clone (10/15/2021)</v>
      </c>
      <c r="H727" s="19"/>
    </row>
    <row r="728">
      <c r="A728" s="9"/>
      <c r="B728" s="15"/>
      <c r="C728" s="9">
        <f>IFERROR(__xludf.DUMMYFUNCTION("""COMPUTED_VALUE"""),44504.1227349652)</f>
        <v>44504.12273</v>
      </c>
      <c r="D728" s="15">
        <f>IFERROR(__xludf.DUMMYFUNCTION("""COMPUTED_VALUE"""),1.013)</f>
        <v>1.013</v>
      </c>
      <c r="E728" s="16">
        <f>IFERROR(__xludf.DUMMYFUNCTION("""COMPUTED_VALUE"""),65.0)</f>
        <v>65</v>
      </c>
      <c r="F728" s="19" t="str">
        <f>IFERROR(__xludf.DUMMYFUNCTION("""COMPUTED_VALUE"""),"BLACK")</f>
        <v>BLACK</v>
      </c>
      <c r="G728" s="20" t="str">
        <f>IFERROR(__xludf.DUMMYFUNCTION("""COMPUTED_VALUE"""),"Tap 6 Clone (10/15/2021)")</f>
        <v>Tap 6 Clone (10/15/2021)</v>
      </c>
      <c r="H728" s="19"/>
    </row>
    <row r="729">
      <c r="A729" s="9"/>
      <c r="B729" s="15"/>
      <c r="C729" s="9">
        <f>IFERROR(__xludf.DUMMYFUNCTION("""COMPUTED_VALUE"""),44504.1123010532)</f>
        <v>44504.1123</v>
      </c>
      <c r="D729" s="15">
        <f>IFERROR(__xludf.DUMMYFUNCTION("""COMPUTED_VALUE"""),1.013)</f>
        <v>1.013</v>
      </c>
      <c r="E729" s="16">
        <f>IFERROR(__xludf.DUMMYFUNCTION("""COMPUTED_VALUE"""),65.0)</f>
        <v>65</v>
      </c>
      <c r="F729" s="19" t="str">
        <f>IFERROR(__xludf.DUMMYFUNCTION("""COMPUTED_VALUE"""),"BLACK")</f>
        <v>BLACK</v>
      </c>
      <c r="G729" s="20" t="str">
        <f>IFERROR(__xludf.DUMMYFUNCTION("""COMPUTED_VALUE"""),"Tap 6 Clone (10/15/2021)")</f>
        <v>Tap 6 Clone (10/15/2021)</v>
      </c>
      <c r="H729" s="19"/>
    </row>
    <row r="730">
      <c r="A730" s="9"/>
      <c r="B730" s="15"/>
      <c r="C730" s="9">
        <f>IFERROR(__xludf.DUMMYFUNCTION("""COMPUTED_VALUE"""),44504.1018795486)</f>
        <v>44504.10188</v>
      </c>
      <c r="D730" s="15">
        <f>IFERROR(__xludf.DUMMYFUNCTION("""COMPUTED_VALUE"""),1.013)</f>
        <v>1.013</v>
      </c>
      <c r="E730" s="16">
        <f>IFERROR(__xludf.DUMMYFUNCTION("""COMPUTED_VALUE"""),65.0)</f>
        <v>65</v>
      </c>
      <c r="F730" s="19" t="str">
        <f>IFERROR(__xludf.DUMMYFUNCTION("""COMPUTED_VALUE"""),"BLACK")</f>
        <v>BLACK</v>
      </c>
      <c r="G730" s="20" t="str">
        <f>IFERROR(__xludf.DUMMYFUNCTION("""COMPUTED_VALUE"""),"Tap 6 Clone (10/15/2021)")</f>
        <v>Tap 6 Clone (10/15/2021)</v>
      </c>
      <c r="H730" s="19"/>
    </row>
    <row r="731">
      <c r="A731" s="9"/>
      <c r="B731" s="15"/>
      <c r="C731" s="9">
        <f>IFERROR(__xludf.DUMMYFUNCTION("""COMPUTED_VALUE"""),44504.0914459375)</f>
        <v>44504.09145</v>
      </c>
      <c r="D731" s="15">
        <f>IFERROR(__xludf.DUMMYFUNCTION("""COMPUTED_VALUE"""),1.013)</f>
        <v>1.013</v>
      </c>
      <c r="E731" s="16">
        <f>IFERROR(__xludf.DUMMYFUNCTION("""COMPUTED_VALUE"""),65.0)</f>
        <v>65</v>
      </c>
      <c r="F731" s="19" t="str">
        <f>IFERROR(__xludf.DUMMYFUNCTION("""COMPUTED_VALUE"""),"BLACK")</f>
        <v>BLACK</v>
      </c>
      <c r="G731" s="20" t="str">
        <f>IFERROR(__xludf.DUMMYFUNCTION("""COMPUTED_VALUE"""),"Tap 6 Clone (10/15/2021)")</f>
        <v>Tap 6 Clone (10/15/2021)</v>
      </c>
      <c r="H731" s="19"/>
    </row>
    <row r="732">
      <c r="A732" s="9"/>
      <c r="B732" s="15"/>
      <c r="C732" s="9">
        <f>IFERROR(__xludf.DUMMYFUNCTION("""COMPUTED_VALUE"""),44504.0810234375)</f>
        <v>44504.08102</v>
      </c>
      <c r="D732" s="15">
        <f>IFERROR(__xludf.DUMMYFUNCTION("""COMPUTED_VALUE"""),1.013)</f>
        <v>1.013</v>
      </c>
      <c r="E732" s="16">
        <f>IFERROR(__xludf.DUMMYFUNCTION("""COMPUTED_VALUE"""),65.0)</f>
        <v>65</v>
      </c>
      <c r="F732" s="19" t="str">
        <f>IFERROR(__xludf.DUMMYFUNCTION("""COMPUTED_VALUE"""),"BLACK")</f>
        <v>BLACK</v>
      </c>
      <c r="G732" s="20" t="str">
        <f>IFERROR(__xludf.DUMMYFUNCTION("""COMPUTED_VALUE"""),"Tap 6 Clone (10/15/2021)")</f>
        <v>Tap 6 Clone (10/15/2021)</v>
      </c>
      <c r="H732" s="19"/>
    </row>
    <row r="733">
      <c r="A733" s="9"/>
      <c r="B733" s="15"/>
      <c r="C733" s="9">
        <f>IFERROR(__xludf.DUMMYFUNCTION("""COMPUTED_VALUE"""),44504.0706032175)</f>
        <v>44504.0706</v>
      </c>
      <c r="D733" s="15">
        <f>IFERROR(__xludf.DUMMYFUNCTION("""COMPUTED_VALUE"""),1.013)</f>
        <v>1.013</v>
      </c>
      <c r="E733" s="16">
        <f>IFERROR(__xludf.DUMMYFUNCTION("""COMPUTED_VALUE"""),65.0)</f>
        <v>65</v>
      </c>
      <c r="F733" s="19" t="str">
        <f>IFERROR(__xludf.DUMMYFUNCTION("""COMPUTED_VALUE"""),"BLACK")</f>
        <v>BLACK</v>
      </c>
      <c r="G733" s="20" t="str">
        <f>IFERROR(__xludf.DUMMYFUNCTION("""COMPUTED_VALUE"""),"Tap 6 Clone (10/15/2021)")</f>
        <v>Tap 6 Clone (10/15/2021)</v>
      </c>
      <c r="H733" s="19"/>
    </row>
    <row r="734">
      <c r="A734" s="9"/>
      <c r="B734" s="15"/>
      <c r="C734" s="9">
        <f>IFERROR(__xludf.DUMMYFUNCTION("""COMPUTED_VALUE"""),44504.0601820254)</f>
        <v>44504.06018</v>
      </c>
      <c r="D734" s="15">
        <f>IFERROR(__xludf.DUMMYFUNCTION("""COMPUTED_VALUE"""),1.013)</f>
        <v>1.013</v>
      </c>
      <c r="E734" s="16">
        <f>IFERROR(__xludf.DUMMYFUNCTION("""COMPUTED_VALUE"""),65.0)</f>
        <v>65</v>
      </c>
      <c r="F734" s="19" t="str">
        <f>IFERROR(__xludf.DUMMYFUNCTION("""COMPUTED_VALUE"""),"BLACK")</f>
        <v>BLACK</v>
      </c>
      <c r="G734" s="20" t="str">
        <f>IFERROR(__xludf.DUMMYFUNCTION("""COMPUTED_VALUE"""),"Tap 6 Clone (10/15/2021)")</f>
        <v>Tap 6 Clone (10/15/2021)</v>
      </c>
      <c r="H734" s="19"/>
    </row>
    <row r="735">
      <c r="A735" s="9"/>
      <c r="B735" s="15"/>
      <c r="C735" s="9">
        <f>IFERROR(__xludf.DUMMYFUNCTION("""COMPUTED_VALUE"""),44504.0497507291)</f>
        <v>44504.04975</v>
      </c>
      <c r="D735" s="15">
        <f>IFERROR(__xludf.DUMMYFUNCTION("""COMPUTED_VALUE"""),1.013)</f>
        <v>1.013</v>
      </c>
      <c r="E735" s="16">
        <f>IFERROR(__xludf.DUMMYFUNCTION("""COMPUTED_VALUE"""),65.0)</f>
        <v>65</v>
      </c>
      <c r="F735" s="19" t="str">
        <f>IFERROR(__xludf.DUMMYFUNCTION("""COMPUTED_VALUE"""),"BLACK")</f>
        <v>BLACK</v>
      </c>
      <c r="G735" s="20" t="str">
        <f>IFERROR(__xludf.DUMMYFUNCTION("""COMPUTED_VALUE"""),"Tap 6 Clone (10/15/2021)")</f>
        <v>Tap 6 Clone (10/15/2021)</v>
      </c>
      <c r="H735" s="19"/>
    </row>
    <row r="736">
      <c r="A736" s="9"/>
      <c r="B736" s="15"/>
      <c r="C736" s="9">
        <f>IFERROR(__xludf.DUMMYFUNCTION("""COMPUTED_VALUE"""),44504.0393293634)</f>
        <v>44504.03933</v>
      </c>
      <c r="D736" s="15">
        <f>IFERROR(__xludf.DUMMYFUNCTION("""COMPUTED_VALUE"""),1.013)</f>
        <v>1.013</v>
      </c>
      <c r="E736" s="16">
        <f>IFERROR(__xludf.DUMMYFUNCTION("""COMPUTED_VALUE"""),65.0)</f>
        <v>65</v>
      </c>
      <c r="F736" s="19" t="str">
        <f>IFERROR(__xludf.DUMMYFUNCTION("""COMPUTED_VALUE"""),"BLACK")</f>
        <v>BLACK</v>
      </c>
      <c r="G736" s="20" t="str">
        <f>IFERROR(__xludf.DUMMYFUNCTION("""COMPUTED_VALUE"""),"Tap 6 Clone (10/15/2021)")</f>
        <v>Tap 6 Clone (10/15/2021)</v>
      </c>
      <c r="H736" s="19"/>
    </row>
    <row r="737">
      <c r="A737" s="9"/>
      <c r="B737" s="15"/>
      <c r="C737" s="9">
        <f>IFERROR(__xludf.DUMMYFUNCTION("""COMPUTED_VALUE"""),44504.0289063657)</f>
        <v>44504.02891</v>
      </c>
      <c r="D737" s="15">
        <f>IFERROR(__xludf.DUMMYFUNCTION("""COMPUTED_VALUE"""),1.013)</f>
        <v>1.013</v>
      </c>
      <c r="E737" s="16">
        <f>IFERROR(__xludf.DUMMYFUNCTION("""COMPUTED_VALUE"""),65.0)</f>
        <v>65</v>
      </c>
      <c r="F737" s="19" t="str">
        <f>IFERROR(__xludf.DUMMYFUNCTION("""COMPUTED_VALUE"""),"BLACK")</f>
        <v>BLACK</v>
      </c>
      <c r="G737" s="20" t="str">
        <f>IFERROR(__xludf.DUMMYFUNCTION("""COMPUTED_VALUE"""),"Tap 6 Clone (10/15/2021)")</f>
        <v>Tap 6 Clone (10/15/2021)</v>
      </c>
      <c r="H737" s="19"/>
    </row>
    <row r="738">
      <c r="A738" s="9"/>
      <c r="B738" s="15"/>
      <c r="C738" s="9">
        <f>IFERROR(__xludf.DUMMYFUNCTION("""COMPUTED_VALUE"""),44504.018482743)</f>
        <v>44504.01848</v>
      </c>
      <c r="D738" s="15">
        <f>IFERROR(__xludf.DUMMYFUNCTION("""COMPUTED_VALUE"""),1.013)</f>
        <v>1.013</v>
      </c>
      <c r="E738" s="16">
        <f>IFERROR(__xludf.DUMMYFUNCTION("""COMPUTED_VALUE"""),65.0)</f>
        <v>65</v>
      </c>
      <c r="F738" s="19" t="str">
        <f>IFERROR(__xludf.DUMMYFUNCTION("""COMPUTED_VALUE"""),"BLACK")</f>
        <v>BLACK</v>
      </c>
      <c r="G738" s="20" t="str">
        <f>IFERROR(__xludf.DUMMYFUNCTION("""COMPUTED_VALUE"""),"Tap 6 Clone (10/15/2021)")</f>
        <v>Tap 6 Clone (10/15/2021)</v>
      </c>
      <c r="H738" s="19"/>
    </row>
    <row r="739">
      <c r="A739" s="9"/>
      <c r="B739" s="15"/>
      <c r="C739" s="9">
        <f>IFERROR(__xludf.DUMMYFUNCTION("""COMPUTED_VALUE"""),44504.0080619328)</f>
        <v>44504.00806</v>
      </c>
      <c r="D739" s="15">
        <f>IFERROR(__xludf.DUMMYFUNCTION("""COMPUTED_VALUE"""),1.013)</f>
        <v>1.013</v>
      </c>
      <c r="E739" s="16">
        <f>IFERROR(__xludf.DUMMYFUNCTION("""COMPUTED_VALUE"""),65.0)</f>
        <v>65</v>
      </c>
      <c r="F739" s="19" t="str">
        <f>IFERROR(__xludf.DUMMYFUNCTION("""COMPUTED_VALUE"""),"BLACK")</f>
        <v>BLACK</v>
      </c>
      <c r="G739" s="20" t="str">
        <f>IFERROR(__xludf.DUMMYFUNCTION("""COMPUTED_VALUE"""),"Tap 6 Clone (10/15/2021)")</f>
        <v>Tap 6 Clone (10/15/2021)</v>
      </c>
      <c r="H739" s="19"/>
    </row>
    <row r="740">
      <c r="A740" s="9"/>
      <c r="B740" s="15"/>
      <c r="C740" s="9">
        <f>IFERROR(__xludf.DUMMYFUNCTION("""COMPUTED_VALUE"""),44503.9976410185)</f>
        <v>44503.99764</v>
      </c>
      <c r="D740" s="15">
        <f>IFERROR(__xludf.DUMMYFUNCTION("""COMPUTED_VALUE"""),1.013)</f>
        <v>1.013</v>
      </c>
      <c r="E740" s="16">
        <f>IFERROR(__xludf.DUMMYFUNCTION("""COMPUTED_VALUE"""),65.0)</f>
        <v>65</v>
      </c>
      <c r="F740" s="19" t="str">
        <f>IFERROR(__xludf.DUMMYFUNCTION("""COMPUTED_VALUE"""),"BLACK")</f>
        <v>BLACK</v>
      </c>
      <c r="G740" s="20" t="str">
        <f>IFERROR(__xludf.DUMMYFUNCTION("""COMPUTED_VALUE"""),"Tap 6 Clone (10/15/2021)")</f>
        <v>Tap 6 Clone (10/15/2021)</v>
      </c>
      <c r="H740" s="19"/>
    </row>
    <row r="741">
      <c r="A741" s="9"/>
      <c r="B741" s="15"/>
      <c r="C741" s="9">
        <f>IFERROR(__xludf.DUMMYFUNCTION("""COMPUTED_VALUE"""),44503.9872209606)</f>
        <v>44503.98722</v>
      </c>
      <c r="D741" s="15">
        <f>IFERROR(__xludf.DUMMYFUNCTION("""COMPUTED_VALUE"""),1.013)</f>
        <v>1.013</v>
      </c>
      <c r="E741" s="16">
        <f>IFERROR(__xludf.DUMMYFUNCTION("""COMPUTED_VALUE"""),65.0)</f>
        <v>65</v>
      </c>
      <c r="F741" s="19" t="str">
        <f>IFERROR(__xludf.DUMMYFUNCTION("""COMPUTED_VALUE"""),"BLACK")</f>
        <v>BLACK</v>
      </c>
      <c r="G741" s="20" t="str">
        <f>IFERROR(__xludf.DUMMYFUNCTION("""COMPUTED_VALUE"""),"Tap 6 Clone (10/15/2021)")</f>
        <v>Tap 6 Clone (10/15/2021)</v>
      </c>
      <c r="H741" s="19"/>
    </row>
    <row r="742">
      <c r="A742" s="9"/>
      <c r="B742" s="15"/>
      <c r="C742" s="9">
        <f>IFERROR(__xludf.DUMMYFUNCTION("""COMPUTED_VALUE"""),44503.9767991782)</f>
        <v>44503.9768</v>
      </c>
      <c r="D742" s="15">
        <f>IFERROR(__xludf.DUMMYFUNCTION("""COMPUTED_VALUE"""),1.013)</f>
        <v>1.013</v>
      </c>
      <c r="E742" s="16">
        <f>IFERROR(__xludf.DUMMYFUNCTION("""COMPUTED_VALUE"""),65.0)</f>
        <v>65</v>
      </c>
      <c r="F742" s="19" t="str">
        <f>IFERROR(__xludf.DUMMYFUNCTION("""COMPUTED_VALUE"""),"BLACK")</f>
        <v>BLACK</v>
      </c>
      <c r="G742" s="20" t="str">
        <f>IFERROR(__xludf.DUMMYFUNCTION("""COMPUTED_VALUE"""),"Tap 6 Clone (10/15/2021)")</f>
        <v>Tap 6 Clone (10/15/2021)</v>
      </c>
      <c r="H742" s="19"/>
    </row>
    <row r="743">
      <c r="A743" s="9"/>
      <c r="B743" s="15"/>
      <c r="C743" s="9">
        <f>IFERROR(__xludf.DUMMYFUNCTION("""COMPUTED_VALUE"""),44503.9663649074)</f>
        <v>44503.96636</v>
      </c>
      <c r="D743" s="15">
        <f>IFERROR(__xludf.DUMMYFUNCTION("""COMPUTED_VALUE"""),1.013)</f>
        <v>1.013</v>
      </c>
      <c r="E743" s="16">
        <f>IFERROR(__xludf.DUMMYFUNCTION("""COMPUTED_VALUE"""),65.0)</f>
        <v>65</v>
      </c>
      <c r="F743" s="19" t="str">
        <f>IFERROR(__xludf.DUMMYFUNCTION("""COMPUTED_VALUE"""),"BLACK")</f>
        <v>BLACK</v>
      </c>
      <c r="G743" s="20" t="str">
        <f>IFERROR(__xludf.DUMMYFUNCTION("""COMPUTED_VALUE"""),"Tap 6 Clone (10/15/2021)")</f>
        <v>Tap 6 Clone (10/15/2021)</v>
      </c>
      <c r="H743" s="19"/>
    </row>
    <row r="744">
      <c r="A744" s="9"/>
      <c r="B744" s="15"/>
      <c r="C744" s="9">
        <f>IFERROR(__xludf.DUMMYFUNCTION("""COMPUTED_VALUE"""),44503.9559441782)</f>
        <v>44503.95594</v>
      </c>
      <c r="D744" s="15">
        <f>IFERROR(__xludf.DUMMYFUNCTION("""COMPUTED_VALUE"""),1.013)</f>
        <v>1.013</v>
      </c>
      <c r="E744" s="16">
        <f>IFERROR(__xludf.DUMMYFUNCTION("""COMPUTED_VALUE"""),65.0)</f>
        <v>65</v>
      </c>
      <c r="F744" s="19" t="str">
        <f>IFERROR(__xludf.DUMMYFUNCTION("""COMPUTED_VALUE"""),"BLACK")</f>
        <v>BLACK</v>
      </c>
      <c r="G744" s="20" t="str">
        <f>IFERROR(__xludf.DUMMYFUNCTION("""COMPUTED_VALUE"""),"Tap 6 Clone (10/15/2021)")</f>
        <v>Tap 6 Clone (10/15/2021)</v>
      </c>
      <c r="H744" s="19"/>
    </row>
    <row r="745">
      <c r="A745" s="9"/>
      <c r="B745" s="15"/>
      <c r="C745" s="9">
        <f>IFERROR(__xludf.DUMMYFUNCTION("""COMPUTED_VALUE"""),44503.9455000578)</f>
        <v>44503.9455</v>
      </c>
      <c r="D745" s="15">
        <f>IFERROR(__xludf.DUMMYFUNCTION("""COMPUTED_VALUE"""),1.013)</f>
        <v>1.013</v>
      </c>
      <c r="E745" s="16">
        <f>IFERROR(__xludf.DUMMYFUNCTION("""COMPUTED_VALUE"""),65.0)</f>
        <v>65</v>
      </c>
      <c r="F745" s="19" t="str">
        <f>IFERROR(__xludf.DUMMYFUNCTION("""COMPUTED_VALUE"""),"BLACK")</f>
        <v>BLACK</v>
      </c>
      <c r="G745" s="20" t="str">
        <f>IFERROR(__xludf.DUMMYFUNCTION("""COMPUTED_VALUE"""),"Tap 6 Clone (10/15/2021)")</f>
        <v>Tap 6 Clone (10/15/2021)</v>
      </c>
      <c r="H745" s="19"/>
    </row>
    <row r="746">
      <c r="A746" s="9"/>
      <c r="B746" s="15"/>
      <c r="C746" s="9">
        <f>IFERROR(__xludf.DUMMYFUNCTION("""COMPUTED_VALUE"""),44503.9350809027)</f>
        <v>44503.93508</v>
      </c>
      <c r="D746" s="15">
        <f>IFERROR(__xludf.DUMMYFUNCTION("""COMPUTED_VALUE"""),1.013)</f>
        <v>1.013</v>
      </c>
      <c r="E746" s="16">
        <f>IFERROR(__xludf.DUMMYFUNCTION("""COMPUTED_VALUE"""),65.0)</f>
        <v>65</v>
      </c>
      <c r="F746" s="19" t="str">
        <f>IFERROR(__xludf.DUMMYFUNCTION("""COMPUTED_VALUE"""),"BLACK")</f>
        <v>BLACK</v>
      </c>
      <c r="G746" s="20" t="str">
        <f>IFERROR(__xludf.DUMMYFUNCTION("""COMPUTED_VALUE"""),"Tap 6 Clone (10/15/2021)")</f>
        <v>Tap 6 Clone (10/15/2021)</v>
      </c>
      <c r="H746" s="19"/>
    </row>
    <row r="747">
      <c r="A747" s="9"/>
      <c r="B747" s="15"/>
      <c r="C747" s="9">
        <f>IFERROR(__xludf.DUMMYFUNCTION("""COMPUTED_VALUE"""),44503.9246586458)</f>
        <v>44503.92466</v>
      </c>
      <c r="D747" s="15">
        <f>IFERROR(__xludf.DUMMYFUNCTION("""COMPUTED_VALUE"""),1.013)</f>
        <v>1.013</v>
      </c>
      <c r="E747" s="16">
        <f>IFERROR(__xludf.DUMMYFUNCTION("""COMPUTED_VALUE"""),65.0)</f>
        <v>65</v>
      </c>
      <c r="F747" s="19" t="str">
        <f>IFERROR(__xludf.DUMMYFUNCTION("""COMPUTED_VALUE"""),"BLACK")</f>
        <v>BLACK</v>
      </c>
      <c r="G747" s="20" t="str">
        <f>IFERROR(__xludf.DUMMYFUNCTION("""COMPUTED_VALUE"""),"Tap 6 Clone (10/15/2021)")</f>
        <v>Tap 6 Clone (10/15/2021)</v>
      </c>
      <c r="H747" s="19"/>
    </row>
    <row r="748">
      <c r="A748" s="9"/>
      <c r="B748" s="15"/>
      <c r="C748" s="9">
        <f>IFERROR(__xludf.DUMMYFUNCTION("""COMPUTED_VALUE"""),44503.9142377083)</f>
        <v>44503.91424</v>
      </c>
      <c r="D748" s="15">
        <f>IFERROR(__xludf.DUMMYFUNCTION("""COMPUTED_VALUE"""),1.013)</f>
        <v>1.013</v>
      </c>
      <c r="E748" s="16">
        <f>IFERROR(__xludf.DUMMYFUNCTION("""COMPUTED_VALUE"""),65.0)</f>
        <v>65</v>
      </c>
      <c r="F748" s="19" t="str">
        <f>IFERROR(__xludf.DUMMYFUNCTION("""COMPUTED_VALUE"""),"BLACK")</f>
        <v>BLACK</v>
      </c>
      <c r="G748" s="20" t="str">
        <f>IFERROR(__xludf.DUMMYFUNCTION("""COMPUTED_VALUE"""),"Tap 6 Clone (10/15/2021)")</f>
        <v>Tap 6 Clone (10/15/2021)</v>
      </c>
      <c r="H748" s="19"/>
    </row>
    <row r="749">
      <c r="A749" s="9"/>
      <c r="B749" s="15"/>
      <c r="C749" s="9">
        <f>IFERROR(__xludf.DUMMYFUNCTION("""COMPUTED_VALUE"""),44503.903816493)</f>
        <v>44503.90382</v>
      </c>
      <c r="D749" s="15">
        <f>IFERROR(__xludf.DUMMYFUNCTION("""COMPUTED_VALUE"""),1.013)</f>
        <v>1.013</v>
      </c>
      <c r="E749" s="16">
        <f>IFERROR(__xludf.DUMMYFUNCTION("""COMPUTED_VALUE"""),65.0)</f>
        <v>65</v>
      </c>
      <c r="F749" s="19" t="str">
        <f>IFERROR(__xludf.DUMMYFUNCTION("""COMPUTED_VALUE"""),"BLACK")</f>
        <v>BLACK</v>
      </c>
      <c r="G749" s="20" t="str">
        <f>IFERROR(__xludf.DUMMYFUNCTION("""COMPUTED_VALUE"""),"Tap 6 Clone (10/15/2021)")</f>
        <v>Tap 6 Clone (10/15/2021)</v>
      </c>
      <c r="H749" s="19"/>
    </row>
    <row r="750">
      <c r="A750" s="9"/>
      <c r="B750" s="15"/>
      <c r="C750" s="9">
        <f>IFERROR(__xludf.DUMMYFUNCTION("""COMPUTED_VALUE"""),44503.8933824074)</f>
        <v>44503.89338</v>
      </c>
      <c r="D750" s="15">
        <f>IFERROR(__xludf.DUMMYFUNCTION("""COMPUTED_VALUE"""),1.013)</f>
        <v>1.013</v>
      </c>
      <c r="E750" s="16">
        <f>IFERROR(__xludf.DUMMYFUNCTION("""COMPUTED_VALUE"""),65.0)</f>
        <v>65</v>
      </c>
      <c r="F750" s="19" t="str">
        <f>IFERROR(__xludf.DUMMYFUNCTION("""COMPUTED_VALUE"""),"BLACK")</f>
        <v>BLACK</v>
      </c>
      <c r="G750" s="20" t="str">
        <f>IFERROR(__xludf.DUMMYFUNCTION("""COMPUTED_VALUE"""),"Tap 6 Clone (10/15/2021)")</f>
        <v>Tap 6 Clone (10/15/2021)</v>
      </c>
      <c r="H750" s="19"/>
    </row>
    <row r="751">
      <c r="A751" s="9"/>
      <c r="B751" s="15"/>
      <c r="C751" s="9">
        <f>IFERROR(__xludf.DUMMYFUNCTION("""COMPUTED_VALUE"""),44503.8829486921)</f>
        <v>44503.88295</v>
      </c>
      <c r="D751" s="15">
        <f>IFERROR(__xludf.DUMMYFUNCTION("""COMPUTED_VALUE"""),1.013)</f>
        <v>1.013</v>
      </c>
      <c r="E751" s="16">
        <f>IFERROR(__xludf.DUMMYFUNCTION("""COMPUTED_VALUE"""),65.0)</f>
        <v>65</v>
      </c>
      <c r="F751" s="19" t="str">
        <f>IFERROR(__xludf.DUMMYFUNCTION("""COMPUTED_VALUE"""),"BLACK")</f>
        <v>BLACK</v>
      </c>
      <c r="G751" s="20" t="str">
        <f>IFERROR(__xludf.DUMMYFUNCTION("""COMPUTED_VALUE"""),"Tap 6 Clone (10/15/2021)")</f>
        <v>Tap 6 Clone (10/15/2021)</v>
      </c>
      <c r="H751" s="19"/>
    </row>
    <row r="752">
      <c r="A752" s="9"/>
      <c r="B752" s="15"/>
      <c r="C752" s="9">
        <f>IFERROR(__xludf.DUMMYFUNCTION("""COMPUTED_VALUE"""),44503.8725141551)</f>
        <v>44503.87251</v>
      </c>
      <c r="D752" s="15">
        <f>IFERROR(__xludf.DUMMYFUNCTION("""COMPUTED_VALUE"""),1.013)</f>
        <v>1.013</v>
      </c>
      <c r="E752" s="16">
        <f>IFERROR(__xludf.DUMMYFUNCTION("""COMPUTED_VALUE"""),65.0)</f>
        <v>65</v>
      </c>
      <c r="F752" s="19" t="str">
        <f>IFERROR(__xludf.DUMMYFUNCTION("""COMPUTED_VALUE"""),"BLACK")</f>
        <v>BLACK</v>
      </c>
      <c r="G752" s="20" t="str">
        <f>IFERROR(__xludf.DUMMYFUNCTION("""COMPUTED_VALUE"""),"Tap 6 Clone (10/15/2021)")</f>
        <v>Tap 6 Clone (10/15/2021)</v>
      </c>
      <c r="H752" s="19"/>
    </row>
    <row r="753">
      <c r="A753" s="9"/>
      <c r="B753" s="15"/>
      <c r="C753" s="9">
        <f>IFERROR(__xludf.DUMMYFUNCTION("""COMPUTED_VALUE"""),44503.862091574)</f>
        <v>44503.86209</v>
      </c>
      <c r="D753" s="15">
        <f>IFERROR(__xludf.DUMMYFUNCTION("""COMPUTED_VALUE"""),1.013)</f>
        <v>1.013</v>
      </c>
      <c r="E753" s="16">
        <f>IFERROR(__xludf.DUMMYFUNCTION("""COMPUTED_VALUE"""),65.0)</f>
        <v>65</v>
      </c>
      <c r="F753" s="19" t="str">
        <f>IFERROR(__xludf.DUMMYFUNCTION("""COMPUTED_VALUE"""),"BLACK")</f>
        <v>BLACK</v>
      </c>
      <c r="G753" s="20" t="str">
        <f>IFERROR(__xludf.DUMMYFUNCTION("""COMPUTED_VALUE"""),"Tap 6 Clone (10/15/2021)")</f>
        <v>Tap 6 Clone (10/15/2021)</v>
      </c>
      <c r="H753" s="19"/>
    </row>
    <row r="754">
      <c r="A754" s="9"/>
      <c r="B754" s="15"/>
      <c r="C754" s="9">
        <f>IFERROR(__xludf.DUMMYFUNCTION("""COMPUTED_VALUE"""),44503.8516578472)</f>
        <v>44503.85166</v>
      </c>
      <c r="D754" s="15">
        <f>IFERROR(__xludf.DUMMYFUNCTION("""COMPUTED_VALUE"""),1.013)</f>
        <v>1.013</v>
      </c>
      <c r="E754" s="16">
        <f>IFERROR(__xludf.DUMMYFUNCTION("""COMPUTED_VALUE"""),65.0)</f>
        <v>65</v>
      </c>
      <c r="F754" s="19" t="str">
        <f>IFERROR(__xludf.DUMMYFUNCTION("""COMPUTED_VALUE"""),"BLACK")</f>
        <v>BLACK</v>
      </c>
      <c r="G754" s="20" t="str">
        <f>IFERROR(__xludf.DUMMYFUNCTION("""COMPUTED_VALUE"""),"Tap 6 Clone (10/15/2021)")</f>
        <v>Tap 6 Clone (10/15/2021)</v>
      </c>
      <c r="H754" s="19"/>
    </row>
    <row r="755">
      <c r="A755" s="9"/>
      <c r="B755" s="15"/>
      <c r="C755" s="9">
        <f>IFERROR(__xludf.DUMMYFUNCTION("""COMPUTED_VALUE"""),44503.8412366782)</f>
        <v>44503.84124</v>
      </c>
      <c r="D755" s="15">
        <f>IFERROR(__xludf.DUMMYFUNCTION("""COMPUTED_VALUE"""),1.013)</f>
        <v>1.013</v>
      </c>
      <c r="E755" s="16">
        <f>IFERROR(__xludf.DUMMYFUNCTION("""COMPUTED_VALUE"""),65.0)</f>
        <v>65</v>
      </c>
      <c r="F755" s="19" t="str">
        <f>IFERROR(__xludf.DUMMYFUNCTION("""COMPUTED_VALUE"""),"BLACK")</f>
        <v>BLACK</v>
      </c>
      <c r="G755" s="20" t="str">
        <f>IFERROR(__xludf.DUMMYFUNCTION("""COMPUTED_VALUE"""),"Tap 6 Clone (10/15/2021)")</f>
        <v>Tap 6 Clone (10/15/2021)</v>
      </c>
      <c r="H755" s="19"/>
    </row>
    <row r="756">
      <c r="A756" s="9"/>
      <c r="B756" s="15"/>
      <c r="C756" s="9">
        <f>IFERROR(__xludf.DUMMYFUNCTION("""COMPUTED_VALUE"""),44503.830803993)</f>
        <v>44503.8308</v>
      </c>
      <c r="D756" s="15">
        <f>IFERROR(__xludf.DUMMYFUNCTION("""COMPUTED_VALUE"""),1.013)</f>
        <v>1.013</v>
      </c>
      <c r="E756" s="16">
        <f>IFERROR(__xludf.DUMMYFUNCTION("""COMPUTED_VALUE"""),65.0)</f>
        <v>65</v>
      </c>
      <c r="F756" s="19" t="str">
        <f>IFERROR(__xludf.DUMMYFUNCTION("""COMPUTED_VALUE"""),"BLACK")</f>
        <v>BLACK</v>
      </c>
      <c r="G756" s="20" t="str">
        <f>IFERROR(__xludf.DUMMYFUNCTION("""COMPUTED_VALUE"""),"Tap 6 Clone (10/15/2021)")</f>
        <v>Tap 6 Clone (10/15/2021)</v>
      </c>
      <c r="H756" s="19"/>
    </row>
    <row r="757">
      <c r="A757" s="9"/>
      <c r="B757" s="15"/>
      <c r="C757" s="9">
        <f>IFERROR(__xludf.DUMMYFUNCTION("""COMPUTED_VALUE"""),44503.8203821643)</f>
        <v>44503.82038</v>
      </c>
      <c r="D757" s="15">
        <f>IFERROR(__xludf.DUMMYFUNCTION("""COMPUTED_VALUE"""),1.013)</f>
        <v>1.013</v>
      </c>
      <c r="E757" s="16">
        <f>IFERROR(__xludf.DUMMYFUNCTION("""COMPUTED_VALUE"""),65.0)</f>
        <v>65</v>
      </c>
      <c r="F757" s="19" t="str">
        <f>IFERROR(__xludf.DUMMYFUNCTION("""COMPUTED_VALUE"""),"BLACK")</f>
        <v>BLACK</v>
      </c>
      <c r="G757" s="20" t="str">
        <f>IFERROR(__xludf.DUMMYFUNCTION("""COMPUTED_VALUE"""),"Tap 6 Clone (10/15/2021)")</f>
        <v>Tap 6 Clone (10/15/2021)</v>
      </c>
      <c r="H757" s="19"/>
    </row>
    <row r="758">
      <c r="A758" s="9"/>
      <c r="B758" s="15"/>
      <c r="C758" s="9">
        <f>IFERROR(__xludf.DUMMYFUNCTION("""COMPUTED_VALUE"""),44503.8099375)</f>
        <v>44503.80994</v>
      </c>
      <c r="D758" s="15">
        <f>IFERROR(__xludf.DUMMYFUNCTION("""COMPUTED_VALUE"""),1.013)</f>
        <v>1.013</v>
      </c>
      <c r="E758" s="16">
        <f>IFERROR(__xludf.DUMMYFUNCTION("""COMPUTED_VALUE"""),65.0)</f>
        <v>65</v>
      </c>
      <c r="F758" s="19" t="str">
        <f>IFERROR(__xludf.DUMMYFUNCTION("""COMPUTED_VALUE"""),"BLACK")</f>
        <v>BLACK</v>
      </c>
      <c r="G758" s="20" t="str">
        <f>IFERROR(__xludf.DUMMYFUNCTION("""COMPUTED_VALUE"""),"Tap 6 Clone (10/15/2021)")</f>
        <v>Tap 6 Clone (10/15/2021)</v>
      </c>
      <c r="H758" s="19"/>
    </row>
    <row r="759">
      <c r="A759" s="9"/>
      <c r="B759" s="15"/>
      <c r="C759" s="9">
        <f>IFERROR(__xludf.DUMMYFUNCTION("""COMPUTED_VALUE"""),44503.7995172916)</f>
        <v>44503.79952</v>
      </c>
      <c r="D759" s="15">
        <f>IFERROR(__xludf.DUMMYFUNCTION("""COMPUTED_VALUE"""),1.013)</f>
        <v>1.013</v>
      </c>
      <c r="E759" s="16">
        <f>IFERROR(__xludf.DUMMYFUNCTION("""COMPUTED_VALUE"""),65.0)</f>
        <v>65</v>
      </c>
      <c r="F759" s="19" t="str">
        <f>IFERROR(__xludf.DUMMYFUNCTION("""COMPUTED_VALUE"""),"BLACK")</f>
        <v>BLACK</v>
      </c>
      <c r="G759" s="20" t="str">
        <f>IFERROR(__xludf.DUMMYFUNCTION("""COMPUTED_VALUE"""),"Tap 6 Clone (10/15/2021)")</f>
        <v>Tap 6 Clone (10/15/2021)</v>
      </c>
      <c r="H759" s="19"/>
    </row>
    <row r="760">
      <c r="A760" s="9"/>
      <c r="B760" s="15"/>
      <c r="C760" s="9">
        <f>IFERROR(__xludf.DUMMYFUNCTION("""COMPUTED_VALUE"""),44503.7890841782)</f>
        <v>44503.78908</v>
      </c>
      <c r="D760" s="15">
        <f>IFERROR(__xludf.DUMMYFUNCTION("""COMPUTED_VALUE"""),1.013)</f>
        <v>1.013</v>
      </c>
      <c r="E760" s="16">
        <f>IFERROR(__xludf.DUMMYFUNCTION("""COMPUTED_VALUE"""),65.0)</f>
        <v>65</v>
      </c>
      <c r="F760" s="19" t="str">
        <f>IFERROR(__xludf.DUMMYFUNCTION("""COMPUTED_VALUE"""),"BLACK")</f>
        <v>BLACK</v>
      </c>
      <c r="G760" s="20" t="str">
        <f>IFERROR(__xludf.DUMMYFUNCTION("""COMPUTED_VALUE"""),"Tap 6 Clone (10/15/2021)")</f>
        <v>Tap 6 Clone (10/15/2021)</v>
      </c>
      <c r="H760" s="19"/>
    </row>
    <row r="761">
      <c r="A761" s="9"/>
      <c r="B761" s="15"/>
      <c r="C761" s="9">
        <f>IFERROR(__xludf.DUMMYFUNCTION("""COMPUTED_VALUE"""),44503.7786511111)</f>
        <v>44503.77865</v>
      </c>
      <c r="D761" s="15">
        <f>IFERROR(__xludf.DUMMYFUNCTION("""COMPUTED_VALUE"""),1.013)</f>
        <v>1.013</v>
      </c>
      <c r="E761" s="16">
        <f>IFERROR(__xludf.DUMMYFUNCTION("""COMPUTED_VALUE"""),65.0)</f>
        <v>65</v>
      </c>
      <c r="F761" s="19" t="str">
        <f>IFERROR(__xludf.DUMMYFUNCTION("""COMPUTED_VALUE"""),"BLACK")</f>
        <v>BLACK</v>
      </c>
      <c r="G761" s="20" t="str">
        <f>IFERROR(__xludf.DUMMYFUNCTION("""COMPUTED_VALUE"""),"Tap 6 Clone (10/15/2021)")</f>
        <v>Tap 6 Clone (10/15/2021)</v>
      </c>
      <c r="H761" s="19"/>
    </row>
    <row r="762">
      <c r="A762" s="9"/>
      <c r="B762" s="15"/>
      <c r="C762" s="9">
        <f>IFERROR(__xludf.DUMMYFUNCTION("""COMPUTED_VALUE"""),44503.7682291666)</f>
        <v>44503.76823</v>
      </c>
      <c r="D762" s="15">
        <f>IFERROR(__xludf.DUMMYFUNCTION("""COMPUTED_VALUE"""),1.013)</f>
        <v>1.013</v>
      </c>
      <c r="E762" s="16">
        <f>IFERROR(__xludf.DUMMYFUNCTION("""COMPUTED_VALUE"""),65.0)</f>
        <v>65</v>
      </c>
      <c r="F762" s="19" t="str">
        <f>IFERROR(__xludf.DUMMYFUNCTION("""COMPUTED_VALUE"""),"BLACK")</f>
        <v>BLACK</v>
      </c>
      <c r="G762" s="20" t="str">
        <f>IFERROR(__xludf.DUMMYFUNCTION("""COMPUTED_VALUE"""),"Tap 6 Clone (10/15/2021)")</f>
        <v>Tap 6 Clone (10/15/2021)</v>
      </c>
      <c r="H762" s="19"/>
    </row>
    <row r="763">
      <c r="A763" s="9"/>
      <c r="B763" s="15"/>
      <c r="C763" s="9">
        <f>IFERROR(__xludf.DUMMYFUNCTION("""COMPUTED_VALUE"""),44503.7577840972)</f>
        <v>44503.75778</v>
      </c>
      <c r="D763" s="15">
        <f>IFERROR(__xludf.DUMMYFUNCTION("""COMPUTED_VALUE"""),1.013)</f>
        <v>1.013</v>
      </c>
      <c r="E763" s="16">
        <f>IFERROR(__xludf.DUMMYFUNCTION("""COMPUTED_VALUE"""),65.0)</f>
        <v>65</v>
      </c>
      <c r="F763" s="19" t="str">
        <f>IFERROR(__xludf.DUMMYFUNCTION("""COMPUTED_VALUE"""),"BLACK")</f>
        <v>BLACK</v>
      </c>
      <c r="G763" s="20" t="str">
        <f>IFERROR(__xludf.DUMMYFUNCTION("""COMPUTED_VALUE"""),"Tap 6 Clone (10/15/2021)")</f>
        <v>Tap 6 Clone (10/15/2021)</v>
      </c>
      <c r="H763" s="19"/>
    </row>
    <row r="764">
      <c r="A764" s="9"/>
      <c r="B764" s="15"/>
      <c r="C764" s="9">
        <f>IFERROR(__xludf.DUMMYFUNCTION("""COMPUTED_VALUE"""),44503.747362743)</f>
        <v>44503.74736</v>
      </c>
      <c r="D764" s="15">
        <f>IFERROR(__xludf.DUMMYFUNCTION("""COMPUTED_VALUE"""),1.013)</f>
        <v>1.013</v>
      </c>
      <c r="E764" s="16">
        <f>IFERROR(__xludf.DUMMYFUNCTION("""COMPUTED_VALUE"""),65.0)</f>
        <v>65</v>
      </c>
      <c r="F764" s="19" t="str">
        <f>IFERROR(__xludf.DUMMYFUNCTION("""COMPUTED_VALUE"""),"BLACK")</f>
        <v>BLACK</v>
      </c>
      <c r="G764" s="20" t="str">
        <f>IFERROR(__xludf.DUMMYFUNCTION("""COMPUTED_VALUE"""),"Tap 6 Clone (10/15/2021)")</f>
        <v>Tap 6 Clone (10/15/2021)</v>
      </c>
      <c r="H764" s="19"/>
    </row>
    <row r="765">
      <c r="A765" s="9"/>
      <c r="B765" s="15"/>
      <c r="C765" s="9">
        <f>IFERROR(__xludf.DUMMYFUNCTION("""COMPUTED_VALUE"""),44503.7369415856)</f>
        <v>44503.73694</v>
      </c>
      <c r="D765" s="15">
        <f>IFERROR(__xludf.DUMMYFUNCTION("""COMPUTED_VALUE"""),1.013)</f>
        <v>1.013</v>
      </c>
      <c r="E765" s="16">
        <f>IFERROR(__xludf.DUMMYFUNCTION("""COMPUTED_VALUE"""),65.0)</f>
        <v>65</v>
      </c>
      <c r="F765" s="19" t="str">
        <f>IFERROR(__xludf.DUMMYFUNCTION("""COMPUTED_VALUE"""),"BLACK")</f>
        <v>BLACK</v>
      </c>
      <c r="G765" s="20" t="str">
        <f>IFERROR(__xludf.DUMMYFUNCTION("""COMPUTED_VALUE"""),"Tap 6 Clone (10/15/2021)")</f>
        <v>Tap 6 Clone (10/15/2021)</v>
      </c>
      <c r="H765" s="19"/>
    </row>
    <row r="766">
      <c r="A766" s="9"/>
      <c r="B766" s="15"/>
      <c r="C766" s="9">
        <f>IFERROR(__xludf.DUMMYFUNCTION("""COMPUTED_VALUE"""),44503.7265199305)</f>
        <v>44503.72652</v>
      </c>
      <c r="D766" s="15">
        <f>IFERROR(__xludf.DUMMYFUNCTION("""COMPUTED_VALUE"""),1.013)</f>
        <v>1.013</v>
      </c>
      <c r="E766" s="16">
        <f>IFERROR(__xludf.DUMMYFUNCTION("""COMPUTED_VALUE"""),65.0)</f>
        <v>65</v>
      </c>
      <c r="F766" s="19" t="str">
        <f>IFERROR(__xludf.DUMMYFUNCTION("""COMPUTED_VALUE"""),"BLACK")</f>
        <v>BLACK</v>
      </c>
      <c r="G766" s="20" t="str">
        <f>IFERROR(__xludf.DUMMYFUNCTION("""COMPUTED_VALUE"""),"Tap 6 Clone (10/15/2021)")</f>
        <v>Tap 6 Clone (10/15/2021)</v>
      </c>
      <c r="H766" s="19"/>
    </row>
    <row r="767">
      <c r="A767" s="9"/>
      <c r="B767" s="15"/>
      <c r="C767" s="9">
        <f>IFERROR(__xludf.DUMMYFUNCTION("""COMPUTED_VALUE"""),44503.7160960995)</f>
        <v>44503.7161</v>
      </c>
      <c r="D767" s="15">
        <f>IFERROR(__xludf.DUMMYFUNCTION("""COMPUTED_VALUE"""),1.013)</f>
        <v>1.013</v>
      </c>
      <c r="E767" s="16">
        <f>IFERROR(__xludf.DUMMYFUNCTION("""COMPUTED_VALUE"""),65.0)</f>
        <v>65</v>
      </c>
      <c r="F767" s="19" t="str">
        <f>IFERROR(__xludf.DUMMYFUNCTION("""COMPUTED_VALUE"""),"BLACK")</f>
        <v>BLACK</v>
      </c>
      <c r="G767" s="20" t="str">
        <f>IFERROR(__xludf.DUMMYFUNCTION("""COMPUTED_VALUE"""),"Tap 6 Clone (10/15/2021)")</f>
        <v>Tap 6 Clone (10/15/2021)</v>
      </c>
      <c r="H767" s="19"/>
    </row>
    <row r="768">
      <c r="A768" s="9"/>
      <c r="B768" s="15"/>
      <c r="C768" s="9">
        <f>IFERROR(__xludf.DUMMYFUNCTION("""COMPUTED_VALUE"""),44503.7056738888)</f>
        <v>44503.70567</v>
      </c>
      <c r="D768" s="15">
        <f>IFERROR(__xludf.DUMMYFUNCTION("""COMPUTED_VALUE"""),1.013)</f>
        <v>1.013</v>
      </c>
      <c r="E768" s="16">
        <f>IFERROR(__xludf.DUMMYFUNCTION("""COMPUTED_VALUE"""),65.0)</f>
        <v>65</v>
      </c>
      <c r="F768" s="19" t="str">
        <f>IFERROR(__xludf.DUMMYFUNCTION("""COMPUTED_VALUE"""),"BLACK")</f>
        <v>BLACK</v>
      </c>
      <c r="G768" s="20" t="str">
        <f>IFERROR(__xludf.DUMMYFUNCTION("""COMPUTED_VALUE"""),"Tap 6 Clone (10/15/2021)")</f>
        <v>Tap 6 Clone (10/15/2021)</v>
      </c>
      <c r="H768" s="19"/>
    </row>
    <row r="769">
      <c r="A769" s="9"/>
      <c r="B769" s="15"/>
      <c r="C769" s="9">
        <f>IFERROR(__xludf.DUMMYFUNCTION("""COMPUTED_VALUE"""),44503.6952523726)</f>
        <v>44503.69525</v>
      </c>
      <c r="D769" s="15">
        <f>IFERROR(__xludf.DUMMYFUNCTION("""COMPUTED_VALUE"""),1.013)</f>
        <v>1.013</v>
      </c>
      <c r="E769" s="16">
        <f>IFERROR(__xludf.DUMMYFUNCTION("""COMPUTED_VALUE"""),65.0)</f>
        <v>65</v>
      </c>
      <c r="F769" s="19" t="str">
        <f>IFERROR(__xludf.DUMMYFUNCTION("""COMPUTED_VALUE"""),"BLACK")</f>
        <v>BLACK</v>
      </c>
      <c r="G769" s="20" t="str">
        <f>IFERROR(__xludf.DUMMYFUNCTION("""COMPUTED_VALUE"""),"Tap 6 Clone (10/15/2021)")</f>
        <v>Tap 6 Clone (10/15/2021)</v>
      </c>
      <c r="H769" s="19"/>
    </row>
    <row r="770">
      <c r="A770" s="9"/>
      <c r="B770" s="15"/>
      <c r="C770" s="9">
        <f>IFERROR(__xludf.DUMMYFUNCTION("""COMPUTED_VALUE"""),44503.6847971296)</f>
        <v>44503.6848</v>
      </c>
      <c r="D770" s="15">
        <f>IFERROR(__xludf.DUMMYFUNCTION("""COMPUTED_VALUE"""),1.013)</f>
        <v>1.013</v>
      </c>
      <c r="E770" s="16">
        <f>IFERROR(__xludf.DUMMYFUNCTION("""COMPUTED_VALUE"""),65.0)</f>
        <v>65</v>
      </c>
      <c r="F770" s="19" t="str">
        <f>IFERROR(__xludf.DUMMYFUNCTION("""COMPUTED_VALUE"""),"BLACK")</f>
        <v>BLACK</v>
      </c>
      <c r="G770" s="20" t="str">
        <f>IFERROR(__xludf.DUMMYFUNCTION("""COMPUTED_VALUE"""),"Tap 6 Clone (10/15/2021)")</f>
        <v>Tap 6 Clone (10/15/2021)</v>
      </c>
      <c r="H770" s="19"/>
    </row>
    <row r="771">
      <c r="A771" s="9"/>
      <c r="B771" s="15"/>
      <c r="C771" s="9">
        <f>IFERROR(__xludf.DUMMYFUNCTION("""COMPUTED_VALUE"""),44503.6743775463)</f>
        <v>44503.67438</v>
      </c>
      <c r="D771" s="15">
        <f>IFERROR(__xludf.DUMMYFUNCTION("""COMPUTED_VALUE"""),1.013)</f>
        <v>1.013</v>
      </c>
      <c r="E771" s="16">
        <f>IFERROR(__xludf.DUMMYFUNCTION("""COMPUTED_VALUE"""),65.0)</f>
        <v>65</v>
      </c>
      <c r="F771" s="19" t="str">
        <f>IFERROR(__xludf.DUMMYFUNCTION("""COMPUTED_VALUE"""),"BLACK")</f>
        <v>BLACK</v>
      </c>
      <c r="G771" s="20" t="str">
        <f>IFERROR(__xludf.DUMMYFUNCTION("""COMPUTED_VALUE"""),"Tap 6 Clone (10/15/2021)")</f>
        <v>Tap 6 Clone (10/15/2021)</v>
      </c>
      <c r="H771" s="19"/>
    </row>
    <row r="772">
      <c r="A772" s="9"/>
      <c r="B772" s="15"/>
      <c r="C772" s="9">
        <f>IFERROR(__xludf.DUMMYFUNCTION("""COMPUTED_VALUE"""),44503.6639570254)</f>
        <v>44503.66396</v>
      </c>
      <c r="D772" s="15">
        <f>IFERROR(__xludf.DUMMYFUNCTION("""COMPUTED_VALUE"""),1.013)</f>
        <v>1.013</v>
      </c>
      <c r="E772" s="16">
        <f>IFERROR(__xludf.DUMMYFUNCTION("""COMPUTED_VALUE"""),65.0)</f>
        <v>65</v>
      </c>
      <c r="F772" s="19" t="str">
        <f>IFERROR(__xludf.DUMMYFUNCTION("""COMPUTED_VALUE"""),"BLACK")</f>
        <v>BLACK</v>
      </c>
      <c r="G772" s="20" t="str">
        <f>IFERROR(__xludf.DUMMYFUNCTION("""COMPUTED_VALUE"""),"Tap 6 Clone (10/15/2021)")</f>
        <v>Tap 6 Clone (10/15/2021)</v>
      </c>
      <c r="H772" s="19"/>
    </row>
    <row r="773">
      <c r="A773" s="9"/>
      <c r="B773" s="15"/>
      <c r="C773" s="9">
        <f>IFERROR(__xludf.DUMMYFUNCTION("""COMPUTED_VALUE"""),44503.6535359027)</f>
        <v>44503.65354</v>
      </c>
      <c r="D773" s="15">
        <f>IFERROR(__xludf.DUMMYFUNCTION("""COMPUTED_VALUE"""),1.013)</f>
        <v>1.013</v>
      </c>
      <c r="E773" s="16">
        <f>IFERROR(__xludf.DUMMYFUNCTION("""COMPUTED_VALUE"""),65.0)</f>
        <v>65</v>
      </c>
      <c r="F773" s="19" t="str">
        <f>IFERROR(__xludf.DUMMYFUNCTION("""COMPUTED_VALUE"""),"BLACK")</f>
        <v>BLACK</v>
      </c>
      <c r="G773" s="20" t="str">
        <f>IFERROR(__xludf.DUMMYFUNCTION("""COMPUTED_VALUE"""),"Tap 6 Clone (10/15/2021)")</f>
        <v>Tap 6 Clone (10/15/2021)</v>
      </c>
      <c r="H773" s="19"/>
    </row>
    <row r="774">
      <c r="A774" s="9"/>
      <c r="B774" s="15"/>
      <c r="C774" s="9">
        <f>IFERROR(__xludf.DUMMYFUNCTION("""COMPUTED_VALUE"""),44503.6431040972)</f>
        <v>44503.6431</v>
      </c>
      <c r="D774" s="15">
        <f>IFERROR(__xludf.DUMMYFUNCTION("""COMPUTED_VALUE"""),1.013)</f>
        <v>1.013</v>
      </c>
      <c r="E774" s="16">
        <f>IFERROR(__xludf.DUMMYFUNCTION("""COMPUTED_VALUE"""),65.0)</f>
        <v>65</v>
      </c>
      <c r="F774" s="19" t="str">
        <f>IFERROR(__xludf.DUMMYFUNCTION("""COMPUTED_VALUE"""),"BLACK")</f>
        <v>BLACK</v>
      </c>
      <c r="G774" s="20" t="str">
        <f>IFERROR(__xludf.DUMMYFUNCTION("""COMPUTED_VALUE"""),"Tap 6 Clone (10/15/2021)")</f>
        <v>Tap 6 Clone (10/15/2021)</v>
      </c>
      <c r="H774" s="19"/>
    </row>
    <row r="775">
      <c r="A775" s="9"/>
      <c r="B775" s="15"/>
      <c r="C775" s="9">
        <f>IFERROR(__xludf.DUMMYFUNCTION("""COMPUTED_VALUE"""),44503.632671493)</f>
        <v>44503.63267</v>
      </c>
      <c r="D775" s="15">
        <f>IFERROR(__xludf.DUMMYFUNCTION("""COMPUTED_VALUE"""),1.013)</f>
        <v>1.013</v>
      </c>
      <c r="E775" s="16">
        <f>IFERROR(__xludf.DUMMYFUNCTION("""COMPUTED_VALUE"""),65.0)</f>
        <v>65</v>
      </c>
      <c r="F775" s="19" t="str">
        <f>IFERROR(__xludf.DUMMYFUNCTION("""COMPUTED_VALUE"""),"BLACK")</f>
        <v>BLACK</v>
      </c>
      <c r="G775" s="20" t="str">
        <f>IFERROR(__xludf.DUMMYFUNCTION("""COMPUTED_VALUE"""),"Tap 6 Clone (10/15/2021)")</f>
        <v>Tap 6 Clone (10/15/2021)</v>
      </c>
      <c r="H775" s="19"/>
    </row>
    <row r="776">
      <c r="A776" s="9"/>
      <c r="B776" s="15"/>
      <c r="C776" s="9">
        <f>IFERROR(__xludf.DUMMYFUNCTION("""COMPUTED_VALUE"""),44503.6222501041)</f>
        <v>44503.62225</v>
      </c>
      <c r="D776" s="15">
        <f>IFERROR(__xludf.DUMMYFUNCTION("""COMPUTED_VALUE"""),1.013)</f>
        <v>1.013</v>
      </c>
      <c r="E776" s="16">
        <f>IFERROR(__xludf.DUMMYFUNCTION("""COMPUTED_VALUE"""),65.0)</f>
        <v>65</v>
      </c>
      <c r="F776" s="19" t="str">
        <f>IFERROR(__xludf.DUMMYFUNCTION("""COMPUTED_VALUE"""),"BLACK")</f>
        <v>BLACK</v>
      </c>
      <c r="G776" s="20" t="str">
        <f>IFERROR(__xludf.DUMMYFUNCTION("""COMPUTED_VALUE"""),"Tap 6 Clone (10/15/2021)")</f>
        <v>Tap 6 Clone (10/15/2021)</v>
      </c>
      <c r="H776" s="19"/>
    </row>
    <row r="777">
      <c r="A777" s="9"/>
      <c r="B777" s="15"/>
      <c r="C777" s="9">
        <f>IFERROR(__xludf.DUMMYFUNCTION("""COMPUTED_VALUE"""),44503.6118299189)</f>
        <v>44503.61183</v>
      </c>
      <c r="D777" s="15">
        <f>IFERROR(__xludf.DUMMYFUNCTION("""COMPUTED_VALUE"""),1.013)</f>
        <v>1.013</v>
      </c>
      <c r="E777" s="16">
        <f>IFERROR(__xludf.DUMMYFUNCTION("""COMPUTED_VALUE"""),65.0)</f>
        <v>65</v>
      </c>
      <c r="F777" s="19" t="str">
        <f>IFERROR(__xludf.DUMMYFUNCTION("""COMPUTED_VALUE"""),"BLACK")</f>
        <v>BLACK</v>
      </c>
      <c r="G777" s="20" t="str">
        <f>IFERROR(__xludf.DUMMYFUNCTION("""COMPUTED_VALUE"""),"Tap 6 Clone (10/15/2021)")</f>
        <v>Tap 6 Clone (10/15/2021)</v>
      </c>
      <c r="H777" s="19"/>
    </row>
    <row r="778">
      <c r="A778" s="9"/>
      <c r="B778" s="15"/>
      <c r="C778" s="9">
        <f>IFERROR(__xludf.DUMMYFUNCTION("""COMPUTED_VALUE"""),44503.6013989699)</f>
        <v>44503.6014</v>
      </c>
      <c r="D778" s="15">
        <f>IFERROR(__xludf.DUMMYFUNCTION("""COMPUTED_VALUE"""),1.013)</f>
        <v>1.013</v>
      </c>
      <c r="E778" s="16">
        <f>IFERROR(__xludf.DUMMYFUNCTION("""COMPUTED_VALUE"""),65.0)</f>
        <v>65</v>
      </c>
      <c r="F778" s="19" t="str">
        <f>IFERROR(__xludf.DUMMYFUNCTION("""COMPUTED_VALUE"""),"BLACK")</f>
        <v>BLACK</v>
      </c>
      <c r="G778" s="20" t="str">
        <f>IFERROR(__xludf.DUMMYFUNCTION("""COMPUTED_VALUE"""),"Tap 6 Clone (10/15/2021)")</f>
        <v>Tap 6 Clone (10/15/2021)</v>
      </c>
      <c r="H778" s="19"/>
    </row>
    <row r="779">
      <c r="A779" s="9"/>
      <c r="B779" s="15"/>
      <c r="C779" s="9">
        <f>IFERROR(__xludf.DUMMYFUNCTION("""COMPUTED_VALUE"""),44503.59098)</f>
        <v>44503.59098</v>
      </c>
      <c r="D779" s="15">
        <f>IFERROR(__xludf.DUMMYFUNCTION("""COMPUTED_VALUE"""),1.014)</f>
        <v>1.014</v>
      </c>
      <c r="E779" s="16">
        <f>IFERROR(__xludf.DUMMYFUNCTION("""COMPUTED_VALUE"""),65.0)</f>
        <v>65</v>
      </c>
      <c r="F779" s="19" t="str">
        <f>IFERROR(__xludf.DUMMYFUNCTION("""COMPUTED_VALUE"""),"BLACK")</f>
        <v>BLACK</v>
      </c>
      <c r="G779" s="20" t="str">
        <f>IFERROR(__xludf.DUMMYFUNCTION("""COMPUTED_VALUE"""),"Tap 6 Clone (10/15/2021)")</f>
        <v>Tap 6 Clone (10/15/2021)</v>
      </c>
      <c r="H779" s="19"/>
    </row>
    <row r="780">
      <c r="A780" s="9"/>
      <c r="B780" s="15"/>
      <c r="C780" s="9">
        <f>IFERROR(__xludf.DUMMYFUNCTION("""COMPUTED_VALUE"""),44503.5805606944)</f>
        <v>44503.58056</v>
      </c>
      <c r="D780" s="15">
        <f>IFERROR(__xludf.DUMMYFUNCTION("""COMPUTED_VALUE"""),1.014)</f>
        <v>1.014</v>
      </c>
      <c r="E780" s="16">
        <f>IFERROR(__xludf.DUMMYFUNCTION("""COMPUTED_VALUE"""),65.0)</f>
        <v>65</v>
      </c>
      <c r="F780" s="19" t="str">
        <f>IFERROR(__xludf.DUMMYFUNCTION("""COMPUTED_VALUE"""),"BLACK")</f>
        <v>BLACK</v>
      </c>
      <c r="G780" s="20" t="str">
        <f>IFERROR(__xludf.DUMMYFUNCTION("""COMPUTED_VALUE"""),"Tap 6 Clone (10/15/2021)")</f>
        <v>Tap 6 Clone (10/15/2021)</v>
      </c>
      <c r="H780" s="19"/>
    </row>
    <row r="781">
      <c r="A781" s="9"/>
      <c r="B781" s="15"/>
      <c r="C781" s="9">
        <f>IFERROR(__xludf.DUMMYFUNCTION("""COMPUTED_VALUE"""),44503.5701386805)</f>
        <v>44503.57014</v>
      </c>
      <c r="D781" s="15">
        <f>IFERROR(__xludf.DUMMYFUNCTION("""COMPUTED_VALUE"""),1.013)</f>
        <v>1.013</v>
      </c>
      <c r="E781" s="16">
        <f>IFERROR(__xludf.DUMMYFUNCTION("""COMPUTED_VALUE"""),65.0)</f>
        <v>65</v>
      </c>
      <c r="F781" s="19" t="str">
        <f>IFERROR(__xludf.DUMMYFUNCTION("""COMPUTED_VALUE"""),"BLACK")</f>
        <v>BLACK</v>
      </c>
      <c r="G781" s="20" t="str">
        <f>IFERROR(__xludf.DUMMYFUNCTION("""COMPUTED_VALUE"""),"Tap 6 Clone (10/15/2021)")</f>
        <v>Tap 6 Clone (10/15/2021)</v>
      </c>
      <c r="H781" s="19"/>
    </row>
    <row r="782">
      <c r="A782" s="9"/>
      <c r="B782" s="15"/>
      <c r="C782" s="9">
        <f>IFERROR(__xludf.DUMMYFUNCTION("""COMPUTED_VALUE"""),44503.5597061689)</f>
        <v>44503.55971</v>
      </c>
      <c r="D782" s="15">
        <f>IFERROR(__xludf.DUMMYFUNCTION("""COMPUTED_VALUE"""),1.013)</f>
        <v>1.013</v>
      </c>
      <c r="E782" s="16">
        <f>IFERROR(__xludf.DUMMYFUNCTION("""COMPUTED_VALUE"""),65.0)</f>
        <v>65</v>
      </c>
      <c r="F782" s="19" t="str">
        <f>IFERROR(__xludf.DUMMYFUNCTION("""COMPUTED_VALUE"""),"BLACK")</f>
        <v>BLACK</v>
      </c>
      <c r="G782" s="20" t="str">
        <f>IFERROR(__xludf.DUMMYFUNCTION("""COMPUTED_VALUE"""),"Tap 6 Clone (10/15/2021)")</f>
        <v>Tap 6 Clone (10/15/2021)</v>
      </c>
      <c r="H782" s="19"/>
    </row>
    <row r="783">
      <c r="A783" s="9"/>
      <c r="B783" s="15"/>
      <c r="C783" s="9">
        <f>IFERROR(__xludf.DUMMYFUNCTION("""COMPUTED_VALUE"""),44503.5492854282)</f>
        <v>44503.54929</v>
      </c>
      <c r="D783" s="15">
        <f>IFERROR(__xludf.DUMMYFUNCTION("""COMPUTED_VALUE"""),1.013)</f>
        <v>1.013</v>
      </c>
      <c r="E783" s="16">
        <f>IFERROR(__xludf.DUMMYFUNCTION("""COMPUTED_VALUE"""),65.0)</f>
        <v>65</v>
      </c>
      <c r="F783" s="19" t="str">
        <f>IFERROR(__xludf.DUMMYFUNCTION("""COMPUTED_VALUE"""),"BLACK")</f>
        <v>BLACK</v>
      </c>
      <c r="G783" s="20" t="str">
        <f>IFERROR(__xludf.DUMMYFUNCTION("""COMPUTED_VALUE"""),"Tap 6 Clone (10/15/2021)")</f>
        <v>Tap 6 Clone (10/15/2021)</v>
      </c>
      <c r="H783" s="19"/>
    </row>
    <row r="784">
      <c r="A784" s="9"/>
      <c r="B784" s="15"/>
      <c r="C784" s="9">
        <f>IFERROR(__xludf.DUMMYFUNCTION("""COMPUTED_VALUE"""),44503.5388625578)</f>
        <v>44503.53886</v>
      </c>
      <c r="D784" s="15">
        <f>IFERROR(__xludf.DUMMYFUNCTION("""COMPUTED_VALUE"""),1.014)</f>
        <v>1.014</v>
      </c>
      <c r="E784" s="16">
        <f>IFERROR(__xludf.DUMMYFUNCTION("""COMPUTED_VALUE"""),65.0)</f>
        <v>65</v>
      </c>
      <c r="F784" s="19" t="str">
        <f>IFERROR(__xludf.DUMMYFUNCTION("""COMPUTED_VALUE"""),"BLACK")</f>
        <v>BLACK</v>
      </c>
      <c r="G784" s="20" t="str">
        <f>IFERROR(__xludf.DUMMYFUNCTION("""COMPUTED_VALUE"""),"Tap 6 Clone (10/15/2021)")</f>
        <v>Tap 6 Clone (10/15/2021)</v>
      </c>
      <c r="H784" s="19"/>
    </row>
    <row r="785">
      <c r="A785" s="9"/>
      <c r="B785" s="15"/>
      <c r="C785" s="9">
        <f>IFERROR(__xludf.DUMMYFUNCTION("""COMPUTED_VALUE"""),44503.5284415046)</f>
        <v>44503.52844</v>
      </c>
      <c r="D785" s="15">
        <f>IFERROR(__xludf.DUMMYFUNCTION("""COMPUTED_VALUE"""),1.014)</f>
        <v>1.014</v>
      </c>
      <c r="E785" s="16">
        <f>IFERROR(__xludf.DUMMYFUNCTION("""COMPUTED_VALUE"""),65.0)</f>
        <v>65</v>
      </c>
      <c r="F785" s="19" t="str">
        <f>IFERROR(__xludf.DUMMYFUNCTION("""COMPUTED_VALUE"""),"BLACK")</f>
        <v>BLACK</v>
      </c>
      <c r="G785" s="20" t="str">
        <f>IFERROR(__xludf.DUMMYFUNCTION("""COMPUTED_VALUE"""),"Tap 6 Clone (10/15/2021)")</f>
        <v>Tap 6 Clone (10/15/2021)</v>
      </c>
      <c r="H785" s="19"/>
    </row>
    <row r="786">
      <c r="A786" s="9"/>
      <c r="B786" s="15"/>
      <c r="C786" s="9">
        <f>IFERROR(__xludf.DUMMYFUNCTION("""COMPUTED_VALUE"""),44503.5180208333)</f>
        <v>44503.51802</v>
      </c>
      <c r="D786" s="15">
        <f>IFERROR(__xludf.DUMMYFUNCTION("""COMPUTED_VALUE"""),1.013)</f>
        <v>1.013</v>
      </c>
      <c r="E786" s="16">
        <f>IFERROR(__xludf.DUMMYFUNCTION("""COMPUTED_VALUE"""),65.0)</f>
        <v>65</v>
      </c>
      <c r="F786" s="19" t="str">
        <f>IFERROR(__xludf.DUMMYFUNCTION("""COMPUTED_VALUE"""),"BLACK")</f>
        <v>BLACK</v>
      </c>
      <c r="G786" s="20" t="str">
        <f>IFERROR(__xludf.DUMMYFUNCTION("""COMPUTED_VALUE"""),"Tap 6 Clone (10/15/2021)")</f>
        <v>Tap 6 Clone (10/15/2021)</v>
      </c>
      <c r="H786" s="19"/>
    </row>
    <row r="787">
      <c r="A787" s="9"/>
      <c r="B787" s="15"/>
      <c r="C787" s="9">
        <f>IFERROR(__xludf.DUMMYFUNCTION("""COMPUTED_VALUE"""),44503.5076014467)</f>
        <v>44503.5076</v>
      </c>
      <c r="D787" s="15">
        <f>IFERROR(__xludf.DUMMYFUNCTION("""COMPUTED_VALUE"""),1.013)</f>
        <v>1.013</v>
      </c>
      <c r="E787" s="16">
        <f>IFERROR(__xludf.DUMMYFUNCTION("""COMPUTED_VALUE"""),65.0)</f>
        <v>65</v>
      </c>
      <c r="F787" s="19" t="str">
        <f>IFERROR(__xludf.DUMMYFUNCTION("""COMPUTED_VALUE"""),"BLACK")</f>
        <v>BLACK</v>
      </c>
      <c r="G787" s="20" t="str">
        <f>IFERROR(__xludf.DUMMYFUNCTION("""COMPUTED_VALUE"""),"Tap 6 Clone (10/15/2021)")</f>
        <v>Tap 6 Clone (10/15/2021)</v>
      </c>
      <c r="H787" s="19"/>
    </row>
    <row r="788">
      <c r="A788" s="9"/>
      <c r="B788" s="15"/>
      <c r="C788" s="9">
        <f>IFERROR(__xludf.DUMMYFUNCTION("""COMPUTED_VALUE"""),44503.4971783796)</f>
        <v>44503.49718</v>
      </c>
      <c r="D788" s="15">
        <f>IFERROR(__xludf.DUMMYFUNCTION("""COMPUTED_VALUE"""),1.013)</f>
        <v>1.013</v>
      </c>
      <c r="E788" s="16">
        <f>IFERROR(__xludf.DUMMYFUNCTION("""COMPUTED_VALUE"""),65.0)</f>
        <v>65</v>
      </c>
      <c r="F788" s="19" t="str">
        <f>IFERROR(__xludf.DUMMYFUNCTION("""COMPUTED_VALUE"""),"BLACK")</f>
        <v>BLACK</v>
      </c>
      <c r="G788" s="20" t="str">
        <f>IFERROR(__xludf.DUMMYFUNCTION("""COMPUTED_VALUE"""),"Tap 6 Clone (10/15/2021)")</f>
        <v>Tap 6 Clone (10/15/2021)</v>
      </c>
      <c r="H788" s="19"/>
    </row>
    <row r="789">
      <c r="A789" s="9"/>
      <c r="B789" s="15"/>
      <c r="C789" s="9">
        <f>IFERROR(__xludf.DUMMYFUNCTION("""COMPUTED_VALUE"""),44503.4867572453)</f>
        <v>44503.48676</v>
      </c>
      <c r="D789" s="15">
        <f>IFERROR(__xludf.DUMMYFUNCTION("""COMPUTED_VALUE"""),1.013)</f>
        <v>1.013</v>
      </c>
      <c r="E789" s="16">
        <f>IFERROR(__xludf.DUMMYFUNCTION("""COMPUTED_VALUE"""),65.0)</f>
        <v>65</v>
      </c>
      <c r="F789" s="19" t="str">
        <f>IFERROR(__xludf.DUMMYFUNCTION("""COMPUTED_VALUE"""),"BLACK")</f>
        <v>BLACK</v>
      </c>
      <c r="G789" s="20" t="str">
        <f>IFERROR(__xludf.DUMMYFUNCTION("""COMPUTED_VALUE"""),"Tap 6 Clone (10/15/2021)")</f>
        <v>Tap 6 Clone (10/15/2021)</v>
      </c>
      <c r="H789" s="19"/>
    </row>
    <row r="790">
      <c r="A790" s="9"/>
      <c r="B790" s="15"/>
      <c r="C790" s="9">
        <f>IFERROR(__xludf.DUMMYFUNCTION("""COMPUTED_VALUE"""),44503.4763351851)</f>
        <v>44503.47634</v>
      </c>
      <c r="D790" s="15">
        <f>IFERROR(__xludf.DUMMYFUNCTION("""COMPUTED_VALUE"""),1.013)</f>
        <v>1.013</v>
      </c>
      <c r="E790" s="16">
        <f>IFERROR(__xludf.DUMMYFUNCTION("""COMPUTED_VALUE"""),65.0)</f>
        <v>65</v>
      </c>
      <c r="F790" s="19" t="str">
        <f>IFERROR(__xludf.DUMMYFUNCTION("""COMPUTED_VALUE"""),"BLACK")</f>
        <v>BLACK</v>
      </c>
      <c r="G790" s="20" t="str">
        <f>IFERROR(__xludf.DUMMYFUNCTION("""COMPUTED_VALUE"""),"Tap 6 Clone (10/15/2021)")</f>
        <v>Tap 6 Clone (10/15/2021)</v>
      </c>
      <c r="H790" s="19"/>
    </row>
    <row r="791">
      <c r="A791" s="9"/>
      <c r="B791" s="15"/>
      <c r="C791" s="9">
        <f>IFERROR(__xludf.DUMMYFUNCTION("""COMPUTED_VALUE"""),44503.4659125347)</f>
        <v>44503.46591</v>
      </c>
      <c r="D791" s="15">
        <f>IFERROR(__xludf.DUMMYFUNCTION("""COMPUTED_VALUE"""),1.013)</f>
        <v>1.013</v>
      </c>
      <c r="E791" s="16">
        <f>IFERROR(__xludf.DUMMYFUNCTION("""COMPUTED_VALUE"""),65.0)</f>
        <v>65</v>
      </c>
      <c r="F791" s="19" t="str">
        <f>IFERROR(__xludf.DUMMYFUNCTION("""COMPUTED_VALUE"""),"BLACK")</f>
        <v>BLACK</v>
      </c>
      <c r="G791" s="20" t="str">
        <f>IFERROR(__xludf.DUMMYFUNCTION("""COMPUTED_VALUE"""),"Tap 6 Clone (10/15/2021)")</f>
        <v>Tap 6 Clone (10/15/2021)</v>
      </c>
      <c r="H791" s="19"/>
    </row>
    <row r="792">
      <c r="A792" s="9"/>
      <c r="B792" s="15"/>
      <c r="C792" s="9">
        <f>IFERROR(__xludf.DUMMYFUNCTION("""COMPUTED_VALUE"""),44503.4554901157)</f>
        <v>44503.45549</v>
      </c>
      <c r="D792" s="15">
        <f>IFERROR(__xludf.DUMMYFUNCTION("""COMPUTED_VALUE"""),1.013)</f>
        <v>1.013</v>
      </c>
      <c r="E792" s="16">
        <f>IFERROR(__xludf.DUMMYFUNCTION("""COMPUTED_VALUE"""),65.0)</f>
        <v>65</v>
      </c>
      <c r="F792" s="19" t="str">
        <f>IFERROR(__xludf.DUMMYFUNCTION("""COMPUTED_VALUE"""),"BLACK")</f>
        <v>BLACK</v>
      </c>
      <c r="G792" s="20" t="str">
        <f>IFERROR(__xludf.DUMMYFUNCTION("""COMPUTED_VALUE"""),"Tap 6 Clone (10/15/2021)")</f>
        <v>Tap 6 Clone (10/15/2021)</v>
      </c>
      <c r="H792" s="19"/>
    </row>
    <row r="793">
      <c r="A793" s="9"/>
      <c r="B793" s="15"/>
      <c r="C793" s="9">
        <f>IFERROR(__xludf.DUMMYFUNCTION("""COMPUTED_VALUE"""),44503.4450561921)</f>
        <v>44503.44506</v>
      </c>
      <c r="D793" s="15">
        <f>IFERROR(__xludf.DUMMYFUNCTION("""COMPUTED_VALUE"""),1.013)</f>
        <v>1.013</v>
      </c>
      <c r="E793" s="16">
        <f>IFERROR(__xludf.DUMMYFUNCTION("""COMPUTED_VALUE"""),65.0)</f>
        <v>65</v>
      </c>
      <c r="F793" s="19" t="str">
        <f>IFERROR(__xludf.DUMMYFUNCTION("""COMPUTED_VALUE"""),"BLACK")</f>
        <v>BLACK</v>
      </c>
      <c r="G793" s="20" t="str">
        <f>IFERROR(__xludf.DUMMYFUNCTION("""COMPUTED_VALUE"""),"Tap 6 Clone (10/15/2021)")</f>
        <v>Tap 6 Clone (10/15/2021)</v>
      </c>
      <c r="H793" s="19"/>
    </row>
    <row r="794">
      <c r="A794" s="9"/>
      <c r="B794" s="15"/>
      <c r="C794" s="9">
        <f>IFERROR(__xludf.DUMMYFUNCTION("""COMPUTED_VALUE"""),44503.434633912)</f>
        <v>44503.43463</v>
      </c>
      <c r="D794" s="15">
        <f>IFERROR(__xludf.DUMMYFUNCTION("""COMPUTED_VALUE"""),1.013)</f>
        <v>1.013</v>
      </c>
      <c r="E794" s="16">
        <f>IFERROR(__xludf.DUMMYFUNCTION("""COMPUTED_VALUE"""),65.0)</f>
        <v>65</v>
      </c>
      <c r="F794" s="19" t="str">
        <f>IFERROR(__xludf.DUMMYFUNCTION("""COMPUTED_VALUE"""),"BLACK")</f>
        <v>BLACK</v>
      </c>
      <c r="G794" s="20" t="str">
        <f>IFERROR(__xludf.DUMMYFUNCTION("""COMPUTED_VALUE"""),"Tap 6 Clone (10/15/2021)")</f>
        <v>Tap 6 Clone (10/15/2021)</v>
      </c>
      <c r="H794" s="19"/>
    </row>
    <row r="795">
      <c r="A795" s="9"/>
      <c r="B795" s="15"/>
      <c r="C795" s="9">
        <f>IFERROR(__xludf.DUMMYFUNCTION("""COMPUTED_VALUE"""),44503.4242002314)</f>
        <v>44503.4242</v>
      </c>
      <c r="D795" s="15">
        <f>IFERROR(__xludf.DUMMYFUNCTION("""COMPUTED_VALUE"""),1.013)</f>
        <v>1.013</v>
      </c>
      <c r="E795" s="16">
        <f>IFERROR(__xludf.DUMMYFUNCTION("""COMPUTED_VALUE"""),65.0)</f>
        <v>65</v>
      </c>
      <c r="F795" s="19" t="str">
        <f>IFERROR(__xludf.DUMMYFUNCTION("""COMPUTED_VALUE"""),"BLACK")</f>
        <v>BLACK</v>
      </c>
      <c r="G795" s="20" t="str">
        <f>IFERROR(__xludf.DUMMYFUNCTION("""COMPUTED_VALUE"""),"Tap 6 Clone (10/15/2021)")</f>
        <v>Tap 6 Clone (10/15/2021)</v>
      </c>
      <c r="H795" s="19"/>
    </row>
    <row r="796">
      <c r="A796" s="9"/>
      <c r="B796" s="15"/>
      <c r="C796" s="9">
        <f>IFERROR(__xludf.DUMMYFUNCTION("""COMPUTED_VALUE"""),44503.4137802893)</f>
        <v>44503.41378</v>
      </c>
      <c r="D796" s="15">
        <f>IFERROR(__xludf.DUMMYFUNCTION("""COMPUTED_VALUE"""),1.013)</f>
        <v>1.013</v>
      </c>
      <c r="E796" s="16">
        <f>IFERROR(__xludf.DUMMYFUNCTION("""COMPUTED_VALUE"""),65.0)</f>
        <v>65</v>
      </c>
      <c r="F796" s="19" t="str">
        <f>IFERROR(__xludf.DUMMYFUNCTION("""COMPUTED_VALUE"""),"BLACK")</f>
        <v>BLACK</v>
      </c>
      <c r="G796" s="20" t="str">
        <f>IFERROR(__xludf.DUMMYFUNCTION("""COMPUTED_VALUE"""),"Tap 6 Clone (10/15/2021)")</f>
        <v>Tap 6 Clone (10/15/2021)</v>
      </c>
      <c r="H796" s="19"/>
    </row>
    <row r="797">
      <c r="A797" s="9"/>
      <c r="B797" s="15"/>
      <c r="C797" s="9">
        <f>IFERROR(__xludf.DUMMYFUNCTION("""COMPUTED_VALUE"""),44503.4033601041)</f>
        <v>44503.40336</v>
      </c>
      <c r="D797" s="15">
        <f>IFERROR(__xludf.DUMMYFUNCTION("""COMPUTED_VALUE"""),1.013)</f>
        <v>1.013</v>
      </c>
      <c r="E797" s="16">
        <f>IFERROR(__xludf.DUMMYFUNCTION("""COMPUTED_VALUE"""),65.0)</f>
        <v>65</v>
      </c>
      <c r="F797" s="19" t="str">
        <f>IFERROR(__xludf.DUMMYFUNCTION("""COMPUTED_VALUE"""),"BLACK")</f>
        <v>BLACK</v>
      </c>
      <c r="G797" s="20" t="str">
        <f>IFERROR(__xludf.DUMMYFUNCTION("""COMPUTED_VALUE"""),"Tap 6 Clone (10/15/2021)")</f>
        <v>Tap 6 Clone (10/15/2021)</v>
      </c>
      <c r="H797" s="19"/>
    </row>
    <row r="798">
      <c r="A798" s="9"/>
      <c r="B798" s="15"/>
      <c r="C798" s="9">
        <f>IFERROR(__xludf.DUMMYFUNCTION("""COMPUTED_VALUE"""),44503.3929393865)</f>
        <v>44503.39294</v>
      </c>
      <c r="D798" s="15">
        <f>IFERROR(__xludf.DUMMYFUNCTION("""COMPUTED_VALUE"""),1.013)</f>
        <v>1.013</v>
      </c>
      <c r="E798" s="16">
        <f>IFERROR(__xludf.DUMMYFUNCTION("""COMPUTED_VALUE"""),65.0)</f>
        <v>65</v>
      </c>
      <c r="F798" s="19" t="str">
        <f>IFERROR(__xludf.DUMMYFUNCTION("""COMPUTED_VALUE"""),"BLACK")</f>
        <v>BLACK</v>
      </c>
      <c r="G798" s="20" t="str">
        <f>IFERROR(__xludf.DUMMYFUNCTION("""COMPUTED_VALUE"""),"Tap 6 Clone (10/15/2021)")</f>
        <v>Tap 6 Clone (10/15/2021)</v>
      </c>
      <c r="H798" s="19"/>
    </row>
    <row r="799">
      <c r="A799" s="9"/>
      <c r="B799" s="15"/>
      <c r="C799" s="9">
        <f>IFERROR(__xludf.DUMMYFUNCTION("""COMPUTED_VALUE"""),44503.3825184375)</f>
        <v>44503.38252</v>
      </c>
      <c r="D799" s="15">
        <f>IFERROR(__xludf.DUMMYFUNCTION("""COMPUTED_VALUE"""),1.013)</f>
        <v>1.013</v>
      </c>
      <c r="E799" s="16">
        <f>IFERROR(__xludf.DUMMYFUNCTION("""COMPUTED_VALUE"""),65.0)</f>
        <v>65</v>
      </c>
      <c r="F799" s="19" t="str">
        <f>IFERROR(__xludf.DUMMYFUNCTION("""COMPUTED_VALUE"""),"BLACK")</f>
        <v>BLACK</v>
      </c>
      <c r="G799" s="20" t="str">
        <f>IFERROR(__xludf.DUMMYFUNCTION("""COMPUTED_VALUE"""),"Tap 6 Clone (10/15/2021)")</f>
        <v>Tap 6 Clone (10/15/2021)</v>
      </c>
      <c r="H799" s="19"/>
    </row>
    <row r="800">
      <c r="A800" s="9"/>
      <c r="B800" s="15"/>
      <c r="C800" s="9">
        <f>IFERROR(__xludf.DUMMYFUNCTION("""COMPUTED_VALUE"""),44503.3720974768)</f>
        <v>44503.3721</v>
      </c>
      <c r="D800" s="15">
        <f>IFERROR(__xludf.DUMMYFUNCTION("""COMPUTED_VALUE"""),1.013)</f>
        <v>1.013</v>
      </c>
      <c r="E800" s="16">
        <f>IFERROR(__xludf.DUMMYFUNCTION("""COMPUTED_VALUE"""),65.0)</f>
        <v>65</v>
      </c>
      <c r="F800" s="19" t="str">
        <f>IFERROR(__xludf.DUMMYFUNCTION("""COMPUTED_VALUE"""),"BLACK")</f>
        <v>BLACK</v>
      </c>
      <c r="G800" s="20" t="str">
        <f>IFERROR(__xludf.DUMMYFUNCTION("""COMPUTED_VALUE"""),"Tap 6 Clone (10/15/2021)")</f>
        <v>Tap 6 Clone (10/15/2021)</v>
      </c>
      <c r="H800" s="19"/>
    </row>
    <row r="801">
      <c r="A801" s="9"/>
      <c r="B801" s="15"/>
      <c r="C801" s="9">
        <f>IFERROR(__xludf.DUMMYFUNCTION("""COMPUTED_VALUE"""),44503.3616650231)</f>
        <v>44503.36167</v>
      </c>
      <c r="D801" s="15">
        <f>IFERROR(__xludf.DUMMYFUNCTION("""COMPUTED_VALUE"""),1.013)</f>
        <v>1.013</v>
      </c>
      <c r="E801" s="16">
        <f>IFERROR(__xludf.DUMMYFUNCTION("""COMPUTED_VALUE"""),65.0)</f>
        <v>65</v>
      </c>
      <c r="F801" s="19" t="str">
        <f>IFERROR(__xludf.DUMMYFUNCTION("""COMPUTED_VALUE"""),"BLACK")</f>
        <v>BLACK</v>
      </c>
      <c r="G801" s="20" t="str">
        <f>IFERROR(__xludf.DUMMYFUNCTION("""COMPUTED_VALUE"""),"Tap 6 Clone (10/15/2021)")</f>
        <v>Tap 6 Clone (10/15/2021)</v>
      </c>
      <c r="H801" s="19"/>
    </row>
    <row r="802">
      <c r="A802" s="9"/>
      <c r="B802" s="15"/>
      <c r="C802" s="9">
        <f>IFERROR(__xludf.DUMMYFUNCTION("""COMPUTED_VALUE"""),44503.3512440972)</f>
        <v>44503.35124</v>
      </c>
      <c r="D802" s="15">
        <f>IFERROR(__xludf.DUMMYFUNCTION("""COMPUTED_VALUE"""),1.013)</f>
        <v>1.013</v>
      </c>
      <c r="E802" s="16">
        <f>IFERROR(__xludf.DUMMYFUNCTION("""COMPUTED_VALUE"""),65.0)</f>
        <v>65</v>
      </c>
      <c r="F802" s="19" t="str">
        <f>IFERROR(__xludf.DUMMYFUNCTION("""COMPUTED_VALUE"""),"BLACK")</f>
        <v>BLACK</v>
      </c>
      <c r="G802" s="20" t="str">
        <f>IFERROR(__xludf.DUMMYFUNCTION("""COMPUTED_VALUE"""),"Tap 6 Clone (10/15/2021)")</f>
        <v>Tap 6 Clone (10/15/2021)</v>
      </c>
      <c r="H802" s="19"/>
    </row>
    <row r="803">
      <c r="A803" s="9"/>
      <c r="B803" s="15"/>
      <c r="C803" s="9">
        <f>IFERROR(__xludf.DUMMYFUNCTION("""COMPUTED_VALUE"""),44503.3408247569)</f>
        <v>44503.34082</v>
      </c>
      <c r="D803" s="15">
        <f>IFERROR(__xludf.DUMMYFUNCTION("""COMPUTED_VALUE"""),1.013)</f>
        <v>1.013</v>
      </c>
      <c r="E803" s="16">
        <f>IFERROR(__xludf.DUMMYFUNCTION("""COMPUTED_VALUE"""),65.0)</f>
        <v>65</v>
      </c>
      <c r="F803" s="19" t="str">
        <f>IFERROR(__xludf.DUMMYFUNCTION("""COMPUTED_VALUE"""),"BLACK")</f>
        <v>BLACK</v>
      </c>
      <c r="G803" s="20" t="str">
        <f>IFERROR(__xludf.DUMMYFUNCTION("""COMPUTED_VALUE"""),"Tap 6 Clone (10/15/2021)")</f>
        <v>Tap 6 Clone (10/15/2021)</v>
      </c>
      <c r="H803" s="19"/>
    </row>
    <row r="804">
      <c r="A804" s="9"/>
      <c r="B804" s="15"/>
      <c r="C804" s="9">
        <f>IFERROR(__xludf.DUMMYFUNCTION("""COMPUTED_VALUE"""),44503.3304039467)</f>
        <v>44503.3304</v>
      </c>
      <c r="D804" s="15">
        <f>IFERROR(__xludf.DUMMYFUNCTION("""COMPUTED_VALUE"""),1.013)</f>
        <v>1.013</v>
      </c>
      <c r="E804" s="16">
        <f>IFERROR(__xludf.DUMMYFUNCTION("""COMPUTED_VALUE"""),65.0)</f>
        <v>65</v>
      </c>
      <c r="F804" s="19" t="str">
        <f>IFERROR(__xludf.DUMMYFUNCTION("""COMPUTED_VALUE"""),"BLACK")</f>
        <v>BLACK</v>
      </c>
      <c r="G804" s="20" t="str">
        <f>IFERROR(__xludf.DUMMYFUNCTION("""COMPUTED_VALUE"""),"Tap 6 Clone (10/15/2021)")</f>
        <v>Tap 6 Clone (10/15/2021)</v>
      </c>
      <c r="H804" s="19"/>
    </row>
    <row r="805">
      <c r="A805" s="9"/>
      <c r="B805" s="15"/>
      <c r="C805" s="9">
        <f>IFERROR(__xludf.DUMMYFUNCTION("""COMPUTED_VALUE"""),44503.3199843634)</f>
        <v>44503.31998</v>
      </c>
      <c r="D805" s="15">
        <f>IFERROR(__xludf.DUMMYFUNCTION("""COMPUTED_VALUE"""),1.013)</f>
        <v>1.013</v>
      </c>
      <c r="E805" s="16">
        <f>IFERROR(__xludf.DUMMYFUNCTION("""COMPUTED_VALUE"""),65.0)</f>
        <v>65</v>
      </c>
      <c r="F805" s="19" t="str">
        <f>IFERROR(__xludf.DUMMYFUNCTION("""COMPUTED_VALUE"""),"BLACK")</f>
        <v>BLACK</v>
      </c>
      <c r="G805" s="20" t="str">
        <f>IFERROR(__xludf.DUMMYFUNCTION("""COMPUTED_VALUE"""),"Tap 6 Clone (10/15/2021)")</f>
        <v>Tap 6 Clone (10/15/2021)</v>
      </c>
      <c r="H805" s="19"/>
    </row>
    <row r="806">
      <c r="A806" s="9"/>
      <c r="B806" s="15"/>
      <c r="C806" s="9">
        <f>IFERROR(__xludf.DUMMYFUNCTION("""COMPUTED_VALUE"""),44503.3095645486)</f>
        <v>44503.30956</v>
      </c>
      <c r="D806" s="15">
        <f>IFERROR(__xludf.DUMMYFUNCTION("""COMPUTED_VALUE"""),1.013)</f>
        <v>1.013</v>
      </c>
      <c r="E806" s="16">
        <f>IFERROR(__xludf.DUMMYFUNCTION("""COMPUTED_VALUE"""),65.0)</f>
        <v>65</v>
      </c>
      <c r="F806" s="19" t="str">
        <f>IFERROR(__xludf.DUMMYFUNCTION("""COMPUTED_VALUE"""),"BLACK")</f>
        <v>BLACK</v>
      </c>
      <c r="G806" s="20" t="str">
        <f>IFERROR(__xludf.DUMMYFUNCTION("""COMPUTED_VALUE"""),"Tap 6 Clone (10/15/2021)")</f>
        <v>Tap 6 Clone (10/15/2021)</v>
      </c>
      <c r="H806" s="19"/>
    </row>
    <row r="807">
      <c r="A807" s="9"/>
      <c r="B807" s="15"/>
      <c r="C807" s="9">
        <f>IFERROR(__xludf.DUMMYFUNCTION("""COMPUTED_VALUE"""),44503.2991417708)</f>
        <v>44503.29914</v>
      </c>
      <c r="D807" s="15">
        <f>IFERROR(__xludf.DUMMYFUNCTION("""COMPUTED_VALUE"""),1.013)</f>
        <v>1.013</v>
      </c>
      <c r="E807" s="16">
        <f>IFERROR(__xludf.DUMMYFUNCTION("""COMPUTED_VALUE"""),65.0)</f>
        <v>65</v>
      </c>
      <c r="F807" s="19" t="str">
        <f>IFERROR(__xludf.DUMMYFUNCTION("""COMPUTED_VALUE"""),"BLACK")</f>
        <v>BLACK</v>
      </c>
      <c r="G807" s="20" t="str">
        <f>IFERROR(__xludf.DUMMYFUNCTION("""COMPUTED_VALUE"""),"Tap 6 Clone (10/15/2021)")</f>
        <v>Tap 6 Clone (10/15/2021)</v>
      </c>
      <c r="H807" s="19"/>
    </row>
    <row r="808">
      <c r="A808" s="9"/>
      <c r="B808" s="15"/>
      <c r="C808" s="9">
        <f>IFERROR(__xludf.DUMMYFUNCTION("""COMPUTED_VALUE"""),44503.2887200462)</f>
        <v>44503.28872</v>
      </c>
      <c r="D808" s="15">
        <f>IFERROR(__xludf.DUMMYFUNCTION("""COMPUTED_VALUE"""),1.013)</f>
        <v>1.013</v>
      </c>
      <c r="E808" s="16">
        <f>IFERROR(__xludf.DUMMYFUNCTION("""COMPUTED_VALUE"""),65.0)</f>
        <v>65</v>
      </c>
      <c r="F808" s="19" t="str">
        <f>IFERROR(__xludf.DUMMYFUNCTION("""COMPUTED_VALUE"""),"BLACK")</f>
        <v>BLACK</v>
      </c>
      <c r="G808" s="20" t="str">
        <f>IFERROR(__xludf.DUMMYFUNCTION("""COMPUTED_VALUE"""),"Tap 6 Clone (10/15/2021)")</f>
        <v>Tap 6 Clone (10/15/2021)</v>
      </c>
      <c r="H808" s="19"/>
    </row>
    <row r="809">
      <c r="A809" s="9"/>
      <c r="B809" s="15"/>
      <c r="C809" s="9">
        <f>IFERROR(__xludf.DUMMYFUNCTION("""COMPUTED_VALUE"""),44503.2782990162)</f>
        <v>44503.2783</v>
      </c>
      <c r="D809" s="15">
        <f>IFERROR(__xludf.DUMMYFUNCTION("""COMPUTED_VALUE"""),1.013)</f>
        <v>1.013</v>
      </c>
      <c r="E809" s="16">
        <f>IFERROR(__xludf.DUMMYFUNCTION("""COMPUTED_VALUE"""),65.0)</f>
        <v>65</v>
      </c>
      <c r="F809" s="19" t="str">
        <f>IFERROR(__xludf.DUMMYFUNCTION("""COMPUTED_VALUE"""),"BLACK")</f>
        <v>BLACK</v>
      </c>
      <c r="G809" s="20" t="str">
        <f>IFERROR(__xludf.DUMMYFUNCTION("""COMPUTED_VALUE"""),"Tap 6 Clone (10/15/2021)")</f>
        <v>Tap 6 Clone (10/15/2021)</v>
      </c>
      <c r="H809" s="19"/>
    </row>
    <row r="810">
      <c r="A810" s="9"/>
      <c r="B810" s="15"/>
      <c r="C810" s="9">
        <f>IFERROR(__xludf.DUMMYFUNCTION("""COMPUTED_VALUE"""),44503.2678781713)</f>
        <v>44503.26788</v>
      </c>
      <c r="D810" s="15">
        <f>IFERROR(__xludf.DUMMYFUNCTION("""COMPUTED_VALUE"""),1.013)</f>
        <v>1.013</v>
      </c>
      <c r="E810" s="16">
        <f>IFERROR(__xludf.DUMMYFUNCTION("""COMPUTED_VALUE"""),65.0)</f>
        <v>65</v>
      </c>
      <c r="F810" s="19" t="str">
        <f>IFERROR(__xludf.DUMMYFUNCTION("""COMPUTED_VALUE"""),"BLACK")</f>
        <v>BLACK</v>
      </c>
      <c r="G810" s="20" t="str">
        <f>IFERROR(__xludf.DUMMYFUNCTION("""COMPUTED_VALUE"""),"Tap 6 Clone (10/15/2021)")</f>
        <v>Tap 6 Clone (10/15/2021)</v>
      </c>
      <c r="H810" s="19"/>
    </row>
    <row r="811">
      <c r="A811" s="9"/>
      <c r="B811" s="15"/>
      <c r="C811" s="9">
        <f>IFERROR(__xludf.DUMMYFUNCTION("""COMPUTED_VALUE"""),44503.2574557523)</f>
        <v>44503.25746</v>
      </c>
      <c r="D811" s="15">
        <f>IFERROR(__xludf.DUMMYFUNCTION("""COMPUTED_VALUE"""),1.013)</f>
        <v>1.013</v>
      </c>
      <c r="E811" s="16">
        <f>IFERROR(__xludf.DUMMYFUNCTION("""COMPUTED_VALUE"""),65.0)</f>
        <v>65</v>
      </c>
      <c r="F811" s="19" t="str">
        <f>IFERROR(__xludf.DUMMYFUNCTION("""COMPUTED_VALUE"""),"BLACK")</f>
        <v>BLACK</v>
      </c>
      <c r="G811" s="20" t="str">
        <f>IFERROR(__xludf.DUMMYFUNCTION("""COMPUTED_VALUE"""),"Tap 6 Clone (10/15/2021)")</f>
        <v>Tap 6 Clone (10/15/2021)</v>
      </c>
      <c r="H811" s="19"/>
    </row>
    <row r="812">
      <c r="A812" s="9"/>
      <c r="B812" s="15"/>
      <c r="C812" s="9">
        <f>IFERROR(__xludf.DUMMYFUNCTION("""COMPUTED_VALUE"""),44503.2470347106)</f>
        <v>44503.24703</v>
      </c>
      <c r="D812" s="15">
        <f>IFERROR(__xludf.DUMMYFUNCTION("""COMPUTED_VALUE"""),1.013)</f>
        <v>1.013</v>
      </c>
      <c r="E812" s="16">
        <f>IFERROR(__xludf.DUMMYFUNCTION("""COMPUTED_VALUE"""),65.0)</f>
        <v>65</v>
      </c>
      <c r="F812" s="19" t="str">
        <f>IFERROR(__xludf.DUMMYFUNCTION("""COMPUTED_VALUE"""),"BLACK")</f>
        <v>BLACK</v>
      </c>
      <c r="G812" s="20" t="str">
        <f>IFERROR(__xludf.DUMMYFUNCTION("""COMPUTED_VALUE"""),"Tap 6 Clone (10/15/2021)")</f>
        <v>Tap 6 Clone (10/15/2021)</v>
      </c>
      <c r="H812" s="19"/>
    </row>
    <row r="813">
      <c r="A813" s="9"/>
      <c r="B813" s="15"/>
      <c r="C813" s="9">
        <f>IFERROR(__xludf.DUMMYFUNCTION("""COMPUTED_VALUE"""),44503.236614537)</f>
        <v>44503.23661</v>
      </c>
      <c r="D813" s="15">
        <f>IFERROR(__xludf.DUMMYFUNCTION("""COMPUTED_VALUE"""),1.013)</f>
        <v>1.013</v>
      </c>
      <c r="E813" s="16">
        <f>IFERROR(__xludf.DUMMYFUNCTION("""COMPUTED_VALUE"""),65.0)</f>
        <v>65</v>
      </c>
      <c r="F813" s="19" t="str">
        <f>IFERROR(__xludf.DUMMYFUNCTION("""COMPUTED_VALUE"""),"BLACK")</f>
        <v>BLACK</v>
      </c>
      <c r="G813" s="20" t="str">
        <f>IFERROR(__xludf.DUMMYFUNCTION("""COMPUTED_VALUE"""),"Tap 6 Clone (10/15/2021)")</f>
        <v>Tap 6 Clone (10/15/2021)</v>
      </c>
      <c r="H813" s="19"/>
    </row>
    <row r="814">
      <c r="A814" s="9"/>
      <c r="B814" s="15"/>
      <c r="C814" s="9">
        <f>IFERROR(__xludf.DUMMYFUNCTION("""COMPUTED_VALUE"""),44503.2261838657)</f>
        <v>44503.22618</v>
      </c>
      <c r="D814" s="15">
        <f>IFERROR(__xludf.DUMMYFUNCTION("""COMPUTED_VALUE"""),1.013)</f>
        <v>1.013</v>
      </c>
      <c r="E814" s="16">
        <f>IFERROR(__xludf.DUMMYFUNCTION("""COMPUTED_VALUE"""),65.0)</f>
        <v>65</v>
      </c>
      <c r="F814" s="19" t="str">
        <f>IFERROR(__xludf.DUMMYFUNCTION("""COMPUTED_VALUE"""),"BLACK")</f>
        <v>BLACK</v>
      </c>
      <c r="G814" s="20" t="str">
        <f>IFERROR(__xludf.DUMMYFUNCTION("""COMPUTED_VALUE"""),"Tap 6 Clone (10/15/2021)")</f>
        <v>Tap 6 Clone (10/15/2021)</v>
      </c>
      <c r="H814" s="19"/>
    </row>
    <row r="815">
      <c r="A815" s="9"/>
      <c r="B815" s="15"/>
      <c r="C815" s="9">
        <f>IFERROR(__xludf.DUMMYFUNCTION("""COMPUTED_VALUE"""),44503.2157520138)</f>
        <v>44503.21575</v>
      </c>
      <c r="D815" s="15">
        <f>IFERROR(__xludf.DUMMYFUNCTION("""COMPUTED_VALUE"""),1.013)</f>
        <v>1.013</v>
      </c>
      <c r="E815" s="16">
        <f>IFERROR(__xludf.DUMMYFUNCTION("""COMPUTED_VALUE"""),65.0)</f>
        <v>65</v>
      </c>
      <c r="F815" s="19" t="str">
        <f>IFERROR(__xludf.DUMMYFUNCTION("""COMPUTED_VALUE"""),"BLACK")</f>
        <v>BLACK</v>
      </c>
      <c r="G815" s="20" t="str">
        <f>IFERROR(__xludf.DUMMYFUNCTION("""COMPUTED_VALUE"""),"Tap 6 Clone (10/15/2021)")</f>
        <v>Tap 6 Clone (10/15/2021)</v>
      </c>
      <c r="H815" s="19"/>
    </row>
    <row r="816">
      <c r="A816" s="9"/>
      <c r="B816" s="15"/>
      <c r="C816" s="9">
        <f>IFERROR(__xludf.DUMMYFUNCTION("""COMPUTED_VALUE"""),44503.2053320254)</f>
        <v>44503.20533</v>
      </c>
      <c r="D816" s="15">
        <f>IFERROR(__xludf.DUMMYFUNCTION("""COMPUTED_VALUE"""),1.013)</f>
        <v>1.013</v>
      </c>
      <c r="E816" s="16">
        <f>IFERROR(__xludf.DUMMYFUNCTION("""COMPUTED_VALUE"""),65.0)</f>
        <v>65</v>
      </c>
      <c r="F816" s="19" t="str">
        <f>IFERROR(__xludf.DUMMYFUNCTION("""COMPUTED_VALUE"""),"BLACK")</f>
        <v>BLACK</v>
      </c>
      <c r="G816" s="20" t="str">
        <f>IFERROR(__xludf.DUMMYFUNCTION("""COMPUTED_VALUE"""),"Tap 6 Clone (10/15/2021)")</f>
        <v>Tap 6 Clone (10/15/2021)</v>
      </c>
      <c r="H816" s="19"/>
    </row>
    <row r="817">
      <c r="A817" s="9"/>
      <c r="B817" s="15"/>
      <c r="C817" s="9">
        <f>IFERROR(__xludf.DUMMYFUNCTION("""COMPUTED_VALUE"""),44503.194910625)</f>
        <v>44503.19491</v>
      </c>
      <c r="D817" s="15">
        <f>IFERROR(__xludf.DUMMYFUNCTION("""COMPUTED_VALUE"""),1.013)</f>
        <v>1.013</v>
      </c>
      <c r="E817" s="16">
        <f>IFERROR(__xludf.DUMMYFUNCTION("""COMPUTED_VALUE"""),65.0)</f>
        <v>65</v>
      </c>
      <c r="F817" s="19" t="str">
        <f>IFERROR(__xludf.DUMMYFUNCTION("""COMPUTED_VALUE"""),"BLACK")</f>
        <v>BLACK</v>
      </c>
      <c r="G817" s="20" t="str">
        <f>IFERROR(__xludf.DUMMYFUNCTION("""COMPUTED_VALUE"""),"Tap 6 Clone (10/15/2021)")</f>
        <v>Tap 6 Clone (10/15/2021)</v>
      </c>
      <c r="H817" s="19"/>
    </row>
    <row r="818">
      <c r="A818" s="9"/>
      <c r="B818" s="15"/>
      <c r="C818" s="9">
        <f>IFERROR(__xludf.DUMMYFUNCTION("""COMPUTED_VALUE"""),44503.1844890393)</f>
        <v>44503.18449</v>
      </c>
      <c r="D818" s="15">
        <f>IFERROR(__xludf.DUMMYFUNCTION("""COMPUTED_VALUE"""),1.013)</f>
        <v>1.013</v>
      </c>
      <c r="E818" s="16">
        <f>IFERROR(__xludf.DUMMYFUNCTION("""COMPUTED_VALUE"""),65.0)</f>
        <v>65</v>
      </c>
      <c r="F818" s="19" t="str">
        <f>IFERROR(__xludf.DUMMYFUNCTION("""COMPUTED_VALUE"""),"BLACK")</f>
        <v>BLACK</v>
      </c>
      <c r="G818" s="20" t="str">
        <f>IFERROR(__xludf.DUMMYFUNCTION("""COMPUTED_VALUE"""),"Tap 6 Clone (10/15/2021)")</f>
        <v>Tap 6 Clone (10/15/2021)</v>
      </c>
      <c r="H818" s="19"/>
    </row>
    <row r="819">
      <c r="A819" s="9"/>
      <c r="B819" s="15"/>
      <c r="C819" s="9">
        <f>IFERROR(__xludf.DUMMYFUNCTION("""COMPUTED_VALUE"""),44503.1740679398)</f>
        <v>44503.17407</v>
      </c>
      <c r="D819" s="15">
        <f>IFERROR(__xludf.DUMMYFUNCTION("""COMPUTED_VALUE"""),1.013)</f>
        <v>1.013</v>
      </c>
      <c r="E819" s="16">
        <f>IFERROR(__xludf.DUMMYFUNCTION("""COMPUTED_VALUE"""),65.0)</f>
        <v>65</v>
      </c>
      <c r="F819" s="19" t="str">
        <f>IFERROR(__xludf.DUMMYFUNCTION("""COMPUTED_VALUE"""),"BLACK")</f>
        <v>BLACK</v>
      </c>
      <c r="G819" s="20" t="str">
        <f>IFERROR(__xludf.DUMMYFUNCTION("""COMPUTED_VALUE"""),"Tap 6 Clone (10/15/2021)")</f>
        <v>Tap 6 Clone (10/15/2021)</v>
      </c>
      <c r="H819" s="19"/>
    </row>
    <row r="820">
      <c r="A820" s="9"/>
      <c r="B820" s="15"/>
      <c r="C820" s="9">
        <f>IFERROR(__xludf.DUMMYFUNCTION("""COMPUTED_VALUE"""),44503.1636471064)</f>
        <v>44503.16365</v>
      </c>
      <c r="D820" s="15">
        <f>IFERROR(__xludf.DUMMYFUNCTION("""COMPUTED_VALUE"""),1.013)</f>
        <v>1.013</v>
      </c>
      <c r="E820" s="16">
        <f>IFERROR(__xludf.DUMMYFUNCTION("""COMPUTED_VALUE"""),65.0)</f>
        <v>65</v>
      </c>
      <c r="F820" s="19" t="str">
        <f>IFERROR(__xludf.DUMMYFUNCTION("""COMPUTED_VALUE"""),"BLACK")</f>
        <v>BLACK</v>
      </c>
      <c r="G820" s="20" t="str">
        <f>IFERROR(__xludf.DUMMYFUNCTION("""COMPUTED_VALUE"""),"Tap 6 Clone (10/15/2021)")</f>
        <v>Tap 6 Clone (10/15/2021)</v>
      </c>
      <c r="H820" s="19"/>
    </row>
    <row r="821">
      <c r="A821" s="9"/>
      <c r="B821" s="15"/>
      <c r="C821" s="9">
        <f>IFERROR(__xludf.DUMMYFUNCTION("""COMPUTED_VALUE"""),44503.1532254629)</f>
        <v>44503.15323</v>
      </c>
      <c r="D821" s="15">
        <f>IFERROR(__xludf.DUMMYFUNCTION("""COMPUTED_VALUE"""),1.013)</f>
        <v>1.013</v>
      </c>
      <c r="E821" s="16">
        <f>IFERROR(__xludf.DUMMYFUNCTION("""COMPUTED_VALUE"""),65.0)</f>
        <v>65</v>
      </c>
      <c r="F821" s="19" t="str">
        <f>IFERROR(__xludf.DUMMYFUNCTION("""COMPUTED_VALUE"""),"BLACK")</f>
        <v>BLACK</v>
      </c>
      <c r="G821" s="20" t="str">
        <f>IFERROR(__xludf.DUMMYFUNCTION("""COMPUTED_VALUE"""),"Tap 6 Clone (10/15/2021)")</f>
        <v>Tap 6 Clone (10/15/2021)</v>
      </c>
      <c r="H821" s="19"/>
    </row>
    <row r="822">
      <c r="A822" s="9"/>
      <c r="B822" s="15"/>
      <c r="C822" s="9">
        <f>IFERROR(__xludf.DUMMYFUNCTION("""COMPUTED_VALUE"""),44503.1427929976)</f>
        <v>44503.14279</v>
      </c>
      <c r="D822" s="15">
        <f>IFERROR(__xludf.DUMMYFUNCTION("""COMPUTED_VALUE"""),1.013)</f>
        <v>1.013</v>
      </c>
      <c r="E822" s="16">
        <f>IFERROR(__xludf.DUMMYFUNCTION("""COMPUTED_VALUE"""),65.0)</f>
        <v>65</v>
      </c>
      <c r="F822" s="19" t="str">
        <f>IFERROR(__xludf.DUMMYFUNCTION("""COMPUTED_VALUE"""),"BLACK")</f>
        <v>BLACK</v>
      </c>
      <c r="G822" s="20" t="str">
        <f>IFERROR(__xludf.DUMMYFUNCTION("""COMPUTED_VALUE"""),"Tap 6 Clone (10/15/2021)")</f>
        <v>Tap 6 Clone (10/15/2021)</v>
      </c>
      <c r="H822" s="19"/>
    </row>
    <row r="823">
      <c r="A823" s="9"/>
      <c r="B823" s="15"/>
      <c r="C823" s="9">
        <f>IFERROR(__xludf.DUMMYFUNCTION("""COMPUTED_VALUE"""),44503.1323585764)</f>
        <v>44503.13236</v>
      </c>
      <c r="D823" s="15">
        <f>IFERROR(__xludf.DUMMYFUNCTION("""COMPUTED_VALUE"""),1.013)</f>
        <v>1.013</v>
      </c>
      <c r="E823" s="16">
        <f>IFERROR(__xludf.DUMMYFUNCTION("""COMPUTED_VALUE"""),65.0)</f>
        <v>65</v>
      </c>
      <c r="F823" s="19" t="str">
        <f>IFERROR(__xludf.DUMMYFUNCTION("""COMPUTED_VALUE"""),"BLACK")</f>
        <v>BLACK</v>
      </c>
      <c r="G823" s="20" t="str">
        <f>IFERROR(__xludf.DUMMYFUNCTION("""COMPUTED_VALUE"""),"Tap 6 Clone (10/15/2021)")</f>
        <v>Tap 6 Clone (10/15/2021)</v>
      </c>
      <c r="H823" s="19"/>
    </row>
    <row r="824">
      <c r="A824" s="9"/>
      <c r="B824" s="15"/>
      <c r="C824" s="9">
        <f>IFERROR(__xludf.DUMMYFUNCTION("""COMPUTED_VALUE"""),44503.1219258449)</f>
        <v>44503.12193</v>
      </c>
      <c r="D824" s="15">
        <f>IFERROR(__xludf.DUMMYFUNCTION("""COMPUTED_VALUE"""),1.014)</f>
        <v>1.014</v>
      </c>
      <c r="E824" s="16">
        <f>IFERROR(__xludf.DUMMYFUNCTION("""COMPUTED_VALUE"""),65.0)</f>
        <v>65</v>
      </c>
      <c r="F824" s="19" t="str">
        <f>IFERROR(__xludf.DUMMYFUNCTION("""COMPUTED_VALUE"""),"BLACK")</f>
        <v>BLACK</v>
      </c>
      <c r="G824" s="20" t="str">
        <f>IFERROR(__xludf.DUMMYFUNCTION("""COMPUTED_VALUE"""),"Tap 6 Clone (10/15/2021)")</f>
        <v>Tap 6 Clone (10/15/2021)</v>
      </c>
      <c r="H824" s="19"/>
    </row>
    <row r="825">
      <c r="A825" s="9"/>
      <c r="B825" s="15"/>
      <c r="C825" s="9">
        <f>IFERROR(__xludf.DUMMYFUNCTION("""COMPUTED_VALUE"""),44503.1115027662)</f>
        <v>44503.1115</v>
      </c>
      <c r="D825" s="15">
        <f>IFERROR(__xludf.DUMMYFUNCTION("""COMPUTED_VALUE"""),1.014)</f>
        <v>1.014</v>
      </c>
      <c r="E825" s="16">
        <f>IFERROR(__xludf.DUMMYFUNCTION("""COMPUTED_VALUE"""),65.0)</f>
        <v>65</v>
      </c>
      <c r="F825" s="19" t="str">
        <f>IFERROR(__xludf.DUMMYFUNCTION("""COMPUTED_VALUE"""),"BLACK")</f>
        <v>BLACK</v>
      </c>
      <c r="G825" s="20" t="str">
        <f>IFERROR(__xludf.DUMMYFUNCTION("""COMPUTED_VALUE"""),"Tap 6 Clone (10/15/2021)")</f>
        <v>Tap 6 Clone (10/15/2021)</v>
      </c>
      <c r="H825" s="19"/>
    </row>
    <row r="826">
      <c r="A826" s="9"/>
      <c r="B826" s="15"/>
      <c r="C826" s="9">
        <f>IFERROR(__xludf.DUMMYFUNCTION("""COMPUTED_VALUE"""),44503.1010840509)</f>
        <v>44503.10108</v>
      </c>
      <c r="D826" s="15">
        <f>IFERROR(__xludf.DUMMYFUNCTION("""COMPUTED_VALUE"""),1.014)</f>
        <v>1.014</v>
      </c>
      <c r="E826" s="16">
        <f>IFERROR(__xludf.DUMMYFUNCTION("""COMPUTED_VALUE"""),65.0)</f>
        <v>65</v>
      </c>
      <c r="F826" s="19" t="str">
        <f>IFERROR(__xludf.DUMMYFUNCTION("""COMPUTED_VALUE"""),"BLACK")</f>
        <v>BLACK</v>
      </c>
      <c r="G826" s="20" t="str">
        <f>IFERROR(__xludf.DUMMYFUNCTION("""COMPUTED_VALUE"""),"Tap 6 Clone (10/15/2021)")</f>
        <v>Tap 6 Clone (10/15/2021)</v>
      </c>
      <c r="H826" s="19"/>
    </row>
    <row r="827">
      <c r="A827" s="9"/>
      <c r="B827" s="15"/>
      <c r="C827" s="9">
        <f>IFERROR(__xludf.DUMMYFUNCTION("""COMPUTED_VALUE"""),44503.0906384837)</f>
        <v>44503.09064</v>
      </c>
      <c r="D827" s="15">
        <f>IFERROR(__xludf.DUMMYFUNCTION("""COMPUTED_VALUE"""),1.014)</f>
        <v>1.014</v>
      </c>
      <c r="E827" s="16">
        <f>IFERROR(__xludf.DUMMYFUNCTION("""COMPUTED_VALUE"""),65.0)</f>
        <v>65</v>
      </c>
      <c r="F827" s="19" t="str">
        <f>IFERROR(__xludf.DUMMYFUNCTION("""COMPUTED_VALUE"""),"BLACK")</f>
        <v>BLACK</v>
      </c>
      <c r="G827" s="20" t="str">
        <f>IFERROR(__xludf.DUMMYFUNCTION("""COMPUTED_VALUE"""),"Tap 6 Clone (10/15/2021)")</f>
        <v>Tap 6 Clone (10/15/2021)</v>
      </c>
      <c r="H827" s="19"/>
    </row>
    <row r="828">
      <c r="A828" s="9"/>
      <c r="B828" s="15"/>
      <c r="C828" s="9">
        <f>IFERROR(__xludf.DUMMYFUNCTION("""COMPUTED_VALUE"""),44503.0802181944)</f>
        <v>44503.08022</v>
      </c>
      <c r="D828" s="15">
        <f>IFERROR(__xludf.DUMMYFUNCTION("""COMPUTED_VALUE"""),1.014)</f>
        <v>1.014</v>
      </c>
      <c r="E828" s="16">
        <f>IFERROR(__xludf.DUMMYFUNCTION("""COMPUTED_VALUE"""),65.0)</f>
        <v>65</v>
      </c>
      <c r="F828" s="19" t="str">
        <f>IFERROR(__xludf.DUMMYFUNCTION("""COMPUTED_VALUE"""),"BLACK")</f>
        <v>BLACK</v>
      </c>
      <c r="G828" s="20" t="str">
        <f>IFERROR(__xludf.DUMMYFUNCTION("""COMPUTED_VALUE"""),"Tap 6 Clone (10/15/2021)")</f>
        <v>Tap 6 Clone (10/15/2021)</v>
      </c>
      <c r="H828" s="19"/>
    </row>
    <row r="829">
      <c r="A829" s="9"/>
      <c r="B829" s="15"/>
      <c r="C829" s="9">
        <f>IFERROR(__xludf.DUMMYFUNCTION("""COMPUTED_VALUE"""),44503.0697977546)</f>
        <v>44503.0698</v>
      </c>
      <c r="D829" s="15">
        <f>IFERROR(__xludf.DUMMYFUNCTION("""COMPUTED_VALUE"""),1.014)</f>
        <v>1.014</v>
      </c>
      <c r="E829" s="16">
        <f>IFERROR(__xludf.DUMMYFUNCTION("""COMPUTED_VALUE"""),65.0)</f>
        <v>65</v>
      </c>
      <c r="F829" s="19" t="str">
        <f>IFERROR(__xludf.DUMMYFUNCTION("""COMPUTED_VALUE"""),"BLACK")</f>
        <v>BLACK</v>
      </c>
      <c r="G829" s="20" t="str">
        <f>IFERROR(__xludf.DUMMYFUNCTION("""COMPUTED_VALUE"""),"Tap 6 Clone (10/15/2021)")</f>
        <v>Tap 6 Clone (10/15/2021)</v>
      </c>
      <c r="H829" s="19"/>
    </row>
    <row r="830">
      <c r="A830" s="9"/>
      <c r="B830" s="15"/>
      <c r="C830" s="9">
        <f>IFERROR(__xludf.DUMMYFUNCTION("""COMPUTED_VALUE"""),44503.0593756597)</f>
        <v>44503.05938</v>
      </c>
      <c r="D830" s="15">
        <f>IFERROR(__xludf.DUMMYFUNCTION("""COMPUTED_VALUE"""),1.014)</f>
        <v>1.014</v>
      </c>
      <c r="E830" s="16">
        <f>IFERROR(__xludf.DUMMYFUNCTION("""COMPUTED_VALUE"""),65.0)</f>
        <v>65</v>
      </c>
      <c r="F830" s="19" t="str">
        <f>IFERROR(__xludf.DUMMYFUNCTION("""COMPUTED_VALUE"""),"BLACK")</f>
        <v>BLACK</v>
      </c>
      <c r="G830" s="20" t="str">
        <f>IFERROR(__xludf.DUMMYFUNCTION("""COMPUTED_VALUE"""),"Tap 6 Clone (10/15/2021)")</f>
        <v>Tap 6 Clone (10/15/2021)</v>
      </c>
      <c r="H830" s="19"/>
    </row>
    <row r="831">
      <c r="A831" s="9"/>
      <c r="B831" s="15"/>
      <c r="C831" s="9">
        <f>IFERROR(__xludf.DUMMYFUNCTION("""COMPUTED_VALUE"""),44503.048953368)</f>
        <v>44503.04895</v>
      </c>
      <c r="D831" s="15">
        <f>IFERROR(__xludf.DUMMYFUNCTION("""COMPUTED_VALUE"""),1.014)</f>
        <v>1.014</v>
      </c>
      <c r="E831" s="16">
        <f>IFERROR(__xludf.DUMMYFUNCTION("""COMPUTED_VALUE"""),65.0)</f>
        <v>65</v>
      </c>
      <c r="F831" s="19" t="str">
        <f>IFERROR(__xludf.DUMMYFUNCTION("""COMPUTED_VALUE"""),"BLACK")</f>
        <v>BLACK</v>
      </c>
      <c r="G831" s="20" t="str">
        <f>IFERROR(__xludf.DUMMYFUNCTION("""COMPUTED_VALUE"""),"Tap 6 Clone (10/15/2021)")</f>
        <v>Tap 6 Clone (10/15/2021)</v>
      </c>
      <c r="H831" s="19"/>
    </row>
    <row r="832">
      <c r="A832" s="9"/>
      <c r="B832" s="15"/>
      <c r="C832" s="9">
        <f>IFERROR(__xludf.DUMMYFUNCTION("""COMPUTED_VALUE"""),44503.0385321412)</f>
        <v>44503.03853</v>
      </c>
      <c r="D832" s="15">
        <f>IFERROR(__xludf.DUMMYFUNCTION("""COMPUTED_VALUE"""),1.014)</f>
        <v>1.014</v>
      </c>
      <c r="E832" s="16">
        <f>IFERROR(__xludf.DUMMYFUNCTION("""COMPUTED_VALUE"""),65.0)</f>
        <v>65</v>
      </c>
      <c r="F832" s="19" t="str">
        <f>IFERROR(__xludf.DUMMYFUNCTION("""COMPUTED_VALUE"""),"BLACK")</f>
        <v>BLACK</v>
      </c>
      <c r="G832" s="20" t="str">
        <f>IFERROR(__xludf.DUMMYFUNCTION("""COMPUTED_VALUE"""),"Tap 6 Clone (10/15/2021)")</f>
        <v>Tap 6 Clone (10/15/2021)</v>
      </c>
      <c r="H832" s="19"/>
    </row>
    <row r="833">
      <c r="A833" s="9"/>
      <c r="B833" s="15"/>
      <c r="C833" s="9">
        <f>IFERROR(__xludf.DUMMYFUNCTION("""COMPUTED_VALUE"""),44503.0281124537)</f>
        <v>44503.02811</v>
      </c>
      <c r="D833" s="15">
        <f>IFERROR(__xludf.DUMMYFUNCTION("""COMPUTED_VALUE"""),1.014)</f>
        <v>1.014</v>
      </c>
      <c r="E833" s="16">
        <f>IFERROR(__xludf.DUMMYFUNCTION("""COMPUTED_VALUE"""),65.0)</f>
        <v>65</v>
      </c>
      <c r="F833" s="19" t="str">
        <f>IFERROR(__xludf.DUMMYFUNCTION("""COMPUTED_VALUE"""),"BLACK")</f>
        <v>BLACK</v>
      </c>
      <c r="G833" s="20" t="str">
        <f>IFERROR(__xludf.DUMMYFUNCTION("""COMPUTED_VALUE"""),"Tap 6 Clone (10/15/2021)")</f>
        <v>Tap 6 Clone (10/15/2021)</v>
      </c>
      <c r="H833" s="19"/>
    </row>
    <row r="834">
      <c r="A834" s="9"/>
      <c r="B834" s="15"/>
      <c r="C834" s="9">
        <f>IFERROR(__xludf.DUMMYFUNCTION("""COMPUTED_VALUE"""),44503.0176917592)</f>
        <v>44503.01769</v>
      </c>
      <c r="D834" s="15">
        <f>IFERROR(__xludf.DUMMYFUNCTION("""COMPUTED_VALUE"""),1.014)</f>
        <v>1.014</v>
      </c>
      <c r="E834" s="16">
        <f>IFERROR(__xludf.DUMMYFUNCTION("""COMPUTED_VALUE"""),65.0)</f>
        <v>65</v>
      </c>
      <c r="F834" s="19" t="str">
        <f>IFERROR(__xludf.DUMMYFUNCTION("""COMPUTED_VALUE"""),"BLACK")</f>
        <v>BLACK</v>
      </c>
      <c r="G834" s="20" t="str">
        <f>IFERROR(__xludf.DUMMYFUNCTION("""COMPUTED_VALUE"""),"Tap 6 Clone (10/15/2021)")</f>
        <v>Tap 6 Clone (10/15/2021)</v>
      </c>
      <c r="H834" s="19"/>
    </row>
    <row r="835">
      <c r="A835" s="9"/>
      <c r="B835" s="15"/>
      <c r="C835" s="9">
        <f>IFERROR(__xludf.DUMMYFUNCTION("""COMPUTED_VALUE"""),44503.0072695486)</f>
        <v>44503.00727</v>
      </c>
      <c r="D835" s="15">
        <f>IFERROR(__xludf.DUMMYFUNCTION("""COMPUTED_VALUE"""),1.014)</f>
        <v>1.014</v>
      </c>
      <c r="E835" s="16">
        <f>IFERROR(__xludf.DUMMYFUNCTION("""COMPUTED_VALUE"""),65.0)</f>
        <v>65</v>
      </c>
      <c r="F835" s="19" t="str">
        <f>IFERROR(__xludf.DUMMYFUNCTION("""COMPUTED_VALUE"""),"BLACK")</f>
        <v>BLACK</v>
      </c>
      <c r="G835" s="20" t="str">
        <f>IFERROR(__xludf.DUMMYFUNCTION("""COMPUTED_VALUE"""),"Tap 6 Clone (10/15/2021)")</f>
        <v>Tap 6 Clone (10/15/2021)</v>
      </c>
      <c r="H835" s="19"/>
    </row>
    <row r="836">
      <c r="A836" s="9"/>
      <c r="B836" s="15"/>
      <c r="C836" s="9">
        <f>IFERROR(__xludf.DUMMYFUNCTION("""COMPUTED_VALUE"""),44502.9968495486)</f>
        <v>44502.99685</v>
      </c>
      <c r="D836" s="15">
        <f>IFERROR(__xludf.DUMMYFUNCTION("""COMPUTED_VALUE"""),1.014)</f>
        <v>1.014</v>
      </c>
      <c r="E836" s="16">
        <f>IFERROR(__xludf.DUMMYFUNCTION("""COMPUTED_VALUE"""),65.0)</f>
        <v>65</v>
      </c>
      <c r="F836" s="19" t="str">
        <f>IFERROR(__xludf.DUMMYFUNCTION("""COMPUTED_VALUE"""),"BLACK")</f>
        <v>BLACK</v>
      </c>
      <c r="G836" s="20" t="str">
        <f>IFERROR(__xludf.DUMMYFUNCTION("""COMPUTED_VALUE"""),"Tap 6 Clone (10/15/2021)")</f>
        <v>Tap 6 Clone (10/15/2021)</v>
      </c>
      <c r="H836" s="19"/>
    </row>
    <row r="837">
      <c r="A837" s="9"/>
      <c r="B837" s="15"/>
      <c r="C837" s="9">
        <f>IFERROR(__xludf.DUMMYFUNCTION("""COMPUTED_VALUE"""),44502.9864179629)</f>
        <v>44502.98642</v>
      </c>
      <c r="D837" s="15">
        <f>IFERROR(__xludf.DUMMYFUNCTION("""COMPUTED_VALUE"""),1.014)</f>
        <v>1.014</v>
      </c>
      <c r="E837" s="16">
        <f>IFERROR(__xludf.DUMMYFUNCTION("""COMPUTED_VALUE"""),65.0)</f>
        <v>65</v>
      </c>
      <c r="F837" s="19" t="str">
        <f>IFERROR(__xludf.DUMMYFUNCTION("""COMPUTED_VALUE"""),"BLACK")</f>
        <v>BLACK</v>
      </c>
      <c r="G837" s="20" t="str">
        <f>IFERROR(__xludf.DUMMYFUNCTION("""COMPUTED_VALUE"""),"Tap 6 Clone (10/15/2021)")</f>
        <v>Tap 6 Clone (10/15/2021)</v>
      </c>
      <c r="H837" s="19"/>
    </row>
    <row r="838">
      <c r="A838" s="9"/>
      <c r="B838" s="15"/>
      <c r="C838" s="9">
        <f>IFERROR(__xludf.DUMMYFUNCTION("""COMPUTED_VALUE"""),44502.9759957291)</f>
        <v>44502.976</v>
      </c>
      <c r="D838" s="15">
        <f>IFERROR(__xludf.DUMMYFUNCTION("""COMPUTED_VALUE"""),1.014)</f>
        <v>1.014</v>
      </c>
      <c r="E838" s="16">
        <f>IFERROR(__xludf.DUMMYFUNCTION("""COMPUTED_VALUE"""),65.0)</f>
        <v>65</v>
      </c>
      <c r="F838" s="19" t="str">
        <f>IFERROR(__xludf.DUMMYFUNCTION("""COMPUTED_VALUE"""),"BLACK")</f>
        <v>BLACK</v>
      </c>
      <c r="G838" s="20" t="str">
        <f>IFERROR(__xludf.DUMMYFUNCTION("""COMPUTED_VALUE"""),"Tap 6 Clone (10/15/2021)")</f>
        <v>Tap 6 Clone (10/15/2021)</v>
      </c>
      <c r="H838" s="19"/>
    </row>
    <row r="839">
      <c r="A839" s="9"/>
      <c r="B839" s="15"/>
      <c r="C839" s="9">
        <f>IFERROR(__xludf.DUMMYFUNCTION("""COMPUTED_VALUE"""),44502.9655628935)</f>
        <v>44502.96556</v>
      </c>
      <c r="D839" s="15">
        <f>IFERROR(__xludf.DUMMYFUNCTION("""COMPUTED_VALUE"""),1.014)</f>
        <v>1.014</v>
      </c>
      <c r="E839" s="16">
        <f>IFERROR(__xludf.DUMMYFUNCTION("""COMPUTED_VALUE"""),65.0)</f>
        <v>65</v>
      </c>
      <c r="F839" s="19" t="str">
        <f>IFERROR(__xludf.DUMMYFUNCTION("""COMPUTED_VALUE"""),"BLACK")</f>
        <v>BLACK</v>
      </c>
      <c r="G839" s="20" t="str">
        <f>IFERROR(__xludf.DUMMYFUNCTION("""COMPUTED_VALUE"""),"Tap 6 Clone (10/15/2021)")</f>
        <v>Tap 6 Clone (10/15/2021)</v>
      </c>
      <c r="H839" s="19"/>
    </row>
    <row r="840">
      <c r="A840" s="9"/>
      <c r="B840" s="15"/>
      <c r="C840" s="9">
        <f>IFERROR(__xludf.DUMMYFUNCTION("""COMPUTED_VALUE"""),44502.9551405902)</f>
        <v>44502.95514</v>
      </c>
      <c r="D840" s="15">
        <f>IFERROR(__xludf.DUMMYFUNCTION("""COMPUTED_VALUE"""),1.014)</f>
        <v>1.014</v>
      </c>
      <c r="E840" s="16">
        <f>IFERROR(__xludf.DUMMYFUNCTION("""COMPUTED_VALUE"""),65.0)</f>
        <v>65</v>
      </c>
      <c r="F840" s="19" t="str">
        <f>IFERROR(__xludf.DUMMYFUNCTION("""COMPUTED_VALUE"""),"BLACK")</f>
        <v>BLACK</v>
      </c>
      <c r="G840" s="20" t="str">
        <f>IFERROR(__xludf.DUMMYFUNCTION("""COMPUTED_VALUE"""),"Tap 6 Clone (10/15/2021)")</f>
        <v>Tap 6 Clone (10/15/2021)</v>
      </c>
      <c r="H840" s="19"/>
    </row>
    <row r="841">
      <c r="A841" s="9"/>
      <c r="B841" s="15"/>
      <c r="C841" s="9">
        <f>IFERROR(__xludf.DUMMYFUNCTION("""COMPUTED_VALUE"""),44502.9447185879)</f>
        <v>44502.94472</v>
      </c>
      <c r="D841" s="15">
        <f>IFERROR(__xludf.DUMMYFUNCTION("""COMPUTED_VALUE"""),1.014)</f>
        <v>1.014</v>
      </c>
      <c r="E841" s="16">
        <f>IFERROR(__xludf.DUMMYFUNCTION("""COMPUTED_VALUE"""),65.0)</f>
        <v>65</v>
      </c>
      <c r="F841" s="19" t="str">
        <f>IFERROR(__xludf.DUMMYFUNCTION("""COMPUTED_VALUE"""),"BLACK")</f>
        <v>BLACK</v>
      </c>
      <c r="G841" s="20" t="str">
        <f>IFERROR(__xludf.DUMMYFUNCTION("""COMPUTED_VALUE"""),"Tap 6 Clone (10/15/2021)")</f>
        <v>Tap 6 Clone (10/15/2021)</v>
      </c>
      <c r="H841" s="19"/>
    </row>
    <row r="842">
      <c r="A842" s="9"/>
      <c r="B842" s="15"/>
      <c r="C842" s="9">
        <f>IFERROR(__xludf.DUMMYFUNCTION("""COMPUTED_VALUE"""),44502.9342949768)</f>
        <v>44502.93429</v>
      </c>
      <c r="D842" s="15">
        <f>IFERROR(__xludf.DUMMYFUNCTION("""COMPUTED_VALUE"""),1.014)</f>
        <v>1.014</v>
      </c>
      <c r="E842" s="16">
        <f>IFERROR(__xludf.DUMMYFUNCTION("""COMPUTED_VALUE"""),65.0)</f>
        <v>65</v>
      </c>
      <c r="F842" s="19" t="str">
        <f>IFERROR(__xludf.DUMMYFUNCTION("""COMPUTED_VALUE"""),"BLACK")</f>
        <v>BLACK</v>
      </c>
      <c r="G842" s="20" t="str">
        <f>IFERROR(__xludf.DUMMYFUNCTION("""COMPUTED_VALUE"""),"Tap 6 Clone (10/15/2021)")</f>
        <v>Tap 6 Clone (10/15/2021)</v>
      </c>
      <c r="H842" s="19"/>
    </row>
    <row r="843">
      <c r="A843" s="9"/>
      <c r="B843" s="15"/>
      <c r="C843" s="9">
        <f>IFERROR(__xludf.DUMMYFUNCTION("""COMPUTED_VALUE"""),44502.9238741898)</f>
        <v>44502.92387</v>
      </c>
      <c r="D843" s="15">
        <f>IFERROR(__xludf.DUMMYFUNCTION("""COMPUTED_VALUE"""),1.014)</f>
        <v>1.014</v>
      </c>
      <c r="E843" s="16">
        <f>IFERROR(__xludf.DUMMYFUNCTION("""COMPUTED_VALUE"""),65.0)</f>
        <v>65</v>
      </c>
      <c r="F843" s="19" t="str">
        <f>IFERROR(__xludf.DUMMYFUNCTION("""COMPUTED_VALUE"""),"BLACK")</f>
        <v>BLACK</v>
      </c>
      <c r="G843" s="20" t="str">
        <f>IFERROR(__xludf.DUMMYFUNCTION("""COMPUTED_VALUE"""),"Tap 6 Clone (10/15/2021)")</f>
        <v>Tap 6 Clone (10/15/2021)</v>
      </c>
      <c r="H843" s="19"/>
    </row>
    <row r="844">
      <c r="A844" s="9"/>
      <c r="B844" s="15"/>
      <c r="C844" s="9">
        <f>IFERROR(__xludf.DUMMYFUNCTION("""COMPUTED_VALUE"""),44502.9134405902)</f>
        <v>44502.91344</v>
      </c>
      <c r="D844" s="15">
        <f>IFERROR(__xludf.DUMMYFUNCTION("""COMPUTED_VALUE"""),1.014)</f>
        <v>1.014</v>
      </c>
      <c r="E844" s="16">
        <f>IFERROR(__xludf.DUMMYFUNCTION("""COMPUTED_VALUE"""),65.0)</f>
        <v>65</v>
      </c>
      <c r="F844" s="19" t="str">
        <f>IFERROR(__xludf.DUMMYFUNCTION("""COMPUTED_VALUE"""),"BLACK")</f>
        <v>BLACK</v>
      </c>
      <c r="G844" s="20" t="str">
        <f>IFERROR(__xludf.DUMMYFUNCTION("""COMPUTED_VALUE"""),"Tap 6 Clone (10/15/2021)")</f>
        <v>Tap 6 Clone (10/15/2021)</v>
      </c>
      <c r="H844" s="19"/>
    </row>
    <row r="845">
      <c r="A845" s="9"/>
      <c r="B845" s="15"/>
      <c r="C845" s="9">
        <f>IFERROR(__xludf.DUMMYFUNCTION("""COMPUTED_VALUE"""),44502.9030189699)</f>
        <v>44502.90302</v>
      </c>
      <c r="D845" s="15">
        <f>IFERROR(__xludf.DUMMYFUNCTION("""COMPUTED_VALUE"""),1.014)</f>
        <v>1.014</v>
      </c>
      <c r="E845" s="16">
        <f>IFERROR(__xludf.DUMMYFUNCTION("""COMPUTED_VALUE"""),65.0)</f>
        <v>65</v>
      </c>
      <c r="F845" s="19" t="str">
        <f>IFERROR(__xludf.DUMMYFUNCTION("""COMPUTED_VALUE"""),"BLACK")</f>
        <v>BLACK</v>
      </c>
      <c r="G845" s="20" t="str">
        <f>IFERROR(__xludf.DUMMYFUNCTION("""COMPUTED_VALUE"""),"Tap 6 Clone (10/15/2021)")</f>
        <v>Tap 6 Clone (10/15/2021)</v>
      </c>
      <c r="H845" s="19"/>
    </row>
    <row r="846">
      <c r="A846" s="9"/>
      <c r="B846" s="15"/>
      <c r="C846" s="9">
        <f>IFERROR(__xludf.DUMMYFUNCTION("""COMPUTED_VALUE"""),44502.8925751967)</f>
        <v>44502.89258</v>
      </c>
      <c r="D846" s="15">
        <f>IFERROR(__xludf.DUMMYFUNCTION("""COMPUTED_VALUE"""),1.014)</f>
        <v>1.014</v>
      </c>
      <c r="E846" s="16">
        <f>IFERROR(__xludf.DUMMYFUNCTION("""COMPUTED_VALUE"""),65.0)</f>
        <v>65</v>
      </c>
      <c r="F846" s="19" t="str">
        <f>IFERROR(__xludf.DUMMYFUNCTION("""COMPUTED_VALUE"""),"BLACK")</f>
        <v>BLACK</v>
      </c>
      <c r="G846" s="20" t="str">
        <f>IFERROR(__xludf.DUMMYFUNCTION("""COMPUTED_VALUE"""),"Tap 6 Clone (10/15/2021)")</f>
        <v>Tap 6 Clone (10/15/2021)</v>
      </c>
      <c r="H846" s="19"/>
    </row>
    <row r="847">
      <c r="A847" s="9"/>
      <c r="B847" s="15"/>
      <c r="C847" s="9">
        <f>IFERROR(__xludf.DUMMYFUNCTION("""COMPUTED_VALUE"""),44502.8821424537)</f>
        <v>44502.88214</v>
      </c>
      <c r="D847" s="15">
        <f>IFERROR(__xludf.DUMMYFUNCTION("""COMPUTED_VALUE"""),1.014)</f>
        <v>1.014</v>
      </c>
      <c r="E847" s="16">
        <f>IFERROR(__xludf.DUMMYFUNCTION("""COMPUTED_VALUE"""),65.0)</f>
        <v>65</v>
      </c>
      <c r="F847" s="19" t="str">
        <f>IFERROR(__xludf.DUMMYFUNCTION("""COMPUTED_VALUE"""),"BLACK")</f>
        <v>BLACK</v>
      </c>
      <c r="G847" s="20" t="str">
        <f>IFERROR(__xludf.DUMMYFUNCTION("""COMPUTED_VALUE"""),"Tap 6 Clone (10/15/2021)")</f>
        <v>Tap 6 Clone (10/15/2021)</v>
      </c>
      <c r="H847" s="19"/>
    </row>
    <row r="848">
      <c r="A848" s="9"/>
      <c r="B848" s="15"/>
      <c r="C848" s="9">
        <f>IFERROR(__xludf.DUMMYFUNCTION("""COMPUTED_VALUE"""),44502.8717183449)</f>
        <v>44502.87172</v>
      </c>
      <c r="D848" s="15">
        <f>IFERROR(__xludf.DUMMYFUNCTION("""COMPUTED_VALUE"""),1.014)</f>
        <v>1.014</v>
      </c>
      <c r="E848" s="16">
        <f>IFERROR(__xludf.DUMMYFUNCTION("""COMPUTED_VALUE"""),65.0)</f>
        <v>65</v>
      </c>
      <c r="F848" s="19" t="str">
        <f>IFERROR(__xludf.DUMMYFUNCTION("""COMPUTED_VALUE"""),"BLACK")</f>
        <v>BLACK</v>
      </c>
      <c r="G848" s="20" t="str">
        <f>IFERROR(__xludf.DUMMYFUNCTION("""COMPUTED_VALUE"""),"Tap 6 Clone (10/15/2021)")</f>
        <v>Tap 6 Clone (10/15/2021)</v>
      </c>
      <c r="H848" s="19"/>
    </row>
    <row r="849">
      <c r="A849" s="9"/>
      <c r="B849" s="15"/>
      <c r="C849" s="9">
        <f>IFERROR(__xludf.DUMMYFUNCTION("""COMPUTED_VALUE"""),44502.8612982175)</f>
        <v>44502.8613</v>
      </c>
      <c r="D849" s="15">
        <f>IFERROR(__xludf.DUMMYFUNCTION("""COMPUTED_VALUE"""),1.014)</f>
        <v>1.014</v>
      </c>
      <c r="E849" s="16">
        <f>IFERROR(__xludf.DUMMYFUNCTION("""COMPUTED_VALUE"""),65.0)</f>
        <v>65</v>
      </c>
      <c r="F849" s="19" t="str">
        <f>IFERROR(__xludf.DUMMYFUNCTION("""COMPUTED_VALUE"""),"BLACK")</f>
        <v>BLACK</v>
      </c>
      <c r="G849" s="20" t="str">
        <f>IFERROR(__xludf.DUMMYFUNCTION("""COMPUTED_VALUE"""),"Tap 6 Clone (10/15/2021)")</f>
        <v>Tap 6 Clone (10/15/2021)</v>
      </c>
      <c r="H849" s="19"/>
    </row>
    <row r="850">
      <c r="A850" s="9"/>
      <c r="B850" s="15"/>
      <c r="C850" s="9">
        <f>IFERROR(__xludf.DUMMYFUNCTION("""COMPUTED_VALUE"""),44502.8508662615)</f>
        <v>44502.85087</v>
      </c>
      <c r="D850" s="15">
        <f>IFERROR(__xludf.DUMMYFUNCTION("""COMPUTED_VALUE"""),1.014)</f>
        <v>1.014</v>
      </c>
      <c r="E850" s="16">
        <f>IFERROR(__xludf.DUMMYFUNCTION("""COMPUTED_VALUE"""),65.0)</f>
        <v>65</v>
      </c>
      <c r="F850" s="19" t="str">
        <f>IFERROR(__xludf.DUMMYFUNCTION("""COMPUTED_VALUE"""),"BLACK")</f>
        <v>BLACK</v>
      </c>
      <c r="G850" s="20" t="str">
        <f>IFERROR(__xludf.DUMMYFUNCTION("""COMPUTED_VALUE"""),"Tap 6 Clone (10/15/2021)")</f>
        <v>Tap 6 Clone (10/15/2021)</v>
      </c>
      <c r="H850" s="19"/>
    </row>
    <row r="851">
      <c r="A851" s="9"/>
      <c r="B851" s="15"/>
      <c r="C851" s="9">
        <f>IFERROR(__xludf.DUMMYFUNCTION("""COMPUTED_VALUE"""),44502.8404456712)</f>
        <v>44502.84045</v>
      </c>
      <c r="D851" s="15">
        <f>IFERROR(__xludf.DUMMYFUNCTION("""COMPUTED_VALUE"""),1.014)</f>
        <v>1.014</v>
      </c>
      <c r="E851" s="16">
        <f>IFERROR(__xludf.DUMMYFUNCTION("""COMPUTED_VALUE"""),65.0)</f>
        <v>65</v>
      </c>
      <c r="F851" s="19" t="str">
        <f>IFERROR(__xludf.DUMMYFUNCTION("""COMPUTED_VALUE"""),"BLACK")</f>
        <v>BLACK</v>
      </c>
      <c r="G851" s="20" t="str">
        <f>IFERROR(__xludf.DUMMYFUNCTION("""COMPUTED_VALUE"""),"Tap 6 Clone (10/15/2021)")</f>
        <v>Tap 6 Clone (10/15/2021)</v>
      </c>
      <c r="H851" s="19"/>
    </row>
    <row r="852">
      <c r="A852" s="9"/>
      <c r="B852" s="15"/>
      <c r="C852" s="9">
        <f>IFERROR(__xludf.DUMMYFUNCTION("""COMPUTED_VALUE"""),44502.8300263194)</f>
        <v>44502.83003</v>
      </c>
      <c r="D852" s="15">
        <f>IFERROR(__xludf.DUMMYFUNCTION("""COMPUTED_VALUE"""),1.014)</f>
        <v>1.014</v>
      </c>
      <c r="E852" s="16">
        <f>IFERROR(__xludf.DUMMYFUNCTION("""COMPUTED_VALUE"""),65.0)</f>
        <v>65</v>
      </c>
      <c r="F852" s="19" t="str">
        <f>IFERROR(__xludf.DUMMYFUNCTION("""COMPUTED_VALUE"""),"BLACK")</f>
        <v>BLACK</v>
      </c>
      <c r="G852" s="20" t="str">
        <f>IFERROR(__xludf.DUMMYFUNCTION("""COMPUTED_VALUE"""),"Tap 6 Clone (10/15/2021)")</f>
        <v>Tap 6 Clone (10/15/2021)</v>
      </c>
      <c r="H852" s="19"/>
    </row>
    <row r="853">
      <c r="A853" s="9"/>
      <c r="B853" s="15"/>
      <c r="C853" s="9">
        <f>IFERROR(__xludf.DUMMYFUNCTION("""COMPUTED_VALUE"""),44502.819605868)</f>
        <v>44502.81961</v>
      </c>
      <c r="D853" s="15">
        <f>IFERROR(__xludf.DUMMYFUNCTION("""COMPUTED_VALUE"""),1.014)</f>
        <v>1.014</v>
      </c>
      <c r="E853" s="16">
        <f>IFERROR(__xludf.DUMMYFUNCTION("""COMPUTED_VALUE"""),65.0)</f>
        <v>65</v>
      </c>
      <c r="F853" s="19" t="str">
        <f>IFERROR(__xludf.DUMMYFUNCTION("""COMPUTED_VALUE"""),"BLACK")</f>
        <v>BLACK</v>
      </c>
      <c r="G853" s="20" t="str">
        <f>IFERROR(__xludf.DUMMYFUNCTION("""COMPUTED_VALUE"""),"Tap 6 Clone (10/15/2021)")</f>
        <v>Tap 6 Clone (10/15/2021)</v>
      </c>
      <c r="H853" s="19"/>
    </row>
    <row r="854">
      <c r="A854" s="9"/>
      <c r="B854" s="15"/>
      <c r="C854" s="9">
        <f>IFERROR(__xludf.DUMMYFUNCTION("""COMPUTED_VALUE"""),44502.8091843865)</f>
        <v>44502.80918</v>
      </c>
      <c r="D854" s="15">
        <f>IFERROR(__xludf.DUMMYFUNCTION("""COMPUTED_VALUE"""),1.013)</f>
        <v>1.013</v>
      </c>
      <c r="E854" s="16">
        <f>IFERROR(__xludf.DUMMYFUNCTION("""COMPUTED_VALUE"""),65.0)</f>
        <v>65</v>
      </c>
      <c r="F854" s="19" t="str">
        <f>IFERROR(__xludf.DUMMYFUNCTION("""COMPUTED_VALUE"""),"BLACK")</f>
        <v>BLACK</v>
      </c>
      <c r="G854" s="20" t="str">
        <f>IFERROR(__xludf.DUMMYFUNCTION("""COMPUTED_VALUE"""),"Tap 6 Clone (10/15/2021)")</f>
        <v>Tap 6 Clone (10/15/2021)</v>
      </c>
      <c r="H854" s="19"/>
    </row>
    <row r="855">
      <c r="A855" s="9"/>
      <c r="B855" s="15"/>
      <c r="C855" s="9">
        <f>IFERROR(__xludf.DUMMYFUNCTION("""COMPUTED_VALUE"""),44502.7987635648)</f>
        <v>44502.79876</v>
      </c>
      <c r="D855" s="15">
        <f>IFERROR(__xludf.DUMMYFUNCTION("""COMPUTED_VALUE"""),1.014)</f>
        <v>1.014</v>
      </c>
      <c r="E855" s="16">
        <f>IFERROR(__xludf.DUMMYFUNCTION("""COMPUTED_VALUE"""),65.0)</f>
        <v>65</v>
      </c>
      <c r="F855" s="19" t="str">
        <f>IFERROR(__xludf.DUMMYFUNCTION("""COMPUTED_VALUE"""),"BLACK")</f>
        <v>BLACK</v>
      </c>
      <c r="G855" s="20" t="str">
        <f>IFERROR(__xludf.DUMMYFUNCTION("""COMPUTED_VALUE"""),"Tap 6 Clone (10/15/2021)")</f>
        <v>Tap 6 Clone (10/15/2021)</v>
      </c>
      <c r="H855" s="19"/>
    </row>
    <row r="856">
      <c r="A856" s="9"/>
      <c r="B856" s="15"/>
      <c r="C856" s="9">
        <f>IFERROR(__xludf.DUMMYFUNCTION("""COMPUTED_VALUE"""),44502.7883187731)</f>
        <v>44502.78832</v>
      </c>
      <c r="D856" s="15">
        <f>IFERROR(__xludf.DUMMYFUNCTION("""COMPUTED_VALUE"""),1.013)</f>
        <v>1.013</v>
      </c>
      <c r="E856" s="16">
        <f>IFERROR(__xludf.DUMMYFUNCTION("""COMPUTED_VALUE"""),65.0)</f>
        <v>65</v>
      </c>
      <c r="F856" s="19" t="str">
        <f>IFERROR(__xludf.DUMMYFUNCTION("""COMPUTED_VALUE"""),"BLACK")</f>
        <v>BLACK</v>
      </c>
      <c r="G856" s="20" t="str">
        <f>IFERROR(__xludf.DUMMYFUNCTION("""COMPUTED_VALUE"""),"Tap 6 Clone (10/15/2021)")</f>
        <v>Tap 6 Clone (10/15/2021)</v>
      </c>
      <c r="H856" s="19"/>
    </row>
    <row r="857">
      <c r="A857" s="9"/>
      <c r="B857" s="15"/>
      <c r="C857" s="9">
        <f>IFERROR(__xludf.DUMMYFUNCTION("""COMPUTED_VALUE"""),44502.7778845949)</f>
        <v>44502.77788</v>
      </c>
      <c r="D857" s="15">
        <f>IFERROR(__xludf.DUMMYFUNCTION("""COMPUTED_VALUE"""),1.014)</f>
        <v>1.014</v>
      </c>
      <c r="E857" s="16">
        <f>IFERROR(__xludf.DUMMYFUNCTION("""COMPUTED_VALUE"""),65.0)</f>
        <v>65</v>
      </c>
      <c r="F857" s="19" t="str">
        <f>IFERROR(__xludf.DUMMYFUNCTION("""COMPUTED_VALUE"""),"BLACK")</f>
        <v>BLACK</v>
      </c>
      <c r="G857" s="20" t="str">
        <f>IFERROR(__xludf.DUMMYFUNCTION("""COMPUTED_VALUE"""),"Tap 6 Clone (10/15/2021)")</f>
        <v>Tap 6 Clone (10/15/2021)</v>
      </c>
      <c r="H857" s="19"/>
    </row>
    <row r="858">
      <c r="A858" s="9"/>
      <c r="B858" s="15"/>
      <c r="C858" s="9">
        <f>IFERROR(__xludf.DUMMYFUNCTION("""COMPUTED_VALUE"""),44502.7674619907)</f>
        <v>44502.76746</v>
      </c>
      <c r="D858" s="15">
        <f>IFERROR(__xludf.DUMMYFUNCTION("""COMPUTED_VALUE"""),1.013)</f>
        <v>1.013</v>
      </c>
      <c r="E858" s="16">
        <f>IFERROR(__xludf.DUMMYFUNCTION("""COMPUTED_VALUE"""),65.0)</f>
        <v>65</v>
      </c>
      <c r="F858" s="19" t="str">
        <f>IFERROR(__xludf.DUMMYFUNCTION("""COMPUTED_VALUE"""),"BLACK")</f>
        <v>BLACK</v>
      </c>
      <c r="G858" s="20" t="str">
        <f>IFERROR(__xludf.DUMMYFUNCTION("""COMPUTED_VALUE"""),"Tap 6 Clone (10/15/2021)")</f>
        <v>Tap 6 Clone (10/15/2021)</v>
      </c>
      <c r="H858" s="19"/>
    </row>
    <row r="859">
      <c r="A859" s="9"/>
      <c r="B859" s="15"/>
      <c r="C859" s="9">
        <f>IFERROR(__xludf.DUMMYFUNCTION("""COMPUTED_VALUE"""),44502.7570397916)</f>
        <v>44502.75704</v>
      </c>
      <c r="D859" s="15">
        <f>IFERROR(__xludf.DUMMYFUNCTION("""COMPUTED_VALUE"""),1.013)</f>
        <v>1.013</v>
      </c>
      <c r="E859" s="16">
        <f>IFERROR(__xludf.DUMMYFUNCTION("""COMPUTED_VALUE"""),65.0)</f>
        <v>65</v>
      </c>
      <c r="F859" s="19" t="str">
        <f>IFERROR(__xludf.DUMMYFUNCTION("""COMPUTED_VALUE"""),"BLACK")</f>
        <v>BLACK</v>
      </c>
      <c r="G859" s="20" t="str">
        <f>IFERROR(__xludf.DUMMYFUNCTION("""COMPUTED_VALUE"""),"Tap 6 Clone (10/15/2021)")</f>
        <v>Tap 6 Clone (10/15/2021)</v>
      </c>
      <c r="H859" s="19"/>
    </row>
    <row r="860">
      <c r="A860" s="9"/>
      <c r="B860" s="15"/>
      <c r="C860" s="9">
        <f>IFERROR(__xludf.DUMMYFUNCTION("""COMPUTED_VALUE"""),44502.7466081597)</f>
        <v>44502.74661</v>
      </c>
      <c r="D860" s="15">
        <f>IFERROR(__xludf.DUMMYFUNCTION("""COMPUTED_VALUE"""),1.014)</f>
        <v>1.014</v>
      </c>
      <c r="E860" s="16">
        <f>IFERROR(__xludf.DUMMYFUNCTION("""COMPUTED_VALUE"""),65.0)</f>
        <v>65</v>
      </c>
      <c r="F860" s="19" t="str">
        <f>IFERROR(__xludf.DUMMYFUNCTION("""COMPUTED_VALUE"""),"BLACK")</f>
        <v>BLACK</v>
      </c>
      <c r="G860" s="20" t="str">
        <f>IFERROR(__xludf.DUMMYFUNCTION("""COMPUTED_VALUE"""),"Tap 6 Clone (10/15/2021)")</f>
        <v>Tap 6 Clone (10/15/2021)</v>
      </c>
      <c r="H860" s="19"/>
    </row>
    <row r="861">
      <c r="A861" s="9"/>
      <c r="B861" s="15"/>
      <c r="C861" s="9">
        <f>IFERROR(__xludf.DUMMYFUNCTION("""COMPUTED_VALUE"""),44502.7361852199)</f>
        <v>44502.73619</v>
      </c>
      <c r="D861" s="15">
        <f>IFERROR(__xludf.DUMMYFUNCTION("""COMPUTED_VALUE"""),1.013)</f>
        <v>1.013</v>
      </c>
      <c r="E861" s="16">
        <f>IFERROR(__xludf.DUMMYFUNCTION("""COMPUTED_VALUE"""),65.0)</f>
        <v>65</v>
      </c>
      <c r="F861" s="19" t="str">
        <f>IFERROR(__xludf.DUMMYFUNCTION("""COMPUTED_VALUE"""),"BLACK")</f>
        <v>BLACK</v>
      </c>
      <c r="G861" s="20" t="str">
        <f>IFERROR(__xludf.DUMMYFUNCTION("""COMPUTED_VALUE"""),"Tap 6 Clone (10/15/2021)")</f>
        <v>Tap 6 Clone (10/15/2021)</v>
      </c>
      <c r="H861" s="19"/>
    </row>
    <row r="862">
      <c r="A862" s="9"/>
      <c r="B862" s="15"/>
      <c r="C862" s="9">
        <f>IFERROR(__xludf.DUMMYFUNCTION("""COMPUTED_VALUE"""),44502.7257517245)</f>
        <v>44502.72575</v>
      </c>
      <c r="D862" s="15">
        <f>IFERROR(__xludf.DUMMYFUNCTION("""COMPUTED_VALUE"""),1.013)</f>
        <v>1.013</v>
      </c>
      <c r="E862" s="16">
        <f>IFERROR(__xludf.DUMMYFUNCTION("""COMPUTED_VALUE"""),65.0)</f>
        <v>65</v>
      </c>
      <c r="F862" s="19" t="str">
        <f>IFERROR(__xludf.DUMMYFUNCTION("""COMPUTED_VALUE"""),"BLACK")</f>
        <v>BLACK</v>
      </c>
      <c r="G862" s="20" t="str">
        <f>IFERROR(__xludf.DUMMYFUNCTION("""COMPUTED_VALUE"""),"Tap 6 Clone (10/15/2021)")</f>
        <v>Tap 6 Clone (10/15/2021)</v>
      </c>
      <c r="H862" s="19"/>
    </row>
    <row r="863">
      <c r="A863" s="9"/>
      <c r="B863" s="15"/>
      <c r="C863" s="9">
        <f>IFERROR(__xludf.DUMMYFUNCTION("""COMPUTED_VALUE"""),44502.7153309953)</f>
        <v>44502.71533</v>
      </c>
      <c r="D863" s="15">
        <f>IFERROR(__xludf.DUMMYFUNCTION("""COMPUTED_VALUE"""),1.014)</f>
        <v>1.014</v>
      </c>
      <c r="E863" s="16">
        <f>IFERROR(__xludf.DUMMYFUNCTION("""COMPUTED_VALUE"""),65.0)</f>
        <v>65</v>
      </c>
      <c r="F863" s="19" t="str">
        <f>IFERROR(__xludf.DUMMYFUNCTION("""COMPUTED_VALUE"""),"BLACK")</f>
        <v>BLACK</v>
      </c>
      <c r="G863" s="20" t="str">
        <f>IFERROR(__xludf.DUMMYFUNCTION("""COMPUTED_VALUE"""),"Tap 6 Clone (10/15/2021)")</f>
        <v>Tap 6 Clone (10/15/2021)</v>
      </c>
      <c r="H863" s="19"/>
    </row>
    <row r="864">
      <c r="A864" s="9"/>
      <c r="B864" s="15"/>
      <c r="C864" s="9">
        <f>IFERROR(__xludf.DUMMYFUNCTION("""COMPUTED_VALUE"""),44502.7048984143)</f>
        <v>44502.7049</v>
      </c>
      <c r="D864" s="15">
        <f>IFERROR(__xludf.DUMMYFUNCTION("""COMPUTED_VALUE"""),1.014)</f>
        <v>1.014</v>
      </c>
      <c r="E864" s="16">
        <f>IFERROR(__xludf.DUMMYFUNCTION("""COMPUTED_VALUE"""),65.0)</f>
        <v>65</v>
      </c>
      <c r="F864" s="19" t="str">
        <f>IFERROR(__xludf.DUMMYFUNCTION("""COMPUTED_VALUE"""),"BLACK")</f>
        <v>BLACK</v>
      </c>
      <c r="G864" s="20" t="str">
        <f>IFERROR(__xludf.DUMMYFUNCTION("""COMPUTED_VALUE"""),"Tap 6 Clone (10/15/2021)")</f>
        <v>Tap 6 Clone (10/15/2021)</v>
      </c>
      <c r="H864" s="19"/>
    </row>
    <row r="865">
      <c r="A865" s="9"/>
      <c r="B865" s="15"/>
      <c r="C865" s="9">
        <f>IFERROR(__xludf.DUMMYFUNCTION("""COMPUTED_VALUE"""),44502.6944770486)</f>
        <v>44502.69448</v>
      </c>
      <c r="D865" s="15">
        <f>IFERROR(__xludf.DUMMYFUNCTION("""COMPUTED_VALUE"""),1.013)</f>
        <v>1.013</v>
      </c>
      <c r="E865" s="16">
        <f>IFERROR(__xludf.DUMMYFUNCTION("""COMPUTED_VALUE"""),65.0)</f>
        <v>65</v>
      </c>
      <c r="F865" s="19" t="str">
        <f>IFERROR(__xludf.DUMMYFUNCTION("""COMPUTED_VALUE"""),"BLACK")</f>
        <v>BLACK</v>
      </c>
      <c r="G865" s="20" t="str">
        <f>IFERROR(__xludf.DUMMYFUNCTION("""COMPUTED_VALUE"""),"Tap 6 Clone (10/15/2021)")</f>
        <v>Tap 6 Clone (10/15/2021)</v>
      </c>
      <c r="H865" s="19"/>
    </row>
    <row r="866">
      <c r="A866" s="9"/>
      <c r="B866" s="15"/>
      <c r="C866" s="9">
        <f>IFERROR(__xludf.DUMMYFUNCTION("""COMPUTED_VALUE"""),44502.6840587037)</f>
        <v>44502.68406</v>
      </c>
      <c r="D866" s="15">
        <f>IFERROR(__xludf.DUMMYFUNCTION("""COMPUTED_VALUE"""),1.014)</f>
        <v>1.014</v>
      </c>
      <c r="E866" s="16">
        <f>IFERROR(__xludf.DUMMYFUNCTION("""COMPUTED_VALUE"""),65.0)</f>
        <v>65</v>
      </c>
      <c r="F866" s="19" t="str">
        <f>IFERROR(__xludf.DUMMYFUNCTION("""COMPUTED_VALUE"""),"BLACK")</f>
        <v>BLACK</v>
      </c>
      <c r="G866" s="20" t="str">
        <f>IFERROR(__xludf.DUMMYFUNCTION("""COMPUTED_VALUE"""),"Tap 6 Clone (10/15/2021)")</f>
        <v>Tap 6 Clone (10/15/2021)</v>
      </c>
      <c r="H866" s="19"/>
    </row>
    <row r="867">
      <c r="A867" s="9"/>
      <c r="B867" s="15"/>
      <c r="C867" s="9">
        <f>IFERROR(__xludf.DUMMYFUNCTION("""COMPUTED_VALUE"""),44502.6736369328)</f>
        <v>44502.67364</v>
      </c>
      <c r="D867" s="15">
        <f>IFERROR(__xludf.DUMMYFUNCTION("""COMPUTED_VALUE"""),1.014)</f>
        <v>1.014</v>
      </c>
      <c r="E867" s="16">
        <f>IFERROR(__xludf.DUMMYFUNCTION("""COMPUTED_VALUE"""),65.0)</f>
        <v>65</v>
      </c>
      <c r="F867" s="19" t="str">
        <f>IFERROR(__xludf.DUMMYFUNCTION("""COMPUTED_VALUE"""),"BLACK")</f>
        <v>BLACK</v>
      </c>
      <c r="G867" s="20" t="str">
        <f>IFERROR(__xludf.DUMMYFUNCTION("""COMPUTED_VALUE"""),"Tap 6 Clone (10/15/2021)")</f>
        <v>Tap 6 Clone (10/15/2021)</v>
      </c>
      <c r="H867" s="19"/>
    </row>
    <row r="868">
      <c r="A868" s="9"/>
      <c r="B868" s="15"/>
      <c r="C868" s="9">
        <f>IFERROR(__xludf.DUMMYFUNCTION("""COMPUTED_VALUE"""),44502.6632143518)</f>
        <v>44502.66321</v>
      </c>
      <c r="D868" s="15">
        <f>IFERROR(__xludf.DUMMYFUNCTION("""COMPUTED_VALUE"""),1.014)</f>
        <v>1.014</v>
      </c>
      <c r="E868" s="16">
        <f>IFERROR(__xludf.DUMMYFUNCTION("""COMPUTED_VALUE"""),65.0)</f>
        <v>65</v>
      </c>
      <c r="F868" s="19" t="str">
        <f>IFERROR(__xludf.DUMMYFUNCTION("""COMPUTED_VALUE"""),"BLACK")</f>
        <v>BLACK</v>
      </c>
      <c r="G868" s="20" t="str">
        <f>IFERROR(__xludf.DUMMYFUNCTION("""COMPUTED_VALUE"""),"Tap 6 Clone (10/15/2021)")</f>
        <v>Tap 6 Clone (10/15/2021)</v>
      </c>
      <c r="H868" s="19"/>
    </row>
    <row r="869">
      <c r="A869" s="9"/>
      <c r="B869" s="15"/>
      <c r="C869" s="9">
        <f>IFERROR(__xludf.DUMMYFUNCTION("""COMPUTED_VALUE"""),44502.6527934953)</f>
        <v>44502.65279</v>
      </c>
      <c r="D869" s="15">
        <f>IFERROR(__xludf.DUMMYFUNCTION("""COMPUTED_VALUE"""),1.014)</f>
        <v>1.014</v>
      </c>
      <c r="E869" s="16">
        <f>IFERROR(__xludf.DUMMYFUNCTION("""COMPUTED_VALUE"""),65.0)</f>
        <v>65</v>
      </c>
      <c r="F869" s="19" t="str">
        <f>IFERROR(__xludf.DUMMYFUNCTION("""COMPUTED_VALUE"""),"BLACK")</f>
        <v>BLACK</v>
      </c>
      <c r="G869" s="20" t="str">
        <f>IFERROR(__xludf.DUMMYFUNCTION("""COMPUTED_VALUE"""),"Tap 6 Clone (10/15/2021)")</f>
        <v>Tap 6 Clone (10/15/2021)</v>
      </c>
      <c r="H869" s="19"/>
    </row>
    <row r="870">
      <c r="A870" s="9"/>
      <c r="B870" s="15"/>
      <c r="C870" s="9">
        <f>IFERROR(__xludf.DUMMYFUNCTION("""COMPUTED_VALUE"""),44502.6423723263)</f>
        <v>44502.64237</v>
      </c>
      <c r="D870" s="15">
        <f>IFERROR(__xludf.DUMMYFUNCTION("""COMPUTED_VALUE"""),1.013)</f>
        <v>1.013</v>
      </c>
      <c r="E870" s="16">
        <f>IFERROR(__xludf.DUMMYFUNCTION("""COMPUTED_VALUE"""),65.0)</f>
        <v>65</v>
      </c>
      <c r="F870" s="19" t="str">
        <f>IFERROR(__xludf.DUMMYFUNCTION("""COMPUTED_VALUE"""),"BLACK")</f>
        <v>BLACK</v>
      </c>
      <c r="G870" s="20" t="str">
        <f>IFERROR(__xludf.DUMMYFUNCTION("""COMPUTED_VALUE"""),"Tap 6 Clone (10/15/2021)")</f>
        <v>Tap 6 Clone (10/15/2021)</v>
      </c>
      <c r="H870" s="19"/>
    </row>
    <row r="871">
      <c r="A871" s="9"/>
      <c r="B871" s="15"/>
      <c r="C871" s="9">
        <f>IFERROR(__xludf.DUMMYFUNCTION("""COMPUTED_VALUE"""),44502.6319511458)</f>
        <v>44502.63195</v>
      </c>
      <c r="D871" s="15">
        <f>IFERROR(__xludf.DUMMYFUNCTION("""COMPUTED_VALUE"""),1.013)</f>
        <v>1.013</v>
      </c>
      <c r="E871" s="16">
        <f>IFERROR(__xludf.DUMMYFUNCTION("""COMPUTED_VALUE"""),65.0)</f>
        <v>65</v>
      </c>
      <c r="F871" s="19" t="str">
        <f>IFERROR(__xludf.DUMMYFUNCTION("""COMPUTED_VALUE"""),"BLACK")</f>
        <v>BLACK</v>
      </c>
      <c r="G871" s="20" t="str">
        <f>IFERROR(__xludf.DUMMYFUNCTION("""COMPUTED_VALUE"""),"Tap 6 Clone (10/15/2021)")</f>
        <v>Tap 6 Clone (10/15/2021)</v>
      </c>
      <c r="H871" s="19"/>
    </row>
    <row r="872">
      <c r="A872" s="9"/>
      <c r="B872" s="15"/>
      <c r="C872" s="9">
        <f>IFERROR(__xludf.DUMMYFUNCTION("""COMPUTED_VALUE"""),44502.6215316898)</f>
        <v>44502.62153</v>
      </c>
      <c r="D872" s="15">
        <f>IFERROR(__xludf.DUMMYFUNCTION("""COMPUTED_VALUE"""),1.013)</f>
        <v>1.013</v>
      </c>
      <c r="E872" s="16">
        <f>IFERROR(__xludf.DUMMYFUNCTION("""COMPUTED_VALUE"""),65.0)</f>
        <v>65</v>
      </c>
      <c r="F872" s="19" t="str">
        <f>IFERROR(__xludf.DUMMYFUNCTION("""COMPUTED_VALUE"""),"BLACK")</f>
        <v>BLACK</v>
      </c>
      <c r="G872" s="20" t="str">
        <f>IFERROR(__xludf.DUMMYFUNCTION("""COMPUTED_VALUE"""),"Tap 6 Clone (10/15/2021)")</f>
        <v>Tap 6 Clone (10/15/2021)</v>
      </c>
      <c r="H872" s="19"/>
    </row>
    <row r="873">
      <c r="A873" s="9"/>
      <c r="B873" s="15"/>
      <c r="C873" s="9">
        <f>IFERROR(__xludf.DUMMYFUNCTION("""COMPUTED_VALUE"""),44502.6111081828)</f>
        <v>44502.61111</v>
      </c>
      <c r="D873" s="15">
        <f>IFERROR(__xludf.DUMMYFUNCTION("""COMPUTED_VALUE"""),1.013)</f>
        <v>1.013</v>
      </c>
      <c r="E873" s="16">
        <f>IFERROR(__xludf.DUMMYFUNCTION("""COMPUTED_VALUE"""),65.0)</f>
        <v>65</v>
      </c>
      <c r="F873" s="19" t="str">
        <f>IFERROR(__xludf.DUMMYFUNCTION("""COMPUTED_VALUE"""),"BLACK")</f>
        <v>BLACK</v>
      </c>
      <c r="G873" s="20" t="str">
        <f>IFERROR(__xludf.DUMMYFUNCTION("""COMPUTED_VALUE"""),"Tap 6 Clone (10/15/2021)")</f>
        <v>Tap 6 Clone (10/15/2021)</v>
      </c>
      <c r="H873" s="19"/>
    </row>
    <row r="874">
      <c r="A874" s="9"/>
      <c r="B874" s="15"/>
      <c r="C874" s="9">
        <f>IFERROR(__xludf.DUMMYFUNCTION("""COMPUTED_VALUE"""),44502.6006745601)</f>
        <v>44502.60067</v>
      </c>
      <c r="D874" s="15">
        <f>IFERROR(__xludf.DUMMYFUNCTION("""COMPUTED_VALUE"""),1.013)</f>
        <v>1.013</v>
      </c>
      <c r="E874" s="16">
        <f>IFERROR(__xludf.DUMMYFUNCTION("""COMPUTED_VALUE"""),65.0)</f>
        <v>65</v>
      </c>
      <c r="F874" s="19" t="str">
        <f>IFERROR(__xludf.DUMMYFUNCTION("""COMPUTED_VALUE"""),"BLACK")</f>
        <v>BLACK</v>
      </c>
      <c r="G874" s="20" t="str">
        <f>IFERROR(__xludf.DUMMYFUNCTION("""COMPUTED_VALUE"""),"Tap 6 Clone (10/15/2021)")</f>
        <v>Tap 6 Clone (10/15/2021)</v>
      </c>
      <c r="H874" s="19"/>
    </row>
    <row r="875">
      <c r="A875" s="9"/>
      <c r="B875" s="15"/>
      <c r="C875" s="9">
        <f>IFERROR(__xludf.DUMMYFUNCTION("""COMPUTED_VALUE"""),44502.5902550925)</f>
        <v>44502.59026</v>
      </c>
      <c r="D875" s="15">
        <f>IFERROR(__xludf.DUMMYFUNCTION("""COMPUTED_VALUE"""),1.013)</f>
        <v>1.013</v>
      </c>
      <c r="E875" s="16">
        <f>IFERROR(__xludf.DUMMYFUNCTION("""COMPUTED_VALUE"""),65.0)</f>
        <v>65</v>
      </c>
      <c r="F875" s="19" t="str">
        <f>IFERROR(__xludf.DUMMYFUNCTION("""COMPUTED_VALUE"""),"BLACK")</f>
        <v>BLACK</v>
      </c>
      <c r="G875" s="20" t="str">
        <f>IFERROR(__xludf.DUMMYFUNCTION("""COMPUTED_VALUE"""),"Tap 6 Clone (10/15/2021)")</f>
        <v>Tap 6 Clone (10/15/2021)</v>
      </c>
      <c r="H875" s="19"/>
    </row>
    <row r="876">
      <c r="A876" s="9"/>
      <c r="B876" s="15"/>
      <c r="C876" s="9">
        <f>IFERROR(__xludf.DUMMYFUNCTION("""COMPUTED_VALUE"""),44502.579834699)</f>
        <v>44502.57983</v>
      </c>
      <c r="D876" s="15">
        <f>IFERROR(__xludf.DUMMYFUNCTION("""COMPUTED_VALUE"""),1.013)</f>
        <v>1.013</v>
      </c>
      <c r="E876" s="16">
        <f>IFERROR(__xludf.DUMMYFUNCTION("""COMPUTED_VALUE"""),65.0)</f>
        <v>65</v>
      </c>
      <c r="F876" s="19" t="str">
        <f>IFERROR(__xludf.DUMMYFUNCTION("""COMPUTED_VALUE"""),"BLACK")</f>
        <v>BLACK</v>
      </c>
      <c r="G876" s="20" t="str">
        <f>IFERROR(__xludf.DUMMYFUNCTION("""COMPUTED_VALUE"""),"Tap 6 Clone (10/15/2021)")</f>
        <v>Tap 6 Clone (10/15/2021)</v>
      </c>
      <c r="H876" s="19"/>
    </row>
    <row r="877">
      <c r="A877" s="9"/>
      <c r="B877" s="15"/>
      <c r="C877" s="9">
        <f>IFERROR(__xludf.DUMMYFUNCTION("""COMPUTED_VALUE"""),44502.5694115856)</f>
        <v>44502.56941</v>
      </c>
      <c r="D877" s="15">
        <f>IFERROR(__xludf.DUMMYFUNCTION("""COMPUTED_VALUE"""),1.013)</f>
        <v>1.013</v>
      </c>
      <c r="E877" s="16">
        <f>IFERROR(__xludf.DUMMYFUNCTION("""COMPUTED_VALUE"""),65.0)</f>
        <v>65</v>
      </c>
      <c r="F877" s="19" t="str">
        <f>IFERROR(__xludf.DUMMYFUNCTION("""COMPUTED_VALUE"""),"BLACK")</f>
        <v>BLACK</v>
      </c>
      <c r="G877" s="20" t="str">
        <f>IFERROR(__xludf.DUMMYFUNCTION("""COMPUTED_VALUE"""),"Tap 6 Clone (10/15/2021)")</f>
        <v>Tap 6 Clone (10/15/2021)</v>
      </c>
      <c r="H877" s="19"/>
    </row>
    <row r="878">
      <c r="A878" s="9"/>
      <c r="B878" s="15"/>
      <c r="C878" s="9">
        <f>IFERROR(__xludf.DUMMYFUNCTION("""COMPUTED_VALUE"""),44502.5589904282)</f>
        <v>44502.55899</v>
      </c>
      <c r="D878" s="15">
        <f>IFERROR(__xludf.DUMMYFUNCTION("""COMPUTED_VALUE"""),1.013)</f>
        <v>1.013</v>
      </c>
      <c r="E878" s="16">
        <f>IFERROR(__xludf.DUMMYFUNCTION("""COMPUTED_VALUE"""),65.0)</f>
        <v>65</v>
      </c>
      <c r="F878" s="19" t="str">
        <f>IFERROR(__xludf.DUMMYFUNCTION("""COMPUTED_VALUE"""),"BLACK")</f>
        <v>BLACK</v>
      </c>
      <c r="G878" s="20" t="str">
        <f>IFERROR(__xludf.DUMMYFUNCTION("""COMPUTED_VALUE"""),"Tap 6 Clone (10/15/2021)")</f>
        <v>Tap 6 Clone (10/15/2021)</v>
      </c>
      <c r="H878" s="19"/>
    </row>
    <row r="879">
      <c r="A879" s="9"/>
      <c r="B879" s="15"/>
      <c r="C879" s="9">
        <f>IFERROR(__xludf.DUMMYFUNCTION("""COMPUTED_VALUE"""),44502.5485690509)</f>
        <v>44502.54857</v>
      </c>
      <c r="D879" s="15">
        <f>IFERROR(__xludf.DUMMYFUNCTION("""COMPUTED_VALUE"""),1.013)</f>
        <v>1.013</v>
      </c>
      <c r="E879" s="16">
        <f>IFERROR(__xludf.DUMMYFUNCTION("""COMPUTED_VALUE"""),65.0)</f>
        <v>65</v>
      </c>
      <c r="F879" s="19" t="str">
        <f>IFERROR(__xludf.DUMMYFUNCTION("""COMPUTED_VALUE"""),"BLACK")</f>
        <v>BLACK</v>
      </c>
      <c r="G879" s="20" t="str">
        <f>IFERROR(__xludf.DUMMYFUNCTION("""COMPUTED_VALUE"""),"Tap 6 Clone (10/15/2021)")</f>
        <v>Tap 6 Clone (10/15/2021)</v>
      </c>
      <c r="H879" s="19"/>
    </row>
    <row r="880">
      <c r="A880" s="9"/>
      <c r="B880" s="15"/>
      <c r="C880" s="9">
        <f>IFERROR(__xludf.DUMMYFUNCTION("""COMPUTED_VALUE"""),44502.5381498726)</f>
        <v>44502.53815</v>
      </c>
      <c r="D880" s="15">
        <f>IFERROR(__xludf.DUMMYFUNCTION("""COMPUTED_VALUE"""),1.013)</f>
        <v>1.013</v>
      </c>
      <c r="E880" s="16">
        <f>IFERROR(__xludf.DUMMYFUNCTION("""COMPUTED_VALUE"""),65.0)</f>
        <v>65</v>
      </c>
      <c r="F880" s="19" t="str">
        <f>IFERROR(__xludf.DUMMYFUNCTION("""COMPUTED_VALUE"""),"BLACK")</f>
        <v>BLACK</v>
      </c>
      <c r="G880" s="20" t="str">
        <f>IFERROR(__xludf.DUMMYFUNCTION("""COMPUTED_VALUE"""),"Tap 6 Clone (10/15/2021)")</f>
        <v>Tap 6 Clone (10/15/2021)</v>
      </c>
      <c r="H880" s="19"/>
    </row>
    <row r="881">
      <c r="A881" s="9"/>
      <c r="B881" s="15"/>
      <c r="C881" s="9">
        <f>IFERROR(__xludf.DUMMYFUNCTION("""COMPUTED_VALUE"""),44502.5277298842)</f>
        <v>44502.52773</v>
      </c>
      <c r="D881" s="15">
        <f>IFERROR(__xludf.DUMMYFUNCTION("""COMPUTED_VALUE"""),1.013)</f>
        <v>1.013</v>
      </c>
      <c r="E881" s="16">
        <f>IFERROR(__xludf.DUMMYFUNCTION("""COMPUTED_VALUE"""),65.0)</f>
        <v>65</v>
      </c>
      <c r="F881" s="19" t="str">
        <f>IFERROR(__xludf.DUMMYFUNCTION("""COMPUTED_VALUE"""),"BLACK")</f>
        <v>BLACK</v>
      </c>
      <c r="G881" s="20" t="str">
        <f>IFERROR(__xludf.DUMMYFUNCTION("""COMPUTED_VALUE"""),"Tap 6 Clone (10/15/2021)")</f>
        <v>Tap 6 Clone (10/15/2021)</v>
      </c>
      <c r="H881" s="19"/>
    </row>
    <row r="882">
      <c r="A882" s="9"/>
      <c r="B882" s="15"/>
      <c r="C882" s="9">
        <f>IFERROR(__xludf.DUMMYFUNCTION("""COMPUTED_VALUE"""),44502.517309456)</f>
        <v>44502.51731</v>
      </c>
      <c r="D882" s="15">
        <f>IFERROR(__xludf.DUMMYFUNCTION("""COMPUTED_VALUE"""),1.014)</f>
        <v>1.014</v>
      </c>
      <c r="E882" s="16">
        <f>IFERROR(__xludf.DUMMYFUNCTION("""COMPUTED_VALUE"""),65.0)</f>
        <v>65</v>
      </c>
      <c r="F882" s="19" t="str">
        <f>IFERROR(__xludf.DUMMYFUNCTION("""COMPUTED_VALUE"""),"BLACK")</f>
        <v>BLACK</v>
      </c>
      <c r="G882" s="20" t="str">
        <f>IFERROR(__xludf.DUMMYFUNCTION("""COMPUTED_VALUE"""),"Tap 6 Clone (10/15/2021)")</f>
        <v>Tap 6 Clone (10/15/2021)</v>
      </c>
      <c r="H882" s="19"/>
    </row>
    <row r="883">
      <c r="A883" s="9"/>
      <c r="B883" s="15"/>
      <c r="C883" s="9">
        <f>IFERROR(__xludf.DUMMYFUNCTION("""COMPUTED_VALUE"""),44502.5068888888)</f>
        <v>44502.50689</v>
      </c>
      <c r="D883" s="15">
        <f>IFERROR(__xludf.DUMMYFUNCTION("""COMPUTED_VALUE"""),1.014)</f>
        <v>1.014</v>
      </c>
      <c r="E883" s="16">
        <f>IFERROR(__xludf.DUMMYFUNCTION("""COMPUTED_VALUE"""),65.0)</f>
        <v>65</v>
      </c>
      <c r="F883" s="19" t="str">
        <f>IFERROR(__xludf.DUMMYFUNCTION("""COMPUTED_VALUE"""),"BLACK")</f>
        <v>BLACK</v>
      </c>
      <c r="G883" s="20" t="str">
        <f>IFERROR(__xludf.DUMMYFUNCTION("""COMPUTED_VALUE"""),"Tap 6 Clone (10/15/2021)")</f>
        <v>Tap 6 Clone (10/15/2021)</v>
      </c>
      <c r="H883" s="19"/>
    </row>
    <row r="884">
      <c r="A884" s="9"/>
      <c r="B884" s="15"/>
      <c r="C884" s="9">
        <f>IFERROR(__xludf.DUMMYFUNCTION("""COMPUTED_VALUE"""),44502.4964670486)</f>
        <v>44502.49647</v>
      </c>
      <c r="D884" s="15">
        <f>IFERROR(__xludf.DUMMYFUNCTION("""COMPUTED_VALUE"""),1.014)</f>
        <v>1.014</v>
      </c>
      <c r="E884" s="16">
        <f>IFERROR(__xludf.DUMMYFUNCTION("""COMPUTED_VALUE"""),65.0)</f>
        <v>65</v>
      </c>
      <c r="F884" s="19" t="str">
        <f>IFERROR(__xludf.DUMMYFUNCTION("""COMPUTED_VALUE"""),"BLACK")</f>
        <v>BLACK</v>
      </c>
      <c r="G884" s="20" t="str">
        <f>IFERROR(__xludf.DUMMYFUNCTION("""COMPUTED_VALUE"""),"Tap 6 Clone (10/15/2021)")</f>
        <v>Tap 6 Clone (10/15/2021)</v>
      </c>
      <c r="H884" s="19"/>
    </row>
    <row r="885">
      <c r="A885" s="9"/>
      <c r="B885" s="15"/>
      <c r="C885" s="9">
        <f>IFERROR(__xludf.DUMMYFUNCTION("""COMPUTED_VALUE"""),44502.486046655)</f>
        <v>44502.48605</v>
      </c>
      <c r="D885" s="15">
        <f>IFERROR(__xludf.DUMMYFUNCTION("""COMPUTED_VALUE"""),1.014)</f>
        <v>1.014</v>
      </c>
      <c r="E885" s="16">
        <f>IFERROR(__xludf.DUMMYFUNCTION("""COMPUTED_VALUE"""),65.0)</f>
        <v>65</v>
      </c>
      <c r="F885" s="19" t="str">
        <f>IFERROR(__xludf.DUMMYFUNCTION("""COMPUTED_VALUE"""),"BLACK")</f>
        <v>BLACK</v>
      </c>
      <c r="G885" s="20" t="str">
        <f>IFERROR(__xludf.DUMMYFUNCTION("""COMPUTED_VALUE"""),"Tap 6 Clone (10/15/2021)")</f>
        <v>Tap 6 Clone (10/15/2021)</v>
      </c>
      <c r="H885" s="19"/>
    </row>
    <row r="886">
      <c r="A886" s="9"/>
      <c r="B886" s="15"/>
      <c r="C886" s="9">
        <f>IFERROR(__xludf.DUMMYFUNCTION("""COMPUTED_VALUE"""),44502.475625081)</f>
        <v>44502.47563</v>
      </c>
      <c r="D886" s="15">
        <f>IFERROR(__xludf.DUMMYFUNCTION("""COMPUTED_VALUE"""),1.014)</f>
        <v>1.014</v>
      </c>
      <c r="E886" s="16">
        <f>IFERROR(__xludf.DUMMYFUNCTION("""COMPUTED_VALUE"""),65.0)</f>
        <v>65</v>
      </c>
      <c r="F886" s="19" t="str">
        <f>IFERROR(__xludf.DUMMYFUNCTION("""COMPUTED_VALUE"""),"BLACK")</f>
        <v>BLACK</v>
      </c>
      <c r="G886" s="20" t="str">
        <f>IFERROR(__xludf.DUMMYFUNCTION("""COMPUTED_VALUE"""),"Tap 6 Clone (10/15/2021)")</f>
        <v>Tap 6 Clone (10/15/2021)</v>
      </c>
      <c r="H886" s="19"/>
    </row>
    <row r="887">
      <c r="A887" s="9"/>
      <c r="B887" s="15"/>
      <c r="C887" s="9">
        <f>IFERROR(__xludf.DUMMYFUNCTION("""COMPUTED_VALUE"""),44502.4652031134)</f>
        <v>44502.4652</v>
      </c>
      <c r="D887" s="15">
        <f>IFERROR(__xludf.DUMMYFUNCTION("""COMPUTED_VALUE"""),1.014)</f>
        <v>1.014</v>
      </c>
      <c r="E887" s="16">
        <f>IFERROR(__xludf.DUMMYFUNCTION("""COMPUTED_VALUE"""),65.0)</f>
        <v>65</v>
      </c>
      <c r="F887" s="19" t="str">
        <f>IFERROR(__xludf.DUMMYFUNCTION("""COMPUTED_VALUE"""),"BLACK")</f>
        <v>BLACK</v>
      </c>
      <c r="G887" s="20" t="str">
        <f>IFERROR(__xludf.DUMMYFUNCTION("""COMPUTED_VALUE"""),"Tap 6 Clone (10/15/2021)")</f>
        <v>Tap 6 Clone (10/15/2021)</v>
      </c>
      <c r="H887" s="19"/>
    </row>
    <row r="888">
      <c r="A888" s="9"/>
      <c r="B888" s="15"/>
      <c r="C888" s="9">
        <f>IFERROR(__xludf.DUMMYFUNCTION("""COMPUTED_VALUE"""),44502.4547819444)</f>
        <v>44502.45478</v>
      </c>
      <c r="D888" s="15">
        <f>IFERROR(__xludf.DUMMYFUNCTION("""COMPUTED_VALUE"""),1.014)</f>
        <v>1.014</v>
      </c>
      <c r="E888" s="16">
        <f>IFERROR(__xludf.DUMMYFUNCTION("""COMPUTED_VALUE"""),65.0)</f>
        <v>65</v>
      </c>
      <c r="F888" s="19" t="str">
        <f>IFERROR(__xludf.DUMMYFUNCTION("""COMPUTED_VALUE"""),"BLACK")</f>
        <v>BLACK</v>
      </c>
      <c r="G888" s="20" t="str">
        <f>IFERROR(__xludf.DUMMYFUNCTION("""COMPUTED_VALUE"""),"Tap 6 Clone (10/15/2021)")</f>
        <v>Tap 6 Clone (10/15/2021)</v>
      </c>
      <c r="H888" s="19"/>
    </row>
    <row r="889">
      <c r="A889" s="9"/>
      <c r="B889" s="15"/>
      <c r="C889" s="9">
        <f>IFERROR(__xludf.DUMMYFUNCTION("""COMPUTED_VALUE"""),44502.4443609259)</f>
        <v>44502.44436</v>
      </c>
      <c r="D889" s="15">
        <f>IFERROR(__xludf.DUMMYFUNCTION("""COMPUTED_VALUE"""),1.013)</f>
        <v>1.013</v>
      </c>
      <c r="E889" s="16">
        <f>IFERROR(__xludf.DUMMYFUNCTION("""COMPUTED_VALUE"""),65.0)</f>
        <v>65</v>
      </c>
      <c r="F889" s="19" t="str">
        <f>IFERROR(__xludf.DUMMYFUNCTION("""COMPUTED_VALUE"""),"BLACK")</f>
        <v>BLACK</v>
      </c>
      <c r="G889" s="20" t="str">
        <f>IFERROR(__xludf.DUMMYFUNCTION("""COMPUTED_VALUE"""),"Tap 6 Clone (10/15/2021)")</f>
        <v>Tap 6 Clone (10/15/2021)</v>
      </c>
      <c r="H889" s="19"/>
    </row>
    <row r="890">
      <c r="A890" s="9"/>
      <c r="B890" s="15"/>
      <c r="C890" s="9">
        <f>IFERROR(__xludf.DUMMYFUNCTION("""COMPUTED_VALUE"""),44502.4339397338)</f>
        <v>44502.43394</v>
      </c>
      <c r="D890" s="15">
        <f>IFERROR(__xludf.DUMMYFUNCTION("""COMPUTED_VALUE"""),1.013)</f>
        <v>1.013</v>
      </c>
      <c r="E890" s="16">
        <f>IFERROR(__xludf.DUMMYFUNCTION("""COMPUTED_VALUE"""),65.0)</f>
        <v>65</v>
      </c>
      <c r="F890" s="19" t="str">
        <f>IFERROR(__xludf.DUMMYFUNCTION("""COMPUTED_VALUE"""),"BLACK")</f>
        <v>BLACK</v>
      </c>
      <c r="G890" s="20" t="str">
        <f>IFERROR(__xludf.DUMMYFUNCTION("""COMPUTED_VALUE"""),"Tap 6 Clone (10/15/2021)")</f>
        <v>Tap 6 Clone (10/15/2021)</v>
      </c>
      <c r="H890" s="19"/>
    </row>
    <row r="891">
      <c r="A891" s="9"/>
      <c r="B891" s="15"/>
      <c r="C891" s="9">
        <f>IFERROR(__xludf.DUMMYFUNCTION("""COMPUTED_VALUE"""),44502.4235200347)</f>
        <v>44502.42352</v>
      </c>
      <c r="D891" s="15">
        <f>IFERROR(__xludf.DUMMYFUNCTION("""COMPUTED_VALUE"""),1.013)</f>
        <v>1.013</v>
      </c>
      <c r="E891" s="16">
        <f>IFERROR(__xludf.DUMMYFUNCTION("""COMPUTED_VALUE"""),65.0)</f>
        <v>65</v>
      </c>
      <c r="F891" s="19" t="str">
        <f>IFERROR(__xludf.DUMMYFUNCTION("""COMPUTED_VALUE"""),"BLACK")</f>
        <v>BLACK</v>
      </c>
      <c r="G891" s="20" t="str">
        <f>IFERROR(__xludf.DUMMYFUNCTION("""COMPUTED_VALUE"""),"Tap 6 Clone (10/15/2021)")</f>
        <v>Tap 6 Clone (10/15/2021)</v>
      </c>
      <c r="H891" s="19"/>
    </row>
    <row r="892">
      <c r="A892" s="9"/>
      <c r="B892" s="15"/>
      <c r="C892" s="9">
        <f>IFERROR(__xludf.DUMMYFUNCTION("""COMPUTED_VALUE"""),44502.4130986226)</f>
        <v>44502.4131</v>
      </c>
      <c r="D892" s="15">
        <f>IFERROR(__xludf.DUMMYFUNCTION("""COMPUTED_VALUE"""),1.013)</f>
        <v>1.013</v>
      </c>
      <c r="E892" s="16">
        <f>IFERROR(__xludf.DUMMYFUNCTION("""COMPUTED_VALUE"""),65.0)</f>
        <v>65</v>
      </c>
      <c r="F892" s="19" t="str">
        <f>IFERROR(__xludf.DUMMYFUNCTION("""COMPUTED_VALUE"""),"BLACK")</f>
        <v>BLACK</v>
      </c>
      <c r="G892" s="20" t="str">
        <f>IFERROR(__xludf.DUMMYFUNCTION("""COMPUTED_VALUE"""),"Tap 6 Clone (10/15/2021)")</f>
        <v>Tap 6 Clone (10/15/2021)</v>
      </c>
      <c r="H892" s="19"/>
    </row>
    <row r="893">
      <c r="A893" s="9"/>
      <c r="B893" s="15"/>
      <c r="C893" s="9">
        <f>IFERROR(__xludf.DUMMYFUNCTION("""COMPUTED_VALUE"""),44502.4026783796)</f>
        <v>44502.40268</v>
      </c>
      <c r="D893" s="15">
        <f>IFERROR(__xludf.DUMMYFUNCTION("""COMPUTED_VALUE"""),1.014)</f>
        <v>1.014</v>
      </c>
      <c r="E893" s="16">
        <f>IFERROR(__xludf.DUMMYFUNCTION("""COMPUTED_VALUE"""),65.0)</f>
        <v>65</v>
      </c>
      <c r="F893" s="19" t="str">
        <f>IFERROR(__xludf.DUMMYFUNCTION("""COMPUTED_VALUE"""),"BLACK")</f>
        <v>BLACK</v>
      </c>
      <c r="G893" s="20" t="str">
        <f>IFERROR(__xludf.DUMMYFUNCTION("""COMPUTED_VALUE"""),"Tap 6 Clone (10/15/2021)")</f>
        <v>Tap 6 Clone (10/15/2021)</v>
      </c>
      <c r="H893" s="19"/>
    </row>
    <row r="894">
      <c r="A894" s="9"/>
      <c r="B894" s="15"/>
      <c r="C894" s="9">
        <f>IFERROR(__xludf.DUMMYFUNCTION("""COMPUTED_VALUE"""),44502.3922580439)</f>
        <v>44502.39226</v>
      </c>
      <c r="D894" s="15">
        <f>IFERROR(__xludf.DUMMYFUNCTION("""COMPUTED_VALUE"""),1.014)</f>
        <v>1.014</v>
      </c>
      <c r="E894" s="16">
        <f>IFERROR(__xludf.DUMMYFUNCTION("""COMPUTED_VALUE"""),65.0)</f>
        <v>65</v>
      </c>
      <c r="F894" s="19" t="str">
        <f>IFERROR(__xludf.DUMMYFUNCTION("""COMPUTED_VALUE"""),"BLACK")</f>
        <v>BLACK</v>
      </c>
      <c r="G894" s="20" t="str">
        <f>IFERROR(__xludf.DUMMYFUNCTION("""COMPUTED_VALUE"""),"Tap 6 Clone (10/15/2021)")</f>
        <v>Tap 6 Clone (10/15/2021)</v>
      </c>
      <c r="H894" s="19"/>
    </row>
    <row r="895">
      <c r="A895" s="9"/>
      <c r="B895" s="15"/>
      <c r="C895" s="9">
        <f>IFERROR(__xludf.DUMMYFUNCTION("""COMPUTED_VALUE"""),44502.3818353819)</f>
        <v>44502.38184</v>
      </c>
      <c r="D895" s="15">
        <f>IFERROR(__xludf.DUMMYFUNCTION("""COMPUTED_VALUE"""),1.014)</f>
        <v>1.014</v>
      </c>
      <c r="E895" s="16">
        <f>IFERROR(__xludf.DUMMYFUNCTION("""COMPUTED_VALUE"""),65.0)</f>
        <v>65</v>
      </c>
      <c r="F895" s="19" t="str">
        <f>IFERROR(__xludf.DUMMYFUNCTION("""COMPUTED_VALUE"""),"BLACK")</f>
        <v>BLACK</v>
      </c>
      <c r="G895" s="20" t="str">
        <f>IFERROR(__xludf.DUMMYFUNCTION("""COMPUTED_VALUE"""),"Tap 6 Clone (10/15/2021)")</f>
        <v>Tap 6 Clone (10/15/2021)</v>
      </c>
      <c r="H895" s="19"/>
    </row>
    <row r="896">
      <c r="A896" s="9"/>
      <c r="B896" s="15"/>
      <c r="C896" s="9">
        <f>IFERROR(__xludf.DUMMYFUNCTION("""COMPUTED_VALUE"""),44502.371413206)</f>
        <v>44502.37141</v>
      </c>
      <c r="D896" s="15">
        <f>IFERROR(__xludf.DUMMYFUNCTION("""COMPUTED_VALUE"""),1.013)</f>
        <v>1.013</v>
      </c>
      <c r="E896" s="16">
        <f>IFERROR(__xludf.DUMMYFUNCTION("""COMPUTED_VALUE"""),65.0)</f>
        <v>65</v>
      </c>
      <c r="F896" s="19" t="str">
        <f>IFERROR(__xludf.DUMMYFUNCTION("""COMPUTED_VALUE"""),"BLACK")</f>
        <v>BLACK</v>
      </c>
      <c r="G896" s="20" t="str">
        <f>IFERROR(__xludf.DUMMYFUNCTION("""COMPUTED_VALUE"""),"Tap 6 Clone (10/15/2021)")</f>
        <v>Tap 6 Clone (10/15/2021)</v>
      </c>
      <c r="H896" s="19"/>
    </row>
    <row r="897">
      <c r="A897" s="9"/>
      <c r="B897" s="15"/>
      <c r="C897" s="9">
        <f>IFERROR(__xludf.DUMMYFUNCTION("""COMPUTED_VALUE"""),44502.3609915972)</f>
        <v>44502.36099</v>
      </c>
      <c r="D897" s="15">
        <f>IFERROR(__xludf.DUMMYFUNCTION("""COMPUTED_VALUE"""),1.013)</f>
        <v>1.013</v>
      </c>
      <c r="E897" s="16">
        <f>IFERROR(__xludf.DUMMYFUNCTION("""COMPUTED_VALUE"""),65.0)</f>
        <v>65</v>
      </c>
      <c r="F897" s="19" t="str">
        <f>IFERROR(__xludf.DUMMYFUNCTION("""COMPUTED_VALUE"""),"BLACK")</f>
        <v>BLACK</v>
      </c>
      <c r="G897" s="20" t="str">
        <f>IFERROR(__xludf.DUMMYFUNCTION("""COMPUTED_VALUE"""),"Tap 6 Clone (10/15/2021)")</f>
        <v>Tap 6 Clone (10/15/2021)</v>
      </c>
      <c r="H897" s="19"/>
    </row>
    <row r="898">
      <c r="A898" s="9"/>
      <c r="B898" s="15"/>
      <c r="C898" s="9">
        <f>IFERROR(__xludf.DUMMYFUNCTION("""COMPUTED_VALUE"""),44502.3505706365)</f>
        <v>44502.35057</v>
      </c>
      <c r="D898" s="15">
        <f>IFERROR(__xludf.DUMMYFUNCTION("""COMPUTED_VALUE"""),1.013)</f>
        <v>1.013</v>
      </c>
      <c r="E898" s="16">
        <f>IFERROR(__xludf.DUMMYFUNCTION("""COMPUTED_VALUE"""),65.0)</f>
        <v>65</v>
      </c>
      <c r="F898" s="19" t="str">
        <f>IFERROR(__xludf.DUMMYFUNCTION("""COMPUTED_VALUE"""),"BLACK")</f>
        <v>BLACK</v>
      </c>
      <c r="G898" s="20" t="str">
        <f>IFERROR(__xludf.DUMMYFUNCTION("""COMPUTED_VALUE"""),"Tap 6 Clone (10/15/2021)")</f>
        <v>Tap 6 Clone (10/15/2021)</v>
      </c>
      <c r="H898" s="19"/>
    </row>
    <row r="899">
      <c r="A899" s="9"/>
      <c r="B899" s="15"/>
      <c r="C899" s="9">
        <f>IFERROR(__xludf.DUMMYFUNCTION("""COMPUTED_VALUE"""),44502.3401378356)</f>
        <v>44502.34014</v>
      </c>
      <c r="D899" s="15">
        <f>IFERROR(__xludf.DUMMYFUNCTION("""COMPUTED_VALUE"""),1.013)</f>
        <v>1.013</v>
      </c>
      <c r="E899" s="16">
        <f>IFERROR(__xludf.DUMMYFUNCTION("""COMPUTED_VALUE"""),65.0)</f>
        <v>65</v>
      </c>
      <c r="F899" s="19" t="str">
        <f>IFERROR(__xludf.DUMMYFUNCTION("""COMPUTED_VALUE"""),"BLACK")</f>
        <v>BLACK</v>
      </c>
      <c r="G899" s="20" t="str">
        <f>IFERROR(__xludf.DUMMYFUNCTION("""COMPUTED_VALUE"""),"Tap 6 Clone (10/15/2021)")</f>
        <v>Tap 6 Clone (10/15/2021)</v>
      </c>
      <c r="H899" s="19"/>
    </row>
    <row r="900">
      <c r="A900" s="9"/>
      <c r="B900" s="15"/>
      <c r="C900" s="9">
        <f>IFERROR(__xludf.DUMMYFUNCTION("""COMPUTED_VALUE"""),44502.3297155671)</f>
        <v>44502.32972</v>
      </c>
      <c r="D900" s="15">
        <f>IFERROR(__xludf.DUMMYFUNCTION("""COMPUTED_VALUE"""),1.013)</f>
        <v>1.013</v>
      </c>
      <c r="E900" s="16">
        <f>IFERROR(__xludf.DUMMYFUNCTION("""COMPUTED_VALUE"""),65.0)</f>
        <v>65</v>
      </c>
      <c r="F900" s="19" t="str">
        <f>IFERROR(__xludf.DUMMYFUNCTION("""COMPUTED_VALUE"""),"BLACK")</f>
        <v>BLACK</v>
      </c>
      <c r="G900" s="20" t="str">
        <f>IFERROR(__xludf.DUMMYFUNCTION("""COMPUTED_VALUE"""),"Tap 6 Clone (10/15/2021)")</f>
        <v>Tap 6 Clone (10/15/2021)</v>
      </c>
      <c r="H900" s="19"/>
    </row>
    <row r="901">
      <c r="A901" s="9"/>
      <c r="B901" s="15"/>
      <c r="C901" s="9">
        <f>IFERROR(__xludf.DUMMYFUNCTION("""COMPUTED_VALUE"""),44502.3192713657)</f>
        <v>44502.31927</v>
      </c>
      <c r="D901" s="15">
        <f>IFERROR(__xludf.DUMMYFUNCTION("""COMPUTED_VALUE"""),1.013)</f>
        <v>1.013</v>
      </c>
      <c r="E901" s="16">
        <f>IFERROR(__xludf.DUMMYFUNCTION("""COMPUTED_VALUE"""),65.0)</f>
        <v>65</v>
      </c>
      <c r="F901" s="19" t="str">
        <f>IFERROR(__xludf.DUMMYFUNCTION("""COMPUTED_VALUE"""),"BLACK")</f>
        <v>BLACK</v>
      </c>
      <c r="G901" s="20" t="str">
        <f>IFERROR(__xludf.DUMMYFUNCTION("""COMPUTED_VALUE"""),"Tap 6 Clone (10/15/2021)")</f>
        <v>Tap 6 Clone (10/15/2021)</v>
      </c>
      <c r="H901" s="19"/>
    </row>
    <row r="902">
      <c r="A902" s="9"/>
      <c r="B902" s="15"/>
      <c r="C902" s="9">
        <f>IFERROR(__xludf.DUMMYFUNCTION("""COMPUTED_VALUE"""),44502.3088518287)</f>
        <v>44502.30885</v>
      </c>
      <c r="D902" s="15">
        <f>IFERROR(__xludf.DUMMYFUNCTION("""COMPUTED_VALUE"""),1.013)</f>
        <v>1.013</v>
      </c>
      <c r="E902" s="16">
        <f>IFERROR(__xludf.DUMMYFUNCTION("""COMPUTED_VALUE"""),65.0)</f>
        <v>65</v>
      </c>
      <c r="F902" s="19" t="str">
        <f>IFERROR(__xludf.DUMMYFUNCTION("""COMPUTED_VALUE"""),"BLACK")</f>
        <v>BLACK</v>
      </c>
      <c r="G902" s="20" t="str">
        <f>IFERROR(__xludf.DUMMYFUNCTION("""COMPUTED_VALUE"""),"Tap 6 Clone (10/15/2021)")</f>
        <v>Tap 6 Clone (10/15/2021)</v>
      </c>
      <c r="H902" s="19"/>
    </row>
    <row r="903">
      <c r="A903" s="9"/>
      <c r="B903" s="15"/>
      <c r="C903" s="9">
        <f>IFERROR(__xludf.DUMMYFUNCTION("""COMPUTED_VALUE"""),44502.2984313773)</f>
        <v>44502.29843</v>
      </c>
      <c r="D903" s="15">
        <f>IFERROR(__xludf.DUMMYFUNCTION("""COMPUTED_VALUE"""),1.013)</f>
        <v>1.013</v>
      </c>
      <c r="E903" s="16">
        <f>IFERROR(__xludf.DUMMYFUNCTION("""COMPUTED_VALUE"""),65.0)</f>
        <v>65</v>
      </c>
      <c r="F903" s="19" t="str">
        <f>IFERROR(__xludf.DUMMYFUNCTION("""COMPUTED_VALUE"""),"BLACK")</f>
        <v>BLACK</v>
      </c>
      <c r="G903" s="20" t="str">
        <f>IFERROR(__xludf.DUMMYFUNCTION("""COMPUTED_VALUE"""),"Tap 6 Clone (10/15/2021)")</f>
        <v>Tap 6 Clone (10/15/2021)</v>
      </c>
      <c r="H903" s="19"/>
    </row>
    <row r="904">
      <c r="A904" s="9"/>
      <c r="B904" s="15"/>
      <c r="C904" s="9">
        <f>IFERROR(__xludf.DUMMYFUNCTION("""COMPUTED_VALUE"""),44502.2879852314)</f>
        <v>44502.28799</v>
      </c>
      <c r="D904" s="15">
        <f>IFERROR(__xludf.DUMMYFUNCTION("""COMPUTED_VALUE"""),1.013)</f>
        <v>1.013</v>
      </c>
      <c r="E904" s="16">
        <f>IFERROR(__xludf.DUMMYFUNCTION("""COMPUTED_VALUE"""),65.0)</f>
        <v>65</v>
      </c>
      <c r="F904" s="19" t="str">
        <f>IFERROR(__xludf.DUMMYFUNCTION("""COMPUTED_VALUE"""),"BLACK")</f>
        <v>BLACK</v>
      </c>
      <c r="G904" s="20" t="str">
        <f>IFERROR(__xludf.DUMMYFUNCTION("""COMPUTED_VALUE"""),"Tap 6 Clone (10/15/2021)")</f>
        <v>Tap 6 Clone (10/15/2021)</v>
      </c>
      <c r="H904" s="19"/>
    </row>
    <row r="905">
      <c r="A905" s="9"/>
      <c r="B905" s="15"/>
      <c r="C905" s="9">
        <f>IFERROR(__xludf.DUMMYFUNCTION("""COMPUTED_VALUE"""),44502.2775646759)</f>
        <v>44502.27756</v>
      </c>
      <c r="D905" s="15">
        <f>IFERROR(__xludf.DUMMYFUNCTION("""COMPUTED_VALUE"""),1.013)</f>
        <v>1.013</v>
      </c>
      <c r="E905" s="16">
        <f>IFERROR(__xludf.DUMMYFUNCTION("""COMPUTED_VALUE"""),65.0)</f>
        <v>65</v>
      </c>
      <c r="F905" s="19" t="str">
        <f>IFERROR(__xludf.DUMMYFUNCTION("""COMPUTED_VALUE"""),"BLACK")</f>
        <v>BLACK</v>
      </c>
      <c r="G905" s="20" t="str">
        <f>IFERROR(__xludf.DUMMYFUNCTION("""COMPUTED_VALUE"""),"Tap 6 Clone (10/15/2021)")</f>
        <v>Tap 6 Clone (10/15/2021)</v>
      </c>
      <c r="H905" s="19"/>
    </row>
    <row r="906">
      <c r="A906" s="9"/>
      <c r="B906" s="15"/>
      <c r="C906" s="9">
        <f>IFERROR(__xludf.DUMMYFUNCTION("""COMPUTED_VALUE"""),44502.2671322453)</f>
        <v>44502.26713</v>
      </c>
      <c r="D906" s="15">
        <f>IFERROR(__xludf.DUMMYFUNCTION("""COMPUTED_VALUE"""),1.014)</f>
        <v>1.014</v>
      </c>
      <c r="E906" s="16">
        <f>IFERROR(__xludf.DUMMYFUNCTION("""COMPUTED_VALUE"""),65.0)</f>
        <v>65</v>
      </c>
      <c r="F906" s="19" t="str">
        <f>IFERROR(__xludf.DUMMYFUNCTION("""COMPUTED_VALUE"""),"BLACK")</f>
        <v>BLACK</v>
      </c>
      <c r="G906" s="20" t="str">
        <f>IFERROR(__xludf.DUMMYFUNCTION("""COMPUTED_VALUE"""),"Tap 6 Clone (10/15/2021)")</f>
        <v>Tap 6 Clone (10/15/2021)</v>
      </c>
      <c r="H906" s="19"/>
    </row>
    <row r="907">
      <c r="A907" s="9"/>
      <c r="B907" s="15"/>
      <c r="C907" s="9">
        <f>IFERROR(__xludf.DUMMYFUNCTION("""COMPUTED_VALUE"""),44502.256712199)</f>
        <v>44502.25671</v>
      </c>
      <c r="D907" s="15">
        <f>IFERROR(__xludf.DUMMYFUNCTION("""COMPUTED_VALUE"""),1.014)</f>
        <v>1.014</v>
      </c>
      <c r="E907" s="16">
        <f>IFERROR(__xludf.DUMMYFUNCTION("""COMPUTED_VALUE"""),65.0)</f>
        <v>65</v>
      </c>
      <c r="F907" s="19" t="str">
        <f>IFERROR(__xludf.DUMMYFUNCTION("""COMPUTED_VALUE"""),"BLACK")</f>
        <v>BLACK</v>
      </c>
      <c r="G907" s="20" t="str">
        <f>IFERROR(__xludf.DUMMYFUNCTION("""COMPUTED_VALUE"""),"Tap 6 Clone (10/15/2021)")</f>
        <v>Tap 6 Clone (10/15/2021)</v>
      </c>
      <c r="H907" s="19"/>
    </row>
    <row r="908">
      <c r="A908" s="9"/>
      <c r="B908" s="15"/>
      <c r="C908" s="9">
        <f>IFERROR(__xludf.DUMMYFUNCTION("""COMPUTED_VALUE"""),44502.2462909259)</f>
        <v>44502.24629</v>
      </c>
      <c r="D908" s="15">
        <f>IFERROR(__xludf.DUMMYFUNCTION("""COMPUTED_VALUE"""),1.014)</f>
        <v>1.014</v>
      </c>
      <c r="E908" s="16">
        <f>IFERROR(__xludf.DUMMYFUNCTION("""COMPUTED_VALUE"""),65.0)</f>
        <v>65</v>
      </c>
      <c r="F908" s="19" t="str">
        <f>IFERROR(__xludf.DUMMYFUNCTION("""COMPUTED_VALUE"""),"BLACK")</f>
        <v>BLACK</v>
      </c>
      <c r="G908" s="20" t="str">
        <f>IFERROR(__xludf.DUMMYFUNCTION("""COMPUTED_VALUE"""),"Tap 6 Clone (10/15/2021)")</f>
        <v>Tap 6 Clone (10/15/2021)</v>
      </c>
      <c r="H908" s="19"/>
    </row>
    <row r="909">
      <c r="A909" s="9"/>
      <c r="B909" s="15"/>
      <c r="C909" s="9">
        <f>IFERROR(__xludf.DUMMYFUNCTION("""COMPUTED_VALUE"""),44502.2358691319)</f>
        <v>44502.23587</v>
      </c>
      <c r="D909" s="15">
        <f>IFERROR(__xludf.DUMMYFUNCTION("""COMPUTED_VALUE"""),1.014)</f>
        <v>1.014</v>
      </c>
      <c r="E909" s="16">
        <f>IFERROR(__xludf.DUMMYFUNCTION("""COMPUTED_VALUE"""),65.0)</f>
        <v>65</v>
      </c>
      <c r="F909" s="19" t="str">
        <f>IFERROR(__xludf.DUMMYFUNCTION("""COMPUTED_VALUE"""),"BLACK")</f>
        <v>BLACK</v>
      </c>
      <c r="G909" s="20" t="str">
        <f>IFERROR(__xludf.DUMMYFUNCTION("""COMPUTED_VALUE"""),"Tap 6 Clone (10/15/2021)")</f>
        <v>Tap 6 Clone (10/15/2021)</v>
      </c>
      <c r="H909" s="19"/>
    </row>
    <row r="910">
      <c r="A910" s="9"/>
      <c r="B910" s="15"/>
      <c r="C910" s="9">
        <f>IFERROR(__xludf.DUMMYFUNCTION("""COMPUTED_VALUE"""),44502.2254479745)</f>
        <v>44502.22545</v>
      </c>
      <c r="D910" s="15">
        <f>IFERROR(__xludf.DUMMYFUNCTION("""COMPUTED_VALUE"""),1.014)</f>
        <v>1.014</v>
      </c>
      <c r="E910" s="16">
        <f>IFERROR(__xludf.DUMMYFUNCTION("""COMPUTED_VALUE"""),65.0)</f>
        <v>65</v>
      </c>
      <c r="F910" s="19" t="str">
        <f>IFERROR(__xludf.DUMMYFUNCTION("""COMPUTED_VALUE"""),"BLACK")</f>
        <v>BLACK</v>
      </c>
      <c r="G910" s="20" t="str">
        <f>IFERROR(__xludf.DUMMYFUNCTION("""COMPUTED_VALUE"""),"Tap 6 Clone (10/15/2021)")</f>
        <v>Tap 6 Clone (10/15/2021)</v>
      </c>
      <c r="H910" s="19"/>
    </row>
    <row r="911">
      <c r="A911" s="9"/>
      <c r="B911" s="15"/>
      <c r="C911" s="9">
        <f>IFERROR(__xludf.DUMMYFUNCTION("""COMPUTED_VALUE"""),44502.2150256134)</f>
        <v>44502.21503</v>
      </c>
      <c r="D911" s="15">
        <f>IFERROR(__xludf.DUMMYFUNCTION("""COMPUTED_VALUE"""),1.014)</f>
        <v>1.014</v>
      </c>
      <c r="E911" s="16">
        <f>IFERROR(__xludf.DUMMYFUNCTION("""COMPUTED_VALUE"""),65.0)</f>
        <v>65</v>
      </c>
      <c r="F911" s="19" t="str">
        <f>IFERROR(__xludf.DUMMYFUNCTION("""COMPUTED_VALUE"""),"BLACK")</f>
        <v>BLACK</v>
      </c>
      <c r="G911" s="20" t="str">
        <f>IFERROR(__xludf.DUMMYFUNCTION("""COMPUTED_VALUE"""),"Tap 6 Clone (10/15/2021)")</f>
        <v>Tap 6 Clone (10/15/2021)</v>
      </c>
      <c r="H911" s="19"/>
    </row>
    <row r="912">
      <c r="A912" s="9"/>
      <c r="B912" s="15"/>
      <c r="C912" s="9">
        <f>IFERROR(__xludf.DUMMYFUNCTION("""COMPUTED_VALUE"""),44502.2045921064)</f>
        <v>44502.20459</v>
      </c>
      <c r="D912" s="15">
        <f>IFERROR(__xludf.DUMMYFUNCTION("""COMPUTED_VALUE"""),1.014)</f>
        <v>1.014</v>
      </c>
      <c r="E912" s="16">
        <f>IFERROR(__xludf.DUMMYFUNCTION("""COMPUTED_VALUE"""),65.0)</f>
        <v>65</v>
      </c>
      <c r="F912" s="19" t="str">
        <f>IFERROR(__xludf.DUMMYFUNCTION("""COMPUTED_VALUE"""),"BLACK")</f>
        <v>BLACK</v>
      </c>
      <c r="G912" s="20" t="str">
        <f>IFERROR(__xludf.DUMMYFUNCTION("""COMPUTED_VALUE"""),"Tap 6 Clone (10/15/2021)")</f>
        <v>Tap 6 Clone (10/15/2021)</v>
      </c>
      <c r="H912" s="19"/>
    </row>
    <row r="913">
      <c r="A913" s="9"/>
      <c r="B913" s="15"/>
      <c r="C913" s="9">
        <f>IFERROR(__xludf.DUMMYFUNCTION("""COMPUTED_VALUE"""),44502.1941716666)</f>
        <v>44502.19417</v>
      </c>
      <c r="D913" s="15">
        <f>IFERROR(__xludf.DUMMYFUNCTION("""COMPUTED_VALUE"""),1.014)</f>
        <v>1.014</v>
      </c>
      <c r="E913" s="16">
        <f>IFERROR(__xludf.DUMMYFUNCTION("""COMPUTED_VALUE"""),65.0)</f>
        <v>65</v>
      </c>
      <c r="F913" s="19" t="str">
        <f>IFERROR(__xludf.DUMMYFUNCTION("""COMPUTED_VALUE"""),"BLACK")</f>
        <v>BLACK</v>
      </c>
      <c r="G913" s="20" t="str">
        <f>IFERROR(__xludf.DUMMYFUNCTION("""COMPUTED_VALUE"""),"Tap 6 Clone (10/15/2021)")</f>
        <v>Tap 6 Clone (10/15/2021)</v>
      </c>
      <c r="H913" s="19"/>
    </row>
    <row r="914">
      <c r="A914" s="9"/>
      <c r="B914" s="15"/>
      <c r="C914" s="9">
        <f>IFERROR(__xludf.DUMMYFUNCTION("""COMPUTED_VALUE"""),44502.1837531018)</f>
        <v>44502.18375</v>
      </c>
      <c r="D914" s="15">
        <f>IFERROR(__xludf.DUMMYFUNCTION("""COMPUTED_VALUE"""),1.014)</f>
        <v>1.014</v>
      </c>
      <c r="E914" s="16">
        <f>IFERROR(__xludf.DUMMYFUNCTION("""COMPUTED_VALUE"""),66.0)</f>
        <v>66</v>
      </c>
      <c r="F914" s="19" t="str">
        <f>IFERROR(__xludf.DUMMYFUNCTION("""COMPUTED_VALUE"""),"BLACK")</f>
        <v>BLACK</v>
      </c>
      <c r="G914" s="20" t="str">
        <f>IFERROR(__xludf.DUMMYFUNCTION("""COMPUTED_VALUE"""),"Tap 6 Clone (10/15/2021)")</f>
        <v>Tap 6 Clone (10/15/2021)</v>
      </c>
      <c r="H914" s="19"/>
    </row>
    <row r="915">
      <c r="A915" s="9"/>
      <c r="B915" s="15"/>
      <c r="C915" s="9">
        <f>IFERROR(__xludf.DUMMYFUNCTION("""COMPUTED_VALUE"""),44502.1733205208)</f>
        <v>44502.17332</v>
      </c>
      <c r="D915" s="15">
        <f>IFERROR(__xludf.DUMMYFUNCTION("""COMPUTED_VALUE"""),1.014)</f>
        <v>1.014</v>
      </c>
      <c r="E915" s="16">
        <f>IFERROR(__xludf.DUMMYFUNCTION("""COMPUTED_VALUE"""),65.0)</f>
        <v>65</v>
      </c>
      <c r="F915" s="19" t="str">
        <f>IFERROR(__xludf.DUMMYFUNCTION("""COMPUTED_VALUE"""),"BLACK")</f>
        <v>BLACK</v>
      </c>
      <c r="G915" s="20" t="str">
        <f>IFERROR(__xludf.DUMMYFUNCTION("""COMPUTED_VALUE"""),"Tap 6 Clone (10/15/2021)")</f>
        <v>Tap 6 Clone (10/15/2021)</v>
      </c>
      <c r="H915" s="19"/>
    </row>
    <row r="916">
      <c r="A916" s="9"/>
      <c r="B916" s="15"/>
      <c r="C916" s="9">
        <f>IFERROR(__xludf.DUMMYFUNCTION("""COMPUTED_VALUE"""),44502.1628993865)</f>
        <v>44502.1629</v>
      </c>
      <c r="D916" s="15">
        <f>IFERROR(__xludf.DUMMYFUNCTION("""COMPUTED_VALUE"""),1.014)</f>
        <v>1.014</v>
      </c>
      <c r="E916" s="16">
        <f>IFERROR(__xludf.DUMMYFUNCTION("""COMPUTED_VALUE"""),65.0)</f>
        <v>65</v>
      </c>
      <c r="F916" s="19" t="str">
        <f>IFERROR(__xludf.DUMMYFUNCTION("""COMPUTED_VALUE"""),"BLACK")</f>
        <v>BLACK</v>
      </c>
      <c r="G916" s="20" t="str">
        <f>IFERROR(__xludf.DUMMYFUNCTION("""COMPUTED_VALUE"""),"Tap 6 Clone (10/15/2021)")</f>
        <v>Tap 6 Clone (10/15/2021)</v>
      </c>
      <c r="H916" s="19"/>
    </row>
    <row r="917">
      <c r="A917" s="9"/>
      <c r="B917" s="15"/>
      <c r="C917" s="9">
        <f>IFERROR(__xludf.DUMMYFUNCTION("""COMPUTED_VALUE"""),44502.1524781365)</f>
        <v>44502.15248</v>
      </c>
      <c r="D917" s="15">
        <f>IFERROR(__xludf.DUMMYFUNCTION("""COMPUTED_VALUE"""),1.013)</f>
        <v>1.013</v>
      </c>
      <c r="E917" s="16">
        <f>IFERROR(__xludf.DUMMYFUNCTION("""COMPUTED_VALUE"""),65.0)</f>
        <v>65</v>
      </c>
      <c r="F917" s="19" t="str">
        <f>IFERROR(__xludf.DUMMYFUNCTION("""COMPUTED_VALUE"""),"BLACK")</f>
        <v>BLACK</v>
      </c>
      <c r="G917" s="20" t="str">
        <f>IFERROR(__xludf.DUMMYFUNCTION("""COMPUTED_VALUE"""),"Tap 6 Clone (10/15/2021)")</f>
        <v>Tap 6 Clone (10/15/2021)</v>
      </c>
      <c r="H917" s="19"/>
    </row>
    <row r="918">
      <c r="A918" s="9"/>
      <c r="B918" s="15"/>
      <c r="C918" s="9">
        <f>IFERROR(__xludf.DUMMYFUNCTION("""COMPUTED_VALUE"""),44502.1420569328)</f>
        <v>44502.14206</v>
      </c>
      <c r="D918" s="15">
        <f>IFERROR(__xludf.DUMMYFUNCTION("""COMPUTED_VALUE"""),1.014)</f>
        <v>1.014</v>
      </c>
      <c r="E918" s="16">
        <f>IFERROR(__xludf.DUMMYFUNCTION("""COMPUTED_VALUE"""),65.0)</f>
        <v>65</v>
      </c>
      <c r="F918" s="19" t="str">
        <f>IFERROR(__xludf.DUMMYFUNCTION("""COMPUTED_VALUE"""),"BLACK")</f>
        <v>BLACK</v>
      </c>
      <c r="G918" s="20" t="str">
        <f>IFERROR(__xludf.DUMMYFUNCTION("""COMPUTED_VALUE"""),"Tap 6 Clone (10/15/2021)")</f>
        <v>Tap 6 Clone (10/15/2021)</v>
      </c>
      <c r="H918" s="19"/>
    </row>
    <row r="919">
      <c r="A919" s="9"/>
      <c r="B919" s="15"/>
      <c r="C919" s="9">
        <f>IFERROR(__xludf.DUMMYFUNCTION("""COMPUTED_VALUE"""),44502.1316364236)</f>
        <v>44502.13164</v>
      </c>
      <c r="D919" s="15">
        <f>IFERROR(__xludf.DUMMYFUNCTION("""COMPUTED_VALUE"""),1.014)</f>
        <v>1.014</v>
      </c>
      <c r="E919" s="16">
        <f>IFERROR(__xludf.DUMMYFUNCTION("""COMPUTED_VALUE"""),65.0)</f>
        <v>65</v>
      </c>
      <c r="F919" s="19" t="str">
        <f>IFERROR(__xludf.DUMMYFUNCTION("""COMPUTED_VALUE"""),"BLACK")</f>
        <v>BLACK</v>
      </c>
      <c r="G919" s="20" t="str">
        <f>IFERROR(__xludf.DUMMYFUNCTION("""COMPUTED_VALUE"""),"Tap 6 Clone (10/15/2021)")</f>
        <v>Tap 6 Clone (10/15/2021)</v>
      </c>
      <c r="H919" s="19"/>
    </row>
    <row r="920">
      <c r="A920" s="9"/>
      <c r="B920" s="15"/>
      <c r="C920" s="9">
        <f>IFERROR(__xludf.DUMMYFUNCTION("""COMPUTED_VALUE"""),44502.1212151736)</f>
        <v>44502.12122</v>
      </c>
      <c r="D920" s="15">
        <f>IFERROR(__xludf.DUMMYFUNCTION("""COMPUTED_VALUE"""),1.013)</f>
        <v>1.013</v>
      </c>
      <c r="E920" s="16">
        <f>IFERROR(__xludf.DUMMYFUNCTION("""COMPUTED_VALUE"""),65.0)</f>
        <v>65</v>
      </c>
      <c r="F920" s="19" t="str">
        <f>IFERROR(__xludf.DUMMYFUNCTION("""COMPUTED_VALUE"""),"BLACK")</f>
        <v>BLACK</v>
      </c>
      <c r="G920" s="20" t="str">
        <f>IFERROR(__xludf.DUMMYFUNCTION("""COMPUTED_VALUE"""),"Tap 6 Clone (10/15/2021)")</f>
        <v>Tap 6 Clone (10/15/2021)</v>
      </c>
      <c r="H920" s="19"/>
    </row>
    <row r="921">
      <c r="A921" s="9"/>
      <c r="B921" s="15"/>
      <c r="C921" s="9">
        <f>IFERROR(__xludf.DUMMYFUNCTION("""COMPUTED_VALUE"""),44502.1107939236)</f>
        <v>44502.11079</v>
      </c>
      <c r="D921" s="15">
        <f>IFERROR(__xludf.DUMMYFUNCTION("""COMPUTED_VALUE"""),1.013)</f>
        <v>1.013</v>
      </c>
      <c r="E921" s="16">
        <f>IFERROR(__xludf.DUMMYFUNCTION("""COMPUTED_VALUE"""),66.0)</f>
        <v>66</v>
      </c>
      <c r="F921" s="19" t="str">
        <f>IFERROR(__xludf.DUMMYFUNCTION("""COMPUTED_VALUE"""),"BLACK")</f>
        <v>BLACK</v>
      </c>
      <c r="G921" s="20" t="str">
        <f>IFERROR(__xludf.DUMMYFUNCTION("""COMPUTED_VALUE"""),"Tap 6 Clone (10/15/2021)")</f>
        <v>Tap 6 Clone (10/15/2021)</v>
      </c>
      <c r="H921" s="19"/>
    </row>
    <row r="922">
      <c r="A922" s="9"/>
      <c r="B922" s="15"/>
      <c r="C922" s="9">
        <f>IFERROR(__xludf.DUMMYFUNCTION("""COMPUTED_VALUE"""),44502.100372743)</f>
        <v>44502.10037</v>
      </c>
      <c r="D922" s="15">
        <f>IFERROR(__xludf.DUMMYFUNCTION("""COMPUTED_VALUE"""),1.014)</f>
        <v>1.014</v>
      </c>
      <c r="E922" s="16">
        <f>IFERROR(__xludf.DUMMYFUNCTION("""COMPUTED_VALUE"""),65.0)</f>
        <v>65</v>
      </c>
      <c r="F922" s="19" t="str">
        <f>IFERROR(__xludf.DUMMYFUNCTION("""COMPUTED_VALUE"""),"BLACK")</f>
        <v>BLACK</v>
      </c>
      <c r="G922" s="20" t="str">
        <f>IFERROR(__xludf.DUMMYFUNCTION("""COMPUTED_VALUE"""),"Tap 6 Clone (10/15/2021)")</f>
        <v>Tap 6 Clone (10/15/2021)</v>
      </c>
      <c r="H922" s="19"/>
    </row>
    <row r="923">
      <c r="A923" s="9"/>
      <c r="B923" s="15"/>
      <c r="C923" s="9">
        <f>IFERROR(__xludf.DUMMYFUNCTION("""COMPUTED_VALUE"""),44502.089951875)</f>
        <v>44502.08995</v>
      </c>
      <c r="D923" s="15">
        <f>IFERROR(__xludf.DUMMYFUNCTION("""COMPUTED_VALUE"""),1.014)</f>
        <v>1.014</v>
      </c>
      <c r="E923" s="16">
        <f>IFERROR(__xludf.DUMMYFUNCTION("""COMPUTED_VALUE"""),65.0)</f>
        <v>65</v>
      </c>
      <c r="F923" s="19" t="str">
        <f>IFERROR(__xludf.DUMMYFUNCTION("""COMPUTED_VALUE"""),"BLACK")</f>
        <v>BLACK</v>
      </c>
      <c r="G923" s="20" t="str">
        <f>IFERROR(__xludf.DUMMYFUNCTION("""COMPUTED_VALUE"""),"Tap 6 Clone (10/15/2021)")</f>
        <v>Tap 6 Clone (10/15/2021)</v>
      </c>
      <c r="H923" s="19"/>
    </row>
    <row r="924">
      <c r="A924" s="9"/>
      <c r="B924" s="15"/>
      <c r="C924" s="9">
        <f>IFERROR(__xludf.DUMMYFUNCTION("""COMPUTED_VALUE"""),44502.0795297685)</f>
        <v>44502.07953</v>
      </c>
      <c r="D924" s="15">
        <f>IFERROR(__xludf.DUMMYFUNCTION("""COMPUTED_VALUE"""),1.014)</f>
        <v>1.014</v>
      </c>
      <c r="E924" s="16">
        <f>IFERROR(__xludf.DUMMYFUNCTION("""COMPUTED_VALUE"""),65.0)</f>
        <v>65</v>
      </c>
      <c r="F924" s="19" t="str">
        <f>IFERROR(__xludf.DUMMYFUNCTION("""COMPUTED_VALUE"""),"BLACK")</f>
        <v>BLACK</v>
      </c>
      <c r="G924" s="20" t="str">
        <f>IFERROR(__xludf.DUMMYFUNCTION("""COMPUTED_VALUE"""),"Tap 6 Clone (10/15/2021)")</f>
        <v>Tap 6 Clone (10/15/2021)</v>
      </c>
      <c r="H924" s="19"/>
    </row>
    <row r="925">
      <c r="A925" s="9"/>
      <c r="B925" s="15"/>
      <c r="C925" s="9">
        <f>IFERROR(__xludf.DUMMYFUNCTION("""COMPUTED_VALUE"""),44502.0691087731)</f>
        <v>44502.06911</v>
      </c>
      <c r="D925" s="15">
        <f>IFERROR(__xludf.DUMMYFUNCTION("""COMPUTED_VALUE"""),1.015)</f>
        <v>1.015</v>
      </c>
      <c r="E925" s="16">
        <f>IFERROR(__xludf.DUMMYFUNCTION("""COMPUTED_VALUE"""),65.0)</f>
        <v>65</v>
      </c>
      <c r="F925" s="19" t="str">
        <f>IFERROR(__xludf.DUMMYFUNCTION("""COMPUTED_VALUE"""),"BLACK")</f>
        <v>BLACK</v>
      </c>
      <c r="G925" s="20" t="str">
        <f>IFERROR(__xludf.DUMMYFUNCTION("""COMPUTED_VALUE"""),"Tap 6 Clone (10/15/2021)")</f>
        <v>Tap 6 Clone (10/15/2021)</v>
      </c>
      <c r="H925" s="19"/>
    </row>
    <row r="926">
      <c r="A926" s="9"/>
      <c r="B926" s="15"/>
      <c r="C926" s="9">
        <f>IFERROR(__xludf.DUMMYFUNCTION("""COMPUTED_VALUE"""),44502.0586868171)</f>
        <v>44502.05869</v>
      </c>
      <c r="D926" s="15">
        <f>IFERROR(__xludf.DUMMYFUNCTION("""COMPUTED_VALUE"""),1.015)</f>
        <v>1.015</v>
      </c>
      <c r="E926" s="16">
        <f>IFERROR(__xludf.DUMMYFUNCTION("""COMPUTED_VALUE"""),65.0)</f>
        <v>65</v>
      </c>
      <c r="F926" s="19" t="str">
        <f>IFERROR(__xludf.DUMMYFUNCTION("""COMPUTED_VALUE"""),"BLACK")</f>
        <v>BLACK</v>
      </c>
      <c r="G926" s="20" t="str">
        <f>IFERROR(__xludf.DUMMYFUNCTION("""COMPUTED_VALUE"""),"Tap 6 Clone (10/15/2021)")</f>
        <v>Tap 6 Clone (10/15/2021)</v>
      </c>
      <c r="H926" s="19"/>
    </row>
    <row r="927">
      <c r="A927" s="9"/>
      <c r="B927" s="15"/>
      <c r="C927" s="9">
        <f>IFERROR(__xludf.DUMMYFUNCTION("""COMPUTED_VALUE"""),44502.0482644213)</f>
        <v>44502.04826</v>
      </c>
      <c r="D927" s="15">
        <f>IFERROR(__xludf.DUMMYFUNCTION("""COMPUTED_VALUE"""),1.015)</f>
        <v>1.015</v>
      </c>
      <c r="E927" s="16">
        <f>IFERROR(__xludf.DUMMYFUNCTION("""COMPUTED_VALUE"""),65.0)</f>
        <v>65</v>
      </c>
      <c r="F927" s="19" t="str">
        <f>IFERROR(__xludf.DUMMYFUNCTION("""COMPUTED_VALUE"""),"BLACK")</f>
        <v>BLACK</v>
      </c>
      <c r="G927" s="20" t="str">
        <f>IFERROR(__xludf.DUMMYFUNCTION("""COMPUTED_VALUE"""),"Tap 6 Clone (10/15/2021)")</f>
        <v>Tap 6 Clone (10/15/2021)</v>
      </c>
      <c r="H927" s="19"/>
    </row>
    <row r="928">
      <c r="A928" s="9"/>
      <c r="B928" s="15"/>
      <c r="C928" s="9">
        <f>IFERROR(__xludf.DUMMYFUNCTION("""COMPUTED_VALUE"""),44502.0378431018)</f>
        <v>44502.03784</v>
      </c>
      <c r="D928" s="15">
        <f>IFERROR(__xludf.DUMMYFUNCTION("""COMPUTED_VALUE"""),1.015)</f>
        <v>1.015</v>
      </c>
      <c r="E928" s="16">
        <f>IFERROR(__xludf.DUMMYFUNCTION("""COMPUTED_VALUE"""),65.0)</f>
        <v>65</v>
      </c>
      <c r="F928" s="19" t="str">
        <f>IFERROR(__xludf.DUMMYFUNCTION("""COMPUTED_VALUE"""),"BLACK")</f>
        <v>BLACK</v>
      </c>
      <c r="G928" s="20" t="str">
        <f>IFERROR(__xludf.DUMMYFUNCTION("""COMPUTED_VALUE"""),"Tap 6 Clone (10/15/2021)")</f>
        <v>Tap 6 Clone (10/15/2021)</v>
      </c>
      <c r="H928" s="19"/>
    </row>
    <row r="929">
      <c r="A929" s="9"/>
      <c r="B929" s="15"/>
      <c r="C929" s="9">
        <f>IFERROR(__xludf.DUMMYFUNCTION("""COMPUTED_VALUE"""),44502.0274218865)</f>
        <v>44502.02742</v>
      </c>
      <c r="D929" s="15">
        <f>IFERROR(__xludf.DUMMYFUNCTION("""COMPUTED_VALUE"""),1.015)</f>
        <v>1.015</v>
      </c>
      <c r="E929" s="16">
        <f>IFERROR(__xludf.DUMMYFUNCTION("""COMPUTED_VALUE"""),65.0)</f>
        <v>65</v>
      </c>
      <c r="F929" s="19" t="str">
        <f>IFERROR(__xludf.DUMMYFUNCTION("""COMPUTED_VALUE"""),"BLACK")</f>
        <v>BLACK</v>
      </c>
      <c r="G929" s="20" t="str">
        <f>IFERROR(__xludf.DUMMYFUNCTION("""COMPUTED_VALUE"""),"Tap 6 Clone (10/15/2021)")</f>
        <v>Tap 6 Clone (10/15/2021)</v>
      </c>
      <c r="H929" s="19"/>
    </row>
    <row r="930">
      <c r="A930" s="9"/>
      <c r="B930" s="15"/>
      <c r="C930" s="9">
        <f>IFERROR(__xludf.DUMMYFUNCTION("""COMPUTED_VALUE"""),44502.0169883564)</f>
        <v>44502.01699</v>
      </c>
      <c r="D930" s="15">
        <f>IFERROR(__xludf.DUMMYFUNCTION("""COMPUTED_VALUE"""),1.014)</f>
        <v>1.014</v>
      </c>
      <c r="E930" s="16">
        <f>IFERROR(__xludf.DUMMYFUNCTION("""COMPUTED_VALUE"""),65.0)</f>
        <v>65</v>
      </c>
      <c r="F930" s="19" t="str">
        <f>IFERROR(__xludf.DUMMYFUNCTION("""COMPUTED_VALUE"""),"BLACK")</f>
        <v>BLACK</v>
      </c>
      <c r="G930" s="20" t="str">
        <f>IFERROR(__xludf.DUMMYFUNCTION("""COMPUTED_VALUE"""),"Tap 6 Clone (10/15/2021)")</f>
        <v>Tap 6 Clone (10/15/2021)</v>
      </c>
      <c r="H930" s="19"/>
    </row>
    <row r="931">
      <c r="A931" s="9"/>
      <c r="B931" s="15"/>
      <c r="C931" s="9">
        <f>IFERROR(__xludf.DUMMYFUNCTION("""COMPUTED_VALUE"""),44502.0065688194)</f>
        <v>44502.00657</v>
      </c>
      <c r="D931" s="15">
        <f>IFERROR(__xludf.DUMMYFUNCTION("""COMPUTED_VALUE"""),1.015)</f>
        <v>1.015</v>
      </c>
      <c r="E931" s="16">
        <f>IFERROR(__xludf.DUMMYFUNCTION("""COMPUTED_VALUE"""),65.0)</f>
        <v>65</v>
      </c>
      <c r="F931" s="19" t="str">
        <f>IFERROR(__xludf.DUMMYFUNCTION("""COMPUTED_VALUE"""),"BLACK")</f>
        <v>BLACK</v>
      </c>
      <c r="G931" s="20" t="str">
        <f>IFERROR(__xludf.DUMMYFUNCTION("""COMPUTED_VALUE"""),"Tap 6 Clone (10/15/2021)")</f>
        <v>Tap 6 Clone (10/15/2021)</v>
      </c>
      <c r="H931" s="19"/>
    </row>
    <row r="932">
      <c r="A932" s="9"/>
      <c r="B932" s="15"/>
      <c r="C932" s="9">
        <f>IFERROR(__xludf.DUMMYFUNCTION("""COMPUTED_VALUE"""),44501.9961456713)</f>
        <v>44501.99615</v>
      </c>
      <c r="D932" s="15">
        <f>IFERROR(__xludf.DUMMYFUNCTION("""COMPUTED_VALUE"""),1.014)</f>
        <v>1.014</v>
      </c>
      <c r="E932" s="16">
        <f>IFERROR(__xludf.DUMMYFUNCTION("""COMPUTED_VALUE"""),65.0)</f>
        <v>65</v>
      </c>
      <c r="F932" s="19" t="str">
        <f>IFERROR(__xludf.DUMMYFUNCTION("""COMPUTED_VALUE"""),"BLACK")</f>
        <v>BLACK</v>
      </c>
      <c r="G932" s="20" t="str">
        <f>IFERROR(__xludf.DUMMYFUNCTION("""COMPUTED_VALUE"""),"Tap 6 Clone (10/15/2021)")</f>
        <v>Tap 6 Clone (10/15/2021)</v>
      </c>
      <c r="H932" s="19"/>
    </row>
    <row r="933">
      <c r="A933" s="9"/>
      <c r="B933" s="15"/>
      <c r="C933" s="9">
        <f>IFERROR(__xludf.DUMMYFUNCTION("""COMPUTED_VALUE"""),44501.9857247338)</f>
        <v>44501.98572</v>
      </c>
      <c r="D933" s="15">
        <f>IFERROR(__xludf.DUMMYFUNCTION("""COMPUTED_VALUE"""),1.015)</f>
        <v>1.015</v>
      </c>
      <c r="E933" s="16">
        <f>IFERROR(__xludf.DUMMYFUNCTION("""COMPUTED_VALUE"""),65.0)</f>
        <v>65</v>
      </c>
      <c r="F933" s="19" t="str">
        <f>IFERROR(__xludf.DUMMYFUNCTION("""COMPUTED_VALUE"""),"BLACK")</f>
        <v>BLACK</v>
      </c>
      <c r="G933" s="20" t="str">
        <f>IFERROR(__xludf.DUMMYFUNCTION("""COMPUTED_VALUE"""),"Tap 6 Clone (10/15/2021)")</f>
        <v>Tap 6 Clone (10/15/2021)</v>
      </c>
      <c r="H933" s="19"/>
    </row>
    <row r="934">
      <c r="A934" s="9"/>
      <c r="B934" s="15"/>
      <c r="C934" s="9">
        <f>IFERROR(__xludf.DUMMYFUNCTION("""COMPUTED_VALUE"""),44501.9752928588)</f>
        <v>44501.97529</v>
      </c>
      <c r="D934" s="15">
        <f>IFERROR(__xludf.DUMMYFUNCTION("""COMPUTED_VALUE"""),1.014)</f>
        <v>1.014</v>
      </c>
      <c r="E934" s="16">
        <f>IFERROR(__xludf.DUMMYFUNCTION("""COMPUTED_VALUE"""),65.0)</f>
        <v>65</v>
      </c>
      <c r="F934" s="19" t="str">
        <f>IFERROR(__xludf.DUMMYFUNCTION("""COMPUTED_VALUE"""),"BLACK")</f>
        <v>BLACK</v>
      </c>
      <c r="G934" s="20" t="str">
        <f>IFERROR(__xludf.DUMMYFUNCTION("""COMPUTED_VALUE"""),"Tap 6 Clone (10/15/2021)")</f>
        <v>Tap 6 Clone (10/15/2021)</v>
      </c>
      <c r="H934" s="19"/>
    </row>
    <row r="935">
      <c r="A935" s="9"/>
      <c r="B935" s="15"/>
      <c r="C935" s="9">
        <f>IFERROR(__xludf.DUMMYFUNCTION("""COMPUTED_VALUE"""),44501.9648730555)</f>
        <v>44501.96487</v>
      </c>
      <c r="D935" s="15">
        <f>IFERROR(__xludf.DUMMYFUNCTION("""COMPUTED_VALUE"""),1.014)</f>
        <v>1.014</v>
      </c>
      <c r="E935" s="16">
        <f>IFERROR(__xludf.DUMMYFUNCTION("""COMPUTED_VALUE"""),65.0)</f>
        <v>65</v>
      </c>
      <c r="F935" s="19" t="str">
        <f>IFERROR(__xludf.DUMMYFUNCTION("""COMPUTED_VALUE"""),"BLACK")</f>
        <v>BLACK</v>
      </c>
      <c r="G935" s="20" t="str">
        <f>IFERROR(__xludf.DUMMYFUNCTION("""COMPUTED_VALUE"""),"Tap 6 Clone (10/15/2021)")</f>
        <v>Tap 6 Clone (10/15/2021)</v>
      </c>
      <c r="H935" s="19"/>
    </row>
    <row r="936">
      <c r="A936" s="9"/>
      <c r="B936" s="15"/>
      <c r="C936" s="9">
        <f>IFERROR(__xludf.DUMMYFUNCTION("""COMPUTED_VALUE"""),44501.9544522338)</f>
        <v>44501.95445</v>
      </c>
      <c r="D936" s="15">
        <f>IFERROR(__xludf.DUMMYFUNCTION("""COMPUTED_VALUE"""),1.014)</f>
        <v>1.014</v>
      </c>
      <c r="E936" s="16">
        <f>IFERROR(__xludf.DUMMYFUNCTION("""COMPUTED_VALUE"""),65.0)</f>
        <v>65</v>
      </c>
      <c r="F936" s="19" t="str">
        <f>IFERROR(__xludf.DUMMYFUNCTION("""COMPUTED_VALUE"""),"BLACK")</f>
        <v>BLACK</v>
      </c>
      <c r="G936" s="20" t="str">
        <f>IFERROR(__xludf.DUMMYFUNCTION("""COMPUTED_VALUE"""),"Tap 6 Clone (10/15/2021)")</f>
        <v>Tap 6 Clone (10/15/2021)</v>
      </c>
      <c r="H936" s="19"/>
    </row>
    <row r="937">
      <c r="A937" s="9"/>
      <c r="B937" s="15"/>
      <c r="C937" s="9">
        <f>IFERROR(__xludf.DUMMYFUNCTION("""COMPUTED_VALUE"""),44501.9440070138)</f>
        <v>44501.94401</v>
      </c>
      <c r="D937" s="15">
        <f>IFERROR(__xludf.DUMMYFUNCTION("""COMPUTED_VALUE"""),1.015)</f>
        <v>1.015</v>
      </c>
      <c r="E937" s="16">
        <f>IFERROR(__xludf.DUMMYFUNCTION("""COMPUTED_VALUE"""),65.0)</f>
        <v>65</v>
      </c>
      <c r="F937" s="19" t="str">
        <f>IFERROR(__xludf.DUMMYFUNCTION("""COMPUTED_VALUE"""),"BLACK")</f>
        <v>BLACK</v>
      </c>
      <c r="G937" s="20" t="str">
        <f>IFERROR(__xludf.DUMMYFUNCTION("""COMPUTED_VALUE"""),"Tap 6 Clone (10/15/2021)")</f>
        <v>Tap 6 Clone (10/15/2021)</v>
      </c>
      <c r="H937" s="19"/>
    </row>
    <row r="938">
      <c r="A938" s="9"/>
      <c r="B938" s="15"/>
      <c r="C938" s="9">
        <f>IFERROR(__xludf.DUMMYFUNCTION("""COMPUTED_VALUE"""),44501.9335868055)</f>
        <v>44501.93359</v>
      </c>
      <c r="D938" s="15">
        <f>IFERROR(__xludf.DUMMYFUNCTION("""COMPUTED_VALUE"""),1.014)</f>
        <v>1.014</v>
      </c>
      <c r="E938" s="16">
        <f>IFERROR(__xludf.DUMMYFUNCTION("""COMPUTED_VALUE"""),65.0)</f>
        <v>65</v>
      </c>
      <c r="F938" s="19" t="str">
        <f>IFERROR(__xludf.DUMMYFUNCTION("""COMPUTED_VALUE"""),"BLACK")</f>
        <v>BLACK</v>
      </c>
      <c r="G938" s="20" t="str">
        <f>IFERROR(__xludf.DUMMYFUNCTION("""COMPUTED_VALUE"""),"Tap 6 Clone (10/15/2021)")</f>
        <v>Tap 6 Clone (10/15/2021)</v>
      </c>
      <c r="H938" s="19"/>
    </row>
    <row r="939">
      <c r="A939" s="9"/>
      <c r="B939" s="15"/>
      <c r="C939" s="9">
        <f>IFERROR(__xludf.DUMMYFUNCTION("""COMPUTED_VALUE"""),44501.9231557175)</f>
        <v>44501.92316</v>
      </c>
      <c r="D939" s="15">
        <f>IFERROR(__xludf.DUMMYFUNCTION("""COMPUTED_VALUE"""),1.014)</f>
        <v>1.014</v>
      </c>
      <c r="E939" s="16">
        <f>IFERROR(__xludf.DUMMYFUNCTION("""COMPUTED_VALUE"""),65.0)</f>
        <v>65</v>
      </c>
      <c r="F939" s="19" t="str">
        <f>IFERROR(__xludf.DUMMYFUNCTION("""COMPUTED_VALUE"""),"BLACK")</f>
        <v>BLACK</v>
      </c>
      <c r="G939" s="20" t="str">
        <f>IFERROR(__xludf.DUMMYFUNCTION("""COMPUTED_VALUE"""),"Tap 6 Clone (10/15/2021)")</f>
        <v>Tap 6 Clone (10/15/2021)</v>
      </c>
      <c r="H939" s="19"/>
    </row>
    <row r="940">
      <c r="A940" s="9"/>
      <c r="B940" s="15"/>
      <c r="C940" s="9">
        <f>IFERROR(__xludf.DUMMYFUNCTION("""COMPUTED_VALUE"""),44501.9127328125)</f>
        <v>44501.91273</v>
      </c>
      <c r="D940" s="15">
        <f>IFERROR(__xludf.DUMMYFUNCTION("""COMPUTED_VALUE"""),1.014)</f>
        <v>1.014</v>
      </c>
      <c r="E940" s="16">
        <f>IFERROR(__xludf.DUMMYFUNCTION("""COMPUTED_VALUE"""),65.0)</f>
        <v>65</v>
      </c>
      <c r="F940" s="19" t="str">
        <f>IFERROR(__xludf.DUMMYFUNCTION("""COMPUTED_VALUE"""),"BLACK")</f>
        <v>BLACK</v>
      </c>
      <c r="G940" s="20" t="str">
        <f>IFERROR(__xludf.DUMMYFUNCTION("""COMPUTED_VALUE"""),"Tap 6 Clone (10/15/2021)")</f>
        <v>Tap 6 Clone (10/15/2021)</v>
      </c>
      <c r="H940" s="19"/>
    </row>
    <row r="941">
      <c r="A941" s="9"/>
      <c r="B941" s="15"/>
      <c r="C941" s="9">
        <f>IFERROR(__xludf.DUMMYFUNCTION("""COMPUTED_VALUE"""),44501.9023132638)</f>
        <v>44501.90231</v>
      </c>
      <c r="D941" s="15">
        <f>IFERROR(__xludf.DUMMYFUNCTION("""COMPUTED_VALUE"""),1.014)</f>
        <v>1.014</v>
      </c>
      <c r="E941" s="16">
        <f>IFERROR(__xludf.DUMMYFUNCTION("""COMPUTED_VALUE"""),65.0)</f>
        <v>65</v>
      </c>
      <c r="F941" s="19" t="str">
        <f>IFERROR(__xludf.DUMMYFUNCTION("""COMPUTED_VALUE"""),"BLACK")</f>
        <v>BLACK</v>
      </c>
      <c r="G941" s="20" t="str">
        <f>IFERROR(__xludf.DUMMYFUNCTION("""COMPUTED_VALUE"""),"Tap 6 Clone (10/15/2021)")</f>
        <v>Tap 6 Clone (10/15/2021)</v>
      </c>
      <c r="H941" s="19"/>
    </row>
    <row r="942">
      <c r="A942" s="9"/>
      <c r="B942" s="15"/>
      <c r="C942" s="9">
        <f>IFERROR(__xludf.DUMMYFUNCTION("""COMPUTED_VALUE"""),44501.8918809606)</f>
        <v>44501.89188</v>
      </c>
      <c r="D942" s="15">
        <f>IFERROR(__xludf.DUMMYFUNCTION("""COMPUTED_VALUE"""),1.014)</f>
        <v>1.014</v>
      </c>
      <c r="E942" s="16">
        <f>IFERROR(__xludf.DUMMYFUNCTION("""COMPUTED_VALUE"""),65.0)</f>
        <v>65</v>
      </c>
      <c r="F942" s="19" t="str">
        <f>IFERROR(__xludf.DUMMYFUNCTION("""COMPUTED_VALUE"""),"BLACK")</f>
        <v>BLACK</v>
      </c>
      <c r="G942" s="20" t="str">
        <f>IFERROR(__xludf.DUMMYFUNCTION("""COMPUTED_VALUE"""),"Tap 6 Clone (10/15/2021)")</f>
        <v>Tap 6 Clone (10/15/2021)</v>
      </c>
      <c r="H942" s="19"/>
    </row>
    <row r="943">
      <c r="A943" s="9"/>
      <c r="B943" s="15"/>
      <c r="C943" s="9">
        <f>IFERROR(__xludf.DUMMYFUNCTION("""COMPUTED_VALUE"""),44501.8814482175)</f>
        <v>44501.88145</v>
      </c>
      <c r="D943" s="15">
        <f>IFERROR(__xludf.DUMMYFUNCTION("""COMPUTED_VALUE"""),1.014)</f>
        <v>1.014</v>
      </c>
      <c r="E943" s="16">
        <f>IFERROR(__xludf.DUMMYFUNCTION("""COMPUTED_VALUE"""),65.0)</f>
        <v>65</v>
      </c>
      <c r="F943" s="19" t="str">
        <f>IFERROR(__xludf.DUMMYFUNCTION("""COMPUTED_VALUE"""),"BLACK")</f>
        <v>BLACK</v>
      </c>
      <c r="G943" s="20" t="str">
        <f>IFERROR(__xludf.DUMMYFUNCTION("""COMPUTED_VALUE"""),"Tap 6 Clone (10/15/2021)")</f>
        <v>Tap 6 Clone (10/15/2021)</v>
      </c>
      <c r="H943" s="19"/>
    </row>
    <row r="944">
      <c r="A944" s="9"/>
      <c r="B944" s="15"/>
      <c r="C944" s="9">
        <f>IFERROR(__xludf.DUMMYFUNCTION("""COMPUTED_VALUE"""),44501.8710273148)</f>
        <v>44501.87103</v>
      </c>
      <c r="D944" s="15">
        <f>IFERROR(__xludf.DUMMYFUNCTION("""COMPUTED_VALUE"""),1.014)</f>
        <v>1.014</v>
      </c>
      <c r="E944" s="16">
        <f>IFERROR(__xludf.DUMMYFUNCTION("""COMPUTED_VALUE"""),65.0)</f>
        <v>65</v>
      </c>
      <c r="F944" s="19" t="str">
        <f>IFERROR(__xludf.DUMMYFUNCTION("""COMPUTED_VALUE"""),"BLACK")</f>
        <v>BLACK</v>
      </c>
      <c r="G944" s="20" t="str">
        <f>IFERROR(__xludf.DUMMYFUNCTION("""COMPUTED_VALUE"""),"Tap 6 Clone (10/15/2021)")</f>
        <v>Tap 6 Clone (10/15/2021)</v>
      </c>
      <c r="H944" s="19"/>
    </row>
    <row r="945">
      <c r="A945" s="9"/>
      <c r="B945" s="15"/>
      <c r="C945" s="9">
        <f>IFERROR(__xludf.DUMMYFUNCTION("""COMPUTED_VALUE"""),44501.8606069791)</f>
        <v>44501.86061</v>
      </c>
      <c r="D945" s="15">
        <f>IFERROR(__xludf.DUMMYFUNCTION("""COMPUTED_VALUE"""),1.014)</f>
        <v>1.014</v>
      </c>
      <c r="E945" s="16">
        <f>IFERROR(__xludf.DUMMYFUNCTION("""COMPUTED_VALUE"""),65.0)</f>
        <v>65</v>
      </c>
      <c r="F945" s="19" t="str">
        <f>IFERROR(__xludf.DUMMYFUNCTION("""COMPUTED_VALUE"""),"BLACK")</f>
        <v>BLACK</v>
      </c>
      <c r="G945" s="20" t="str">
        <f>IFERROR(__xludf.DUMMYFUNCTION("""COMPUTED_VALUE"""),"Tap 6 Clone (10/15/2021)")</f>
        <v>Tap 6 Clone (10/15/2021)</v>
      </c>
      <c r="H945" s="19"/>
    </row>
    <row r="946">
      <c r="A946" s="9"/>
      <c r="B946" s="15"/>
      <c r="C946" s="9">
        <f>IFERROR(__xludf.DUMMYFUNCTION("""COMPUTED_VALUE"""),44501.8501868865)</f>
        <v>44501.85019</v>
      </c>
      <c r="D946" s="15">
        <f>IFERROR(__xludf.DUMMYFUNCTION("""COMPUTED_VALUE"""),1.014)</f>
        <v>1.014</v>
      </c>
      <c r="E946" s="16">
        <f>IFERROR(__xludf.DUMMYFUNCTION("""COMPUTED_VALUE"""),66.0)</f>
        <v>66</v>
      </c>
      <c r="F946" s="19" t="str">
        <f>IFERROR(__xludf.DUMMYFUNCTION("""COMPUTED_VALUE"""),"BLACK")</f>
        <v>BLACK</v>
      </c>
      <c r="G946" s="20" t="str">
        <f>IFERROR(__xludf.DUMMYFUNCTION("""COMPUTED_VALUE"""),"Tap 6 Clone (10/15/2021)")</f>
        <v>Tap 6 Clone (10/15/2021)</v>
      </c>
      <c r="H946" s="19"/>
    </row>
    <row r="947">
      <c r="A947" s="9"/>
      <c r="B947" s="15"/>
      <c r="C947" s="9">
        <f>IFERROR(__xludf.DUMMYFUNCTION("""COMPUTED_VALUE"""),44501.8397652083)</f>
        <v>44501.83977</v>
      </c>
      <c r="D947" s="15">
        <f>IFERROR(__xludf.DUMMYFUNCTION("""COMPUTED_VALUE"""),1.014)</f>
        <v>1.014</v>
      </c>
      <c r="E947" s="16">
        <f>IFERROR(__xludf.DUMMYFUNCTION("""COMPUTED_VALUE"""),66.0)</f>
        <v>66</v>
      </c>
      <c r="F947" s="19" t="str">
        <f>IFERROR(__xludf.DUMMYFUNCTION("""COMPUTED_VALUE"""),"BLACK")</f>
        <v>BLACK</v>
      </c>
      <c r="G947" s="20" t="str">
        <f>IFERROR(__xludf.DUMMYFUNCTION("""COMPUTED_VALUE"""),"Tap 6 Clone (10/15/2021)")</f>
        <v>Tap 6 Clone (10/15/2021)</v>
      </c>
      <c r="H947" s="19"/>
    </row>
    <row r="948">
      <c r="A948" s="9"/>
      <c r="B948" s="15"/>
      <c r="C948" s="9">
        <f>IFERROR(__xludf.DUMMYFUNCTION("""COMPUTED_VALUE"""),44501.8293430555)</f>
        <v>44501.82934</v>
      </c>
      <c r="D948" s="15">
        <f>IFERROR(__xludf.DUMMYFUNCTION("""COMPUTED_VALUE"""),1.015)</f>
        <v>1.015</v>
      </c>
      <c r="E948" s="16">
        <f>IFERROR(__xludf.DUMMYFUNCTION("""COMPUTED_VALUE"""),65.0)</f>
        <v>65</v>
      </c>
      <c r="F948" s="19" t="str">
        <f>IFERROR(__xludf.DUMMYFUNCTION("""COMPUTED_VALUE"""),"BLACK")</f>
        <v>BLACK</v>
      </c>
      <c r="G948" s="20" t="str">
        <f>IFERROR(__xludf.DUMMYFUNCTION("""COMPUTED_VALUE"""),"Tap 6 Clone (10/15/2021)")</f>
        <v>Tap 6 Clone (10/15/2021)</v>
      </c>
      <c r="H948" s="19"/>
    </row>
    <row r="949">
      <c r="A949" s="9"/>
      <c r="B949" s="15"/>
      <c r="C949" s="9">
        <f>IFERROR(__xludf.DUMMYFUNCTION("""COMPUTED_VALUE"""),44501.8189199652)</f>
        <v>44501.81892</v>
      </c>
      <c r="D949" s="15">
        <f>IFERROR(__xludf.DUMMYFUNCTION("""COMPUTED_VALUE"""),1.015)</f>
        <v>1.015</v>
      </c>
      <c r="E949" s="16">
        <f>IFERROR(__xludf.DUMMYFUNCTION("""COMPUTED_VALUE"""),65.0)</f>
        <v>65</v>
      </c>
      <c r="F949" s="19" t="str">
        <f>IFERROR(__xludf.DUMMYFUNCTION("""COMPUTED_VALUE"""),"BLACK")</f>
        <v>BLACK</v>
      </c>
      <c r="G949" s="20" t="str">
        <f>IFERROR(__xludf.DUMMYFUNCTION("""COMPUTED_VALUE"""),"Tap 6 Clone (10/15/2021)")</f>
        <v>Tap 6 Clone (10/15/2021)</v>
      </c>
      <c r="H949" s="19"/>
    </row>
    <row r="950">
      <c r="A950" s="9"/>
      <c r="B950" s="15"/>
      <c r="C950" s="9">
        <f>IFERROR(__xludf.DUMMYFUNCTION("""COMPUTED_VALUE"""),44501.8084988194)</f>
        <v>44501.8085</v>
      </c>
      <c r="D950" s="15">
        <f>IFERROR(__xludf.DUMMYFUNCTION("""COMPUTED_VALUE"""),1.014)</f>
        <v>1.014</v>
      </c>
      <c r="E950" s="16">
        <f>IFERROR(__xludf.DUMMYFUNCTION("""COMPUTED_VALUE"""),65.0)</f>
        <v>65</v>
      </c>
      <c r="F950" s="19" t="str">
        <f>IFERROR(__xludf.DUMMYFUNCTION("""COMPUTED_VALUE"""),"BLACK")</f>
        <v>BLACK</v>
      </c>
      <c r="G950" s="20" t="str">
        <f>IFERROR(__xludf.DUMMYFUNCTION("""COMPUTED_VALUE"""),"Tap 6 Clone (10/15/2021)")</f>
        <v>Tap 6 Clone (10/15/2021)</v>
      </c>
      <c r="H950" s="19"/>
    </row>
    <row r="951">
      <c r="A951" s="9"/>
      <c r="B951" s="15"/>
      <c r="C951" s="9">
        <f>IFERROR(__xludf.DUMMYFUNCTION("""COMPUTED_VALUE"""),44501.7980783217)</f>
        <v>44501.79808</v>
      </c>
      <c r="D951" s="15">
        <f>IFERROR(__xludf.DUMMYFUNCTION("""COMPUTED_VALUE"""),1.014)</f>
        <v>1.014</v>
      </c>
      <c r="E951" s="16">
        <f>IFERROR(__xludf.DUMMYFUNCTION("""COMPUTED_VALUE"""),65.0)</f>
        <v>65</v>
      </c>
      <c r="F951" s="19" t="str">
        <f>IFERROR(__xludf.DUMMYFUNCTION("""COMPUTED_VALUE"""),"BLACK")</f>
        <v>BLACK</v>
      </c>
      <c r="G951" s="20" t="str">
        <f>IFERROR(__xludf.DUMMYFUNCTION("""COMPUTED_VALUE"""),"Tap 6 Clone (10/15/2021)")</f>
        <v>Tap 6 Clone (10/15/2021)</v>
      </c>
      <c r="H951" s="19"/>
    </row>
    <row r="952">
      <c r="A952" s="9"/>
      <c r="B952" s="15"/>
      <c r="C952" s="9">
        <f>IFERROR(__xludf.DUMMYFUNCTION("""COMPUTED_VALUE"""),44501.7876586921)</f>
        <v>44501.78766</v>
      </c>
      <c r="D952" s="15">
        <f>IFERROR(__xludf.DUMMYFUNCTION("""COMPUTED_VALUE"""),1.014)</f>
        <v>1.014</v>
      </c>
      <c r="E952" s="16">
        <f>IFERROR(__xludf.DUMMYFUNCTION("""COMPUTED_VALUE"""),65.0)</f>
        <v>65</v>
      </c>
      <c r="F952" s="19" t="str">
        <f>IFERROR(__xludf.DUMMYFUNCTION("""COMPUTED_VALUE"""),"BLACK")</f>
        <v>BLACK</v>
      </c>
      <c r="G952" s="20" t="str">
        <f>IFERROR(__xludf.DUMMYFUNCTION("""COMPUTED_VALUE"""),"Tap 6 Clone (10/15/2021)")</f>
        <v>Tap 6 Clone (10/15/2021)</v>
      </c>
      <c r="H952" s="19"/>
    </row>
    <row r="953">
      <c r="A953" s="9"/>
      <c r="B953" s="15"/>
      <c r="C953" s="9">
        <f>IFERROR(__xludf.DUMMYFUNCTION("""COMPUTED_VALUE"""),44501.7772367824)</f>
        <v>44501.77724</v>
      </c>
      <c r="D953" s="15">
        <f>IFERROR(__xludf.DUMMYFUNCTION("""COMPUTED_VALUE"""),1.014)</f>
        <v>1.014</v>
      </c>
      <c r="E953" s="16">
        <f>IFERROR(__xludf.DUMMYFUNCTION("""COMPUTED_VALUE"""),65.0)</f>
        <v>65</v>
      </c>
      <c r="F953" s="19" t="str">
        <f>IFERROR(__xludf.DUMMYFUNCTION("""COMPUTED_VALUE"""),"BLACK")</f>
        <v>BLACK</v>
      </c>
      <c r="G953" s="20" t="str">
        <f>IFERROR(__xludf.DUMMYFUNCTION("""COMPUTED_VALUE"""),"Tap 6 Clone (10/15/2021)")</f>
        <v>Tap 6 Clone (10/15/2021)</v>
      </c>
      <c r="H953" s="19"/>
    </row>
    <row r="954">
      <c r="A954" s="9"/>
      <c r="B954" s="15"/>
      <c r="C954" s="9">
        <f>IFERROR(__xludf.DUMMYFUNCTION("""COMPUTED_VALUE"""),44501.7668151157)</f>
        <v>44501.76682</v>
      </c>
      <c r="D954" s="15">
        <f>IFERROR(__xludf.DUMMYFUNCTION("""COMPUTED_VALUE"""),1.014)</f>
        <v>1.014</v>
      </c>
      <c r="E954" s="16">
        <f>IFERROR(__xludf.DUMMYFUNCTION("""COMPUTED_VALUE"""),65.0)</f>
        <v>65</v>
      </c>
      <c r="F954" s="19" t="str">
        <f>IFERROR(__xludf.DUMMYFUNCTION("""COMPUTED_VALUE"""),"BLACK")</f>
        <v>BLACK</v>
      </c>
      <c r="G954" s="20" t="str">
        <f>IFERROR(__xludf.DUMMYFUNCTION("""COMPUTED_VALUE"""),"Tap 6 Clone (10/15/2021)")</f>
        <v>Tap 6 Clone (10/15/2021)</v>
      </c>
      <c r="H954" s="19"/>
    </row>
    <row r="955">
      <c r="A955" s="9"/>
      <c r="B955" s="15"/>
      <c r="C955" s="9">
        <f>IFERROR(__xludf.DUMMYFUNCTION("""COMPUTED_VALUE"""),44501.7563946296)</f>
        <v>44501.75639</v>
      </c>
      <c r="D955" s="15">
        <f>IFERROR(__xludf.DUMMYFUNCTION("""COMPUTED_VALUE"""),1.014)</f>
        <v>1.014</v>
      </c>
      <c r="E955" s="16">
        <f>IFERROR(__xludf.DUMMYFUNCTION("""COMPUTED_VALUE"""),66.0)</f>
        <v>66</v>
      </c>
      <c r="F955" s="19" t="str">
        <f>IFERROR(__xludf.DUMMYFUNCTION("""COMPUTED_VALUE"""),"BLACK")</f>
        <v>BLACK</v>
      </c>
      <c r="G955" s="20" t="str">
        <f>IFERROR(__xludf.DUMMYFUNCTION("""COMPUTED_VALUE"""),"Tap 6 Clone (10/15/2021)")</f>
        <v>Tap 6 Clone (10/15/2021)</v>
      </c>
      <c r="H955" s="19"/>
    </row>
    <row r="956">
      <c r="A956" s="9"/>
      <c r="B956" s="15"/>
      <c r="C956" s="9">
        <f>IFERROR(__xludf.DUMMYFUNCTION("""COMPUTED_VALUE"""),44501.7459595949)</f>
        <v>44501.74596</v>
      </c>
      <c r="D956" s="15">
        <f>IFERROR(__xludf.DUMMYFUNCTION("""COMPUTED_VALUE"""),1.014)</f>
        <v>1.014</v>
      </c>
      <c r="E956" s="16">
        <f>IFERROR(__xludf.DUMMYFUNCTION("""COMPUTED_VALUE"""),65.0)</f>
        <v>65</v>
      </c>
      <c r="F956" s="19" t="str">
        <f>IFERROR(__xludf.DUMMYFUNCTION("""COMPUTED_VALUE"""),"BLACK")</f>
        <v>BLACK</v>
      </c>
      <c r="G956" s="20" t="str">
        <f>IFERROR(__xludf.DUMMYFUNCTION("""COMPUTED_VALUE"""),"Tap 6 Clone (10/15/2021)")</f>
        <v>Tap 6 Clone (10/15/2021)</v>
      </c>
      <c r="H956" s="19"/>
    </row>
    <row r="957">
      <c r="A957" s="9"/>
      <c r="B957" s="15"/>
      <c r="C957" s="9">
        <f>IFERROR(__xludf.DUMMYFUNCTION("""COMPUTED_VALUE"""),44501.7355378356)</f>
        <v>44501.73554</v>
      </c>
      <c r="D957" s="15">
        <f>IFERROR(__xludf.DUMMYFUNCTION("""COMPUTED_VALUE"""),1.014)</f>
        <v>1.014</v>
      </c>
      <c r="E957" s="16">
        <f>IFERROR(__xludf.DUMMYFUNCTION("""COMPUTED_VALUE"""),65.0)</f>
        <v>65</v>
      </c>
      <c r="F957" s="19" t="str">
        <f>IFERROR(__xludf.DUMMYFUNCTION("""COMPUTED_VALUE"""),"BLACK")</f>
        <v>BLACK</v>
      </c>
      <c r="G957" s="20" t="str">
        <f>IFERROR(__xludf.DUMMYFUNCTION("""COMPUTED_VALUE"""),"Tap 6 Clone (10/15/2021)")</f>
        <v>Tap 6 Clone (10/15/2021)</v>
      </c>
      <c r="H957" s="19"/>
    </row>
    <row r="958">
      <c r="A958" s="9"/>
      <c r="B958" s="15"/>
      <c r="C958" s="9">
        <f>IFERROR(__xludf.DUMMYFUNCTION("""COMPUTED_VALUE"""),44501.7250923263)</f>
        <v>44501.72509</v>
      </c>
      <c r="D958" s="15">
        <f>IFERROR(__xludf.DUMMYFUNCTION("""COMPUTED_VALUE"""),1.014)</f>
        <v>1.014</v>
      </c>
      <c r="E958" s="16">
        <f>IFERROR(__xludf.DUMMYFUNCTION("""COMPUTED_VALUE"""),65.0)</f>
        <v>65</v>
      </c>
      <c r="F958" s="19" t="str">
        <f>IFERROR(__xludf.DUMMYFUNCTION("""COMPUTED_VALUE"""),"BLACK")</f>
        <v>BLACK</v>
      </c>
      <c r="G958" s="20" t="str">
        <f>IFERROR(__xludf.DUMMYFUNCTION("""COMPUTED_VALUE"""),"Tap 6 Clone (10/15/2021)")</f>
        <v>Tap 6 Clone (10/15/2021)</v>
      </c>
      <c r="H958" s="19"/>
    </row>
    <row r="959">
      <c r="A959" s="9"/>
      <c r="B959" s="15"/>
      <c r="C959" s="9">
        <f>IFERROR(__xludf.DUMMYFUNCTION("""COMPUTED_VALUE"""),44501.7146715856)</f>
        <v>44501.71467</v>
      </c>
      <c r="D959" s="15">
        <f>IFERROR(__xludf.DUMMYFUNCTION("""COMPUTED_VALUE"""),1.014)</f>
        <v>1.014</v>
      </c>
      <c r="E959" s="16">
        <f>IFERROR(__xludf.DUMMYFUNCTION("""COMPUTED_VALUE"""),65.0)</f>
        <v>65</v>
      </c>
      <c r="F959" s="19" t="str">
        <f>IFERROR(__xludf.DUMMYFUNCTION("""COMPUTED_VALUE"""),"BLACK")</f>
        <v>BLACK</v>
      </c>
      <c r="G959" s="20" t="str">
        <f>IFERROR(__xludf.DUMMYFUNCTION("""COMPUTED_VALUE"""),"Tap 6 Clone (10/15/2021)")</f>
        <v>Tap 6 Clone (10/15/2021)</v>
      </c>
      <c r="H959" s="19"/>
    </row>
    <row r="960">
      <c r="A960" s="9"/>
      <c r="B960" s="15"/>
      <c r="C960" s="9">
        <f>IFERROR(__xludf.DUMMYFUNCTION("""COMPUTED_VALUE"""),44501.7042508449)</f>
        <v>44501.70425</v>
      </c>
      <c r="D960" s="15">
        <f>IFERROR(__xludf.DUMMYFUNCTION("""COMPUTED_VALUE"""),1.014)</f>
        <v>1.014</v>
      </c>
      <c r="E960" s="16">
        <f>IFERROR(__xludf.DUMMYFUNCTION("""COMPUTED_VALUE"""),65.0)</f>
        <v>65</v>
      </c>
      <c r="F960" s="19" t="str">
        <f>IFERROR(__xludf.DUMMYFUNCTION("""COMPUTED_VALUE"""),"BLACK")</f>
        <v>BLACK</v>
      </c>
      <c r="G960" s="20" t="str">
        <f>IFERROR(__xludf.DUMMYFUNCTION("""COMPUTED_VALUE"""),"Tap 6 Clone (10/15/2021)")</f>
        <v>Tap 6 Clone (10/15/2021)</v>
      </c>
      <c r="H960" s="19"/>
    </row>
    <row r="961">
      <c r="A961" s="9"/>
      <c r="B961" s="15"/>
      <c r="C961" s="9">
        <f>IFERROR(__xludf.DUMMYFUNCTION("""COMPUTED_VALUE"""),44501.693829537)</f>
        <v>44501.69383</v>
      </c>
      <c r="D961" s="15">
        <f>IFERROR(__xludf.DUMMYFUNCTION("""COMPUTED_VALUE"""),1.015)</f>
        <v>1.015</v>
      </c>
      <c r="E961" s="16">
        <f>IFERROR(__xludf.DUMMYFUNCTION("""COMPUTED_VALUE"""),65.0)</f>
        <v>65</v>
      </c>
      <c r="F961" s="19" t="str">
        <f>IFERROR(__xludf.DUMMYFUNCTION("""COMPUTED_VALUE"""),"BLACK")</f>
        <v>BLACK</v>
      </c>
      <c r="G961" s="20" t="str">
        <f>IFERROR(__xludf.DUMMYFUNCTION("""COMPUTED_VALUE"""),"Tap 6 Clone (10/15/2021)")</f>
        <v>Tap 6 Clone (10/15/2021)</v>
      </c>
      <c r="H961" s="19"/>
    </row>
    <row r="962">
      <c r="A962" s="9"/>
      <c r="B962" s="15"/>
      <c r="C962" s="9">
        <f>IFERROR(__xludf.DUMMYFUNCTION("""COMPUTED_VALUE"""),44501.683408831)</f>
        <v>44501.68341</v>
      </c>
      <c r="D962" s="15">
        <f>IFERROR(__xludf.DUMMYFUNCTION("""COMPUTED_VALUE"""),1.015)</f>
        <v>1.015</v>
      </c>
      <c r="E962" s="16">
        <f>IFERROR(__xludf.DUMMYFUNCTION("""COMPUTED_VALUE"""),65.0)</f>
        <v>65</v>
      </c>
      <c r="F962" s="19" t="str">
        <f>IFERROR(__xludf.DUMMYFUNCTION("""COMPUTED_VALUE"""),"BLACK")</f>
        <v>BLACK</v>
      </c>
      <c r="G962" s="20" t="str">
        <f>IFERROR(__xludf.DUMMYFUNCTION("""COMPUTED_VALUE"""),"Tap 6 Clone (10/15/2021)")</f>
        <v>Tap 6 Clone (10/15/2021)</v>
      </c>
      <c r="H962" s="19"/>
    </row>
    <row r="963">
      <c r="A963" s="9"/>
      <c r="B963" s="15"/>
      <c r="C963" s="9">
        <f>IFERROR(__xludf.DUMMYFUNCTION("""COMPUTED_VALUE"""),44501.6729879861)</f>
        <v>44501.67299</v>
      </c>
      <c r="D963" s="15">
        <f>IFERROR(__xludf.DUMMYFUNCTION("""COMPUTED_VALUE"""),1.015)</f>
        <v>1.015</v>
      </c>
      <c r="E963" s="16">
        <f>IFERROR(__xludf.DUMMYFUNCTION("""COMPUTED_VALUE"""),65.0)</f>
        <v>65</v>
      </c>
      <c r="F963" s="19" t="str">
        <f>IFERROR(__xludf.DUMMYFUNCTION("""COMPUTED_VALUE"""),"BLACK")</f>
        <v>BLACK</v>
      </c>
      <c r="G963" s="20" t="str">
        <f>IFERROR(__xludf.DUMMYFUNCTION("""COMPUTED_VALUE"""),"Tap 6 Clone (10/15/2021)")</f>
        <v>Tap 6 Clone (10/15/2021)</v>
      </c>
      <c r="H963" s="19"/>
    </row>
    <row r="964">
      <c r="A964" s="9"/>
      <c r="B964" s="15"/>
      <c r="C964" s="9">
        <f>IFERROR(__xludf.DUMMYFUNCTION("""COMPUTED_VALUE"""),44501.6625648726)</f>
        <v>44501.66256</v>
      </c>
      <c r="D964" s="15">
        <f>IFERROR(__xludf.DUMMYFUNCTION("""COMPUTED_VALUE"""),1.015)</f>
        <v>1.015</v>
      </c>
      <c r="E964" s="16">
        <f>IFERROR(__xludf.DUMMYFUNCTION("""COMPUTED_VALUE"""),65.0)</f>
        <v>65</v>
      </c>
      <c r="F964" s="19" t="str">
        <f>IFERROR(__xludf.DUMMYFUNCTION("""COMPUTED_VALUE"""),"BLACK")</f>
        <v>BLACK</v>
      </c>
      <c r="G964" s="20" t="str">
        <f>IFERROR(__xludf.DUMMYFUNCTION("""COMPUTED_VALUE"""),"Tap 6 Clone (10/15/2021)")</f>
        <v>Tap 6 Clone (10/15/2021)</v>
      </c>
      <c r="H964" s="19"/>
    </row>
    <row r="965">
      <c r="A965" s="9"/>
      <c r="B965" s="15"/>
      <c r="C965" s="9">
        <f>IFERROR(__xludf.DUMMYFUNCTION("""COMPUTED_VALUE"""),44501.652143831)</f>
        <v>44501.65214</v>
      </c>
      <c r="D965" s="15">
        <f>IFERROR(__xludf.DUMMYFUNCTION("""COMPUTED_VALUE"""),1.015)</f>
        <v>1.015</v>
      </c>
      <c r="E965" s="16">
        <f>IFERROR(__xludf.DUMMYFUNCTION("""COMPUTED_VALUE"""),65.0)</f>
        <v>65</v>
      </c>
      <c r="F965" s="19" t="str">
        <f>IFERROR(__xludf.DUMMYFUNCTION("""COMPUTED_VALUE"""),"BLACK")</f>
        <v>BLACK</v>
      </c>
      <c r="G965" s="20" t="str">
        <f>IFERROR(__xludf.DUMMYFUNCTION("""COMPUTED_VALUE"""),"Tap 6 Clone (10/15/2021)")</f>
        <v>Tap 6 Clone (10/15/2021)</v>
      </c>
      <c r="H965" s="19"/>
    </row>
    <row r="966">
      <c r="A966" s="9"/>
      <c r="B966" s="15"/>
      <c r="C966" s="9">
        <f>IFERROR(__xludf.DUMMYFUNCTION("""COMPUTED_VALUE"""),44501.6417227893)</f>
        <v>44501.64172</v>
      </c>
      <c r="D966" s="15">
        <f>IFERROR(__xludf.DUMMYFUNCTION("""COMPUTED_VALUE"""),1.015)</f>
        <v>1.015</v>
      </c>
      <c r="E966" s="16">
        <f>IFERROR(__xludf.DUMMYFUNCTION("""COMPUTED_VALUE"""),65.0)</f>
        <v>65</v>
      </c>
      <c r="F966" s="19" t="str">
        <f>IFERROR(__xludf.DUMMYFUNCTION("""COMPUTED_VALUE"""),"BLACK")</f>
        <v>BLACK</v>
      </c>
      <c r="G966" s="20" t="str">
        <f>IFERROR(__xludf.DUMMYFUNCTION("""COMPUTED_VALUE"""),"Tap 6 Clone (10/15/2021)")</f>
        <v>Tap 6 Clone (10/15/2021)</v>
      </c>
      <c r="H966" s="19"/>
    </row>
    <row r="967">
      <c r="A967" s="9"/>
      <c r="B967" s="15"/>
      <c r="C967" s="9">
        <f>IFERROR(__xludf.DUMMYFUNCTION("""COMPUTED_VALUE"""),44501.6312998842)</f>
        <v>44501.6313</v>
      </c>
      <c r="D967" s="15">
        <f>IFERROR(__xludf.DUMMYFUNCTION("""COMPUTED_VALUE"""),1.014)</f>
        <v>1.014</v>
      </c>
      <c r="E967" s="16">
        <f>IFERROR(__xludf.DUMMYFUNCTION("""COMPUTED_VALUE"""),65.0)</f>
        <v>65</v>
      </c>
      <c r="F967" s="19" t="str">
        <f>IFERROR(__xludf.DUMMYFUNCTION("""COMPUTED_VALUE"""),"BLACK")</f>
        <v>BLACK</v>
      </c>
      <c r="G967" s="20" t="str">
        <f>IFERROR(__xludf.DUMMYFUNCTION("""COMPUTED_VALUE"""),"Tap 6 Clone (10/15/2021)")</f>
        <v>Tap 6 Clone (10/15/2021)</v>
      </c>
      <c r="H967" s="19"/>
    </row>
    <row r="968">
      <c r="A968" s="9"/>
      <c r="B968" s="15"/>
      <c r="C968" s="9">
        <f>IFERROR(__xludf.DUMMYFUNCTION("""COMPUTED_VALUE"""),44501.6208787615)</f>
        <v>44501.62088</v>
      </c>
      <c r="D968" s="15">
        <f>IFERROR(__xludf.DUMMYFUNCTION("""COMPUTED_VALUE"""),1.015)</f>
        <v>1.015</v>
      </c>
      <c r="E968" s="16">
        <f>IFERROR(__xludf.DUMMYFUNCTION("""COMPUTED_VALUE"""),66.0)</f>
        <v>66</v>
      </c>
      <c r="F968" s="19" t="str">
        <f>IFERROR(__xludf.DUMMYFUNCTION("""COMPUTED_VALUE"""),"BLACK")</f>
        <v>BLACK</v>
      </c>
      <c r="G968" s="20" t="str">
        <f>IFERROR(__xludf.DUMMYFUNCTION("""COMPUTED_VALUE"""),"Tap 6 Clone (10/15/2021)")</f>
        <v>Tap 6 Clone (10/15/2021)</v>
      </c>
      <c r="H968" s="19"/>
    </row>
    <row r="969">
      <c r="A969" s="9"/>
      <c r="B969" s="15"/>
      <c r="C969" s="9">
        <f>IFERROR(__xludf.DUMMYFUNCTION("""COMPUTED_VALUE"""),44501.6104564699)</f>
        <v>44501.61046</v>
      </c>
      <c r="D969" s="15">
        <f>IFERROR(__xludf.DUMMYFUNCTION("""COMPUTED_VALUE"""),1.015)</f>
        <v>1.015</v>
      </c>
      <c r="E969" s="16">
        <f>IFERROR(__xludf.DUMMYFUNCTION("""COMPUTED_VALUE"""),65.0)</f>
        <v>65</v>
      </c>
      <c r="F969" s="19" t="str">
        <f>IFERROR(__xludf.DUMMYFUNCTION("""COMPUTED_VALUE"""),"BLACK")</f>
        <v>BLACK</v>
      </c>
      <c r="G969" s="20" t="str">
        <f>IFERROR(__xludf.DUMMYFUNCTION("""COMPUTED_VALUE"""),"Tap 6 Clone (10/15/2021)")</f>
        <v>Tap 6 Clone (10/15/2021)</v>
      </c>
      <c r="H969" s="19"/>
    </row>
    <row r="970">
      <c r="A970" s="9"/>
      <c r="B970" s="15"/>
      <c r="C970" s="9">
        <f>IFERROR(__xludf.DUMMYFUNCTION("""COMPUTED_VALUE"""),44501.6000359838)</f>
        <v>44501.60004</v>
      </c>
      <c r="D970" s="15">
        <f>IFERROR(__xludf.DUMMYFUNCTION("""COMPUTED_VALUE"""),1.015)</f>
        <v>1.015</v>
      </c>
      <c r="E970" s="16">
        <f>IFERROR(__xludf.DUMMYFUNCTION("""COMPUTED_VALUE"""),65.0)</f>
        <v>65</v>
      </c>
      <c r="F970" s="19" t="str">
        <f>IFERROR(__xludf.DUMMYFUNCTION("""COMPUTED_VALUE"""),"BLACK")</f>
        <v>BLACK</v>
      </c>
      <c r="G970" s="20" t="str">
        <f>IFERROR(__xludf.DUMMYFUNCTION("""COMPUTED_VALUE"""),"Tap 6 Clone (10/15/2021)")</f>
        <v>Tap 6 Clone (10/15/2021)</v>
      </c>
      <c r="H970" s="19"/>
    </row>
    <row r="971">
      <c r="A971" s="9"/>
      <c r="B971" s="15"/>
      <c r="C971" s="9">
        <f>IFERROR(__xludf.DUMMYFUNCTION("""COMPUTED_VALUE"""),44501.5896044212)</f>
        <v>44501.5896</v>
      </c>
      <c r="D971" s="15">
        <f>IFERROR(__xludf.DUMMYFUNCTION("""COMPUTED_VALUE"""),1.015)</f>
        <v>1.015</v>
      </c>
      <c r="E971" s="16">
        <f>IFERROR(__xludf.DUMMYFUNCTION("""COMPUTED_VALUE"""),65.0)</f>
        <v>65</v>
      </c>
      <c r="F971" s="19" t="str">
        <f>IFERROR(__xludf.DUMMYFUNCTION("""COMPUTED_VALUE"""),"BLACK")</f>
        <v>BLACK</v>
      </c>
      <c r="G971" s="20" t="str">
        <f>IFERROR(__xludf.DUMMYFUNCTION("""COMPUTED_VALUE"""),"Tap 6 Clone (10/15/2021)")</f>
        <v>Tap 6 Clone (10/15/2021)</v>
      </c>
      <c r="H971" s="19"/>
    </row>
    <row r="972">
      <c r="A972" s="9"/>
      <c r="B972" s="15"/>
      <c r="C972" s="9">
        <f>IFERROR(__xludf.DUMMYFUNCTION("""COMPUTED_VALUE"""),44501.5791845717)</f>
        <v>44501.57918</v>
      </c>
      <c r="D972" s="15">
        <f>IFERROR(__xludf.DUMMYFUNCTION("""COMPUTED_VALUE"""),1.015)</f>
        <v>1.015</v>
      </c>
      <c r="E972" s="16">
        <f>IFERROR(__xludf.DUMMYFUNCTION("""COMPUTED_VALUE"""),65.0)</f>
        <v>65</v>
      </c>
      <c r="F972" s="19" t="str">
        <f>IFERROR(__xludf.DUMMYFUNCTION("""COMPUTED_VALUE"""),"BLACK")</f>
        <v>BLACK</v>
      </c>
      <c r="G972" s="20" t="str">
        <f>IFERROR(__xludf.DUMMYFUNCTION("""COMPUTED_VALUE"""),"Tap 6 Clone (10/15/2021)")</f>
        <v>Tap 6 Clone (10/15/2021)</v>
      </c>
      <c r="H972" s="19"/>
    </row>
    <row r="973">
      <c r="A973" s="9"/>
      <c r="B973" s="15"/>
      <c r="C973" s="9">
        <f>IFERROR(__xludf.DUMMYFUNCTION("""COMPUTED_VALUE"""),44501.5687620601)</f>
        <v>44501.56876</v>
      </c>
      <c r="D973" s="15">
        <f>IFERROR(__xludf.DUMMYFUNCTION("""COMPUTED_VALUE"""),1.015)</f>
        <v>1.015</v>
      </c>
      <c r="E973" s="16">
        <f>IFERROR(__xludf.DUMMYFUNCTION("""COMPUTED_VALUE"""),65.0)</f>
        <v>65</v>
      </c>
      <c r="F973" s="19" t="str">
        <f>IFERROR(__xludf.DUMMYFUNCTION("""COMPUTED_VALUE"""),"BLACK")</f>
        <v>BLACK</v>
      </c>
      <c r="G973" s="20" t="str">
        <f>IFERROR(__xludf.DUMMYFUNCTION("""COMPUTED_VALUE"""),"Tap 6 Clone (10/15/2021)")</f>
        <v>Tap 6 Clone (10/15/2021)</v>
      </c>
      <c r="H973" s="19"/>
    </row>
    <row r="974">
      <c r="A974" s="9"/>
      <c r="B974" s="15"/>
      <c r="C974" s="9">
        <f>IFERROR(__xludf.DUMMYFUNCTION("""COMPUTED_VALUE"""),44501.5583417476)</f>
        <v>44501.55834</v>
      </c>
      <c r="D974" s="15">
        <f>IFERROR(__xludf.DUMMYFUNCTION("""COMPUTED_VALUE"""),1.015)</f>
        <v>1.015</v>
      </c>
      <c r="E974" s="16">
        <f>IFERROR(__xludf.DUMMYFUNCTION("""COMPUTED_VALUE"""),65.0)</f>
        <v>65</v>
      </c>
      <c r="F974" s="19" t="str">
        <f>IFERROR(__xludf.DUMMYFUNCTION("""COMPUTED_VALUE"""),"BLACK")</f>
        <v>BLACK</v>
      </c>
      <c r="G974" s="20" t="str">
        <f>IFERROR(__xludf.DUMMYFUNCTION("""COMPUTED_VALUE"""),"Tap 6 Clone (10/15/2021)")</f>
        <v>Tap 6 Clone (10/15/2021)</v>
      </c>
      <c r="H974" s="19"/>
    </row>
    <row r="975">
      <c r="A975" s="9"/>
      <c r="B975" s="15"/>
      <c r="C975" s="9">
        <f>IFERROR(__xludf.DUMMYFUNCTION("""COMPUTED_VALUE"""),44501.5479202083)</f>
        <v>44501.54792</v>
      </c>
      <c r="D975" s="15">
        <f>IFERROR(__xludf.DUMMYFUNCTION("""COMPUTED_VALUE"""),1.015)</f>
        <v>1.015</v>
      </c>
      <c r="E975" s="16">
        <f>IFERROR(__xludf.DUMMYFUNCTION("""COMPUTED_VALUE"""),65.0)</f>
        <v>65</v>
      </c>
      <c r="F975" s="19" t="str">
        <f>IFERROR(__xludf.DUMMYFUNCTION("""COMPUTED_VALUE"""),"BLACK")</f>
        <v>BLACK</v>
      </c>
      <c r="G975" s="20" t="str">
        <f>IFERROR(__xludf.DUMMYFUNCTION("""COMPUTED_VALUE"""),"Tap 6 Clone (10/15/2021)")</f>
        <v>Tap 6 Clone (10/15/2021)</v>
      </c>
      <c r="H975" s="19"/>
    </row>
    <row r="976">
      <c r="A976" s="9"/>
      <c r="B976" s="15"/>
      <c r="C976" s="9">
        <f>IFERROR(__xludf.DUMMYFUNCTION("""COMPUTED_VALUE"""),44501.5374880324)</f>
        <v>44501.53749</v>
      </c>
      <c r="D976" s="15">
        <f>IFERROR(__xludf.DUMMYFUNCTION("""COMPUTED_VALUE"""),1.015)</f>
        <v>1.015</v>
      </c>
      <c r="E976" s="16">
        <f>IFERROR(__xludf.DUMMYFUNCTION("""COMPUTED_VALUE"""),65.0)</f>
        <v>65</v>
      </c>
      <c r="F976" s="19" t="str">
        <f>IFERROR(__xludf.DUMMYFUNCTION("""COMPUTED_VALUE"""),"BLACK")</f>
        <v>BLACK</v>
      </c>
      <c r="G976" s="20" t="str">
        <f>IFERROR(__xludf.DUMMYFUNCTION("""COMPUTED_VALUE"""),"Tap 6 Clone (10/15/2021)")</f>
        <v>Tap 6 Clone (10/15/2021)</v>
      </c>
      <c r="H976" s="19"/>
    </row>
    <row r="977">
      <c r="A977" s="9"/>
      <c r="B977" s="15"/>
      <c r="C977" s="9">
        <f>IFERROR(__xludf.DUMMYFUNCTION("""COMPUTED_VALUE"""),44501.5270548958)</f>
        <v>44501.52705</v>
      </c>
      <c r="D977" s="15">
        <f>IFERROR(__xludf.DUMMYFUNCTION("""COMPUTED_VALUE"""),1.015)</f>
        <v>1.015</v>
      </c>
      <c r="E977" s="16">
        <f>IFERROR(__xludf.DUMMYFUNCTION("""COMPUTED_VALUE"""),65.0)</f>
        <v>65</v>
      </c>
      <c r="F977" s="19" t="str">
        <f>IFERROR(__xludf.DUMMYFUNCTION("""COMPUTED_VALUE"""),"BLACK")</f>
        <v>BLACK</v>
      </c>
      <c r="G977" s="20" t="str">
        <f>IFERROR(__xludf.DUMMYFUNCTION("""COMPUTED_VALUE"""),"Tap 6 Clone (10/15/2021)")</f>
        <v>Tap 6 Clone (10/15/2021)</v>
      </c>
      <c r="H977" s="19"/>
    </row>
    <row r="978">
      <c r="A978" s="9"/>
      <c r="B978" s="15"/>
      <c r="C978" s="9">
        <f>IFERROR(__xludf.DUMMYFUNCTION("""COMPUTED_VALUE"""),44501.5166335532)</f>
        <v>44501.51663</v>
      </c>
      <c r="D978" s="15">
        <f>IFERROR(__xludf.DUMMYFUNCTION("""COMPUTED_VALUE"""),1.015)</f>
        <v>1.015</v>
      </c>
      <c r="E978" s="16">
        <f>IFERROR(__xludf.DUMMYFUNCTION("""COMPUTED_VALUE"""),65.0)</f>
        <v>65</v>
      </c>
      <c r="F978" s="19" t="str">
        <f>IFERROR(__xludf.DUMMYFUNCTION("""COMPUTED_VALUE"""),"BLACK")</f>
        <v>BLACK</v>
      </c>
      <c r="G978" s="20" t="str">
        <f>IFERROR(__xludf.DUMMYFUNCTION("""COMPUTED_VALUE"""),"Tap 6 Clone (10/15/2021)")</f>
        <v>Tap 6 Clone (10/15/2021)</v>
      </c>
      <c r="H978" s="19"/>
    </row>
    <row r="979">
      <c r="A979" s="9"/>
      <c r="B979" s="15"/>
      <c r="C979" s="9">
        <f>IFERROR(__xludf.DUMMYFUNCTION("""COMPUTED_VALUE"""),44501.5062113425)</f>
        <v>44501.50621</v>
      </c>
      <c r="D979" s="15">
        <f>IFERROR(__xludf.DUMMYFUNCTION("""COMPUTED_VALUE"""),1.015)</f>
        <v>1.015</v>
      </c>
      <c r="E979" s="16">
        <f>IFERROR(__xludf.DUMMYFUNCTION("""COMPUTED_VALUE"""),65.0)</f>
        <v>65</v>
      </c>
      <c r="F979" s="19" t="str">
        <f>IFERROR(__xludf.DUMMYFUNCTION("""COMPUTED_VALUE"""),"BLACK")</f>
        <v>BLACK</v>
      </c>
      <c r="G979" s="20" t="str">
        <f>IFERROR(__xludf.DUMMYFUNCTION("""COMPUTED_VALUE"""),"Tap 6 Clone (10/15/2021)")</f>
        <v>Tap 6 Clone (10/15/2021)</v>
      </c>
      <c r="H979" s="19"/>
    </row>
    <row r="980">
      <c r="A980" s="9"/>
      <c r="B980" s="15"/>
      <c r="C980" s="9">
        <f>IFERROR(__xludf.DUMMYFUNCTION("""COMPUTED_VALUE"""),44501.4957899884)</f>
        <v>44501.49579</v>
      </c>
      <c r="D980" s="15">
        <f>IFERROR(__xludf.DUMMYFUNCTION("""COMPUTED_VALUE"""),1.014)</f>
        <v>1.014</v>
      </c>
      <c r="E980" s="16">
        <f>IFERROR(__xludf.DUMMYFUNCTION("""COMPUTED_VALUE"""),65.0)</f>
        <v>65</v>
      </c>
      <c r="F980" s="19" t="str">
        <f>IFERROR(__xludf.DUMMYFUNCTION("""COMPUTED_VALUE"""),"BLACK")</f>
        <v>BLACK</v>
      </c>
      <c r="G980" s="20" t="str">
        <f>IFERROR(__xludf.DUMMYFUNCTION("""COMPUTED_VALUE"""),"Tap 6 Clone (10/15/2021)")</f>
        <v>Tap 6 Clone (10/15/2021)</v>
      </c>
      <c r="H980" s="19"/>
    </row>
    <row r="981">
      <c r="A981" s="9"/>
      <c r="B981" s="15"/>
      <c r="C981" s="9">
        <f>IFERROR(__xludf.DUMMYFUNCTION("""COMPUTED_VALUE"""),44501.4853676504)</f>
        <v>44501.48537</v>
      </c>
      <c r="D981" s="15">
        <f>IFERROR(__xludf.DUMMYFUNCTION("""COMPUTED_VALUE"""),1.014)</f>
        <v>1.014</v>
      </c>
      <c r="E981" s="16">
        <f>IFERROR(__xludf.DUMMYFUNCTION("""COMPUTED_VALUE"""),65.0)</f>
        <v>65</v>
      </c>
      <c r="F981" s="19" t="str">
        <f>IFERROR(__xludf.DUMMYFUNCTION("""COMPUTED_VALUE"""),"BLACK")</f>
        <v>BLACK</v>
      </c>
      <c r="G981" s="20" t="str">
        <f>IFERROR(__xludf.DUMMYFUNCTION("""COMPUTED_VALUE"""),"Tap 6 Clone (10/15/2021)")</f>
        <v>Tap 6 Clone (10/15/2021)</v>
      </c>
      <c r="H981" s="19"/>
    </row>
    <row r="982">
      <c r="A982" s="9"/>
      <c r="B982" s="15"/>
      <c r="C982" s="9">
        <f>IFERROR(__xludf.DUMMYFUNCTION("""COMPUTED_VALUE"""),44501.4749478935)</f>
        <v>44501.47495</v>
      </c>
      <c r="D982" s="15">
        <f>IFERROR(__xludf.DUMMYFUNCTION("""COMPUTED_VALUE"""),1.014)</f>
        <v>1.014</v>
      </c>
      <c r="E982" s="16">
        <f>IFERROR(__xludf.DUMMYFUNCTION("""COMPUTED_VALUE"""),65.0)</f>
        <v>65</v>
      </c>
      <c r="F982" s="19" t="str">
        <f>IFERROR(__xludf.DUMMYFUNCTION("""COMPUTED_VALUE"""),"BLACK")</f>
        <v>BLACK</v>
      </c>
      <c r="G982" s="20" t="str">
        <f>IFERROR(__xludf.DUMMYFUNCTION("""COMPUTED_VALUE"""),"Tap 6 Clone (10/15/2021)")</f>
        <v>Tap 6 Clone (10/15/2021)</v>
      </c>
      <c r="H982" s="19"/>
    </row>
    <row r="983">
      <c r="A983" s="9"/>
      <c r="B983" s="15"/>
      <c r="C983" s="9">
        <f>IFERROR(__xludf.DUMMYFUNCTION("""COMPUTED_VALUE"""),44501.4645248379)</f>
        <v>44501.46452</v>
      </c>
      <c r="D983" s="15">
        <f>IFERROR(__xludf.DUMMYFUNCTION("""COMPUTED_VALUE"""),1.014)</f>
        <v>1.014</v>
      </c>
      <c r="E983" s="16">
        <f>IFERROR(__xludf.DUMMYFUNCTION("""COMPUTED_VALUE"""),65.0)</f>
        <v>65</v>
      </c>
      <c r="F983" s="19" t="str">
        <f>IFERROR(__xludf.DUMMYFUNCTION("""COMPUTED_VALUE"""),"BLACK")</f>
        <v>BLACK</v>
      </c>
      <c r="G983" s="20" t="str">
        <f>IFERROR(__xludf.DUMMYFUNCTION("""COMPUTED_VALUE"""),"Tap 6 Clone (10/15/2021)")</f>
        <v>Tap 6 Clone (10/15/2021)</v>
      </c>
      <c r="H983" s="19"/>
    </row>
    <row r="984">
      <c r="A984" s="9"/>
      <c r="B984" s="15"/>
      <c r="C984" s="9">
        <f>IFERROR(__xludf.DUMMYFUNCTION("""COMPUTED_VALUE"""),44501.4541023611)</f>
        <v>44501.4541</v>
      </c>
      <c r="D984" s="15">
        <f>IFERROR(__xludf.DUMMYFUNCTION("""COMPUTED_VALUE"""),1.014)</f>
        <v>1.014</v>
      </c>
      <c r="E984" s="16">
        <f>IFERROR(__xludf.DUMMYFUNCTION("""COMPUTED_VALUE"""),65.0)</f>
        <v>65</v>
      </c>
      <c r="F984" s="19" t="str">
        <f>IFERROR(__xludf.DUMMYFUNCTION("""COMPUTED_VALUE"""),"BLACK")</f>
        <v>BLACK</v>
      </c>
      <c r="G984" s="20" t="str">
        <f>IFERROR(__xludf.DUMMYFUNCTION("""COMPUTED_VALUE"""),"Tap 6 Clone (10/15/2021)")</f>
        <v>Tap 6 Clone (10/15/2021)</v>
      </c>
      <c r="H984" s="19"/>
    </row>
    <row r="985">
      <c r="A985" s="9"/>
      <c r="B985" s="15"/>
      <c r="C985" s="9">
        <f>IFERROR(__xludf.DUMMYFUNCTION("""COMPUTED_VALUE"""),44501.4436816203)</f>
        <v>44501.44368</v>
      </c>
      <c r="D985" s="15">
        <f>IFERROR(__xludf.DUMMYFUNCTION("""COMPUTED_VALUE"""),1.014)</f>
        <v>1.014</v>
      </c>
      <c r="E985" s="16">
        <f>IFERROR(__xludf.DUMMYFUNCTION("""COMPUTED_VALUE"""),65.0)</f>
        <v>65</v>
      </c>
      <c r="F985" s="19" t="str">
        <f>IFERROR(__xludf.DUMMYFUNCTION("""COMPUTED_VALUE"""),"BLACK")</f>
        <v>BLACK</v>
      </c>
      <c r="G985" s="20" t="str">
        <f>IFERROR(__xludf.DUMMYFUNCTION("""COMPUTED_VALUE"""),"Tap 6 Clone (10/15/2021)")</f>
        <v>Tap 6 Clone (10/15/2021)</v>
      </c>
      <c r="H985" s="19"/>
    </row>
    <row r="986">
      <c r="A986" s="9"/>
      <c r="B986" s="15"/>
      <c r="C986" s="9">
        <f>IFERROR(__xludf.DUMMYFUNCTION("""COMPUTED_VALUE"""),44501.4332626157)</f>
        <v>44501.43326</v>
      </c>
      <c r="D986" s="15">
        <f>IFERROR(__xludf.DUMMYFUNCTION("""COMPUTED_VALUE"""),1.014)</f>
        <v>1.014</v>
      </c>
      <c r="E986" s="16">
        <f>IFERROR(__xludf.DUMMYFUNCTION("""COMPUTED_VALUE"""),65.0)</f>
        <v>65</v>
      </c>
      <c r="F986" s="19" t="str">
        <f>IFERROR(__xludf.DUMMYFUNCTION("""COMPUTED_VALUE"""),"BLACK")</f>
        <v>BLACK</v>
      </c>
      <c r="G986" s="20" t="str">
        <f>IFERROR(__xludf.DUMMYFUNCTION("""COMPUTED_VALUE"""),"Tap 6 Clone (10/15/2021)")</f>
        <v>Tap 6 Clone (10/15/2021)</v>
      </c>
      <c r="H986" s="19"/>
    </row>
    <row r="987">
      <c r="A987" s="9"/>
      <c r="B987" s="15"/>
      <c r="C987" s="9">
        <f>IFERROR(__xludf.DUMMYFUNCTION("""COMPUTED_VALUE"""),44501.4228413888)</f>
        <v>44501.42284</v>
      </c>
      <c r="D987" s="15">
        <f>IFERROR(__xludf.DUMMYFUNCTION("""COMPUTED_VALUE"""),1.014)</f>
        <v>1.014</v>
      </c>
      <c r="E987" s="16">
        <f>IFERROR(__xludf.DUMMYFUNCTION("""COMPUTED_VALUE"""),65.0)</f>
        <v>65</v>
      </c>
      <c r="F987" s="19" t="str">
        <f>IFERROR(__xludf.DUMMYFUNCTION("""COMPUTED_VALUE"""),"BLACK")</f>
        <v>BLACK</v>
      </c>
      <c r="G987" s="20" t="str">
        <f>IFERROR(__xludf.DUMMYFUNCTION("""COMPUTED_VALUE"""),"Tap 6 Clone (10/15/2021)")</f>
        <v>Tap 6 Clone (10/15/2021)</v>
      </c>
      <c r="H987" s="19"/>
    </row>
    <row r="988">
      <c r="A988" s="9"/>
      <c r="B988" s="15"/>
      <c r="C988" s="9">
        <f>IFERROR(__xludf.DUMMYFUNCTION("""COMPUTED_VALUE"""),44501.412420949)</f>
        <v>44501.41242</v>
      </c>
      <c r="D988" s="15">
        <f>IFERROR(__xludf.DUMMYFUNCTION("""COMPUTED_VALUE"""),1.014)</f>
        <v>1.014</v>
      </c>
      <c r="E988" s="16">
        <f>IFERROR(__xludf.DUMMYFUNCTION("""COMPUTED_VALUE"""),65.0)</f>
        <v>65</v>
      </c>
      <c r="F988" s="19" t="str">
        <f>IFERROR(__xludf.DUMMYFUNCTION("""COMPUTED_VALUE"""),"BLACK")</f>
        <v>BLACK</v>
      </c>
      <c r="G988" s="20" t="str">
        <f>IFERROR(__xludf.DUMMYFUNCTION("""COMPUTED_VALUE"""),"Tap 6 Clone (10/15/2021)")</f>
        <v>Tap 6 Clone (10/15/2021)</v>
      </c>
      <c r="H988" s="19"/>
    </row>
    <row r="989">
      <c r="A989" s="9"/>
      <c r="B989" s="15"/>
      <c r="C989" s="9">
        <f>IFERROR(__xludf.DUMMYFUNCTION("""COMPUTED_VALUE"""),44501.4020009259)</f>
        <v>44501.402</v>
      </c>
      <c r="D989" s="15">
        <f>IFERROR(__xludf.DUMMYFUNCTION("""COMPUTED_VALUE"""),1.014)</f>
        <v>1.014</v>
      </c>
      <c r="E989" s="16">
        <f>IFERROR(__xludf.DUMMYFUNCTION("""COMPUTED_VALUE"""),65.0)</f>
        <v>65</v>
      </c>
      <c r="F989" s="19" t="str">
        <f>IFERROR(__xludf.DUMMYFUNCTION("""COMPUTED_VALUE"""),"BLACK")</f>
        <v>BLACK</v>
      </c>
      <c r="G989" s="20" t="str">
        <f>IFERROR(__xludf.DUMMYFUNCTION("""COMPUTED_VALUE"""),"Tap 6 Clone (10/15/2021)")</f>
        <v>Tap 6 Clone (10/15/2021)</v>
      </c>
      <c r="H989" s="19"/>
    </row>
    <row r="990">
      <c r="A990" s="9"/>
      <c r="B990" s="15"/>
      <c r="C990" s="9">
        <f>IFERROR(__xludf.DUMMYFUNCTION("""COMPUTED_VALUE"""),44501.3915810185)</f>
        <v>44501.39158</v>
      </c>
      <c r="D990" s="15">
        <f>IFERROR(__xludf.DUMMYFUNCTION("""COMPUTED_VALUE"""),1.014)</f>
        <v>1.014</v>
      </c>
      <c r="E990" s="16">
        <f>IFERROR(__xludf.DUMMYFUNCTION("""COMPUTED_VALUE"""),65.0)</f>
        <v>65</v>
      </c>
      <c r="F990" s="19" t="str">
        <f>IFERROR(__xludf.DUMMYFUNCTION("""COMPUTED_VALUE"""),"BLACK")</f>
        <v>BLACK</v>
      </c>
      <c r="G990" s="20" t="str">
        <f>IFERROR(__xludf.DUMMYFUNCTION("""COMPUTED_VALUE"""),"Tap 6 Clone (10/15/2021)")</f>
        <v>Tap 6 Clone (10/15/2021)</v>
      </c>
      <c r="H990" s="19"/>
    </row>
    <row r="991">
      <c r="A991" s="9"/>
      <c r="B991" s="15"/>
      <c r="C991" s="9">
        <f>IFERROR(__xludf.DUMMYFUNCTION("""COMPUTED_VALUE"""),44501.3811604398)</f>
        <v>44501.38116</v>
      </c>
      <c r="D991" s="15">
        <f>IFERROR(__xludf.DUMMYFUNCTION("""COMPUTED_VALUE"""),1.014)</f>
        <v>1.014</v>
      </c>
      <c r="E991" s="16">
        <f>IFERROR(__xludf.DUMMYFUNCTION("""COMPUTED_VALUE"""),65.0)</f>
        <v>65</v>
      </c>
      <c r="F991" s="19" t="str">
        <f>IFERROR(__xludf.DUMMYFUNCTION("""COMPUTED_VALUE"""),"BLACK")</f>
        <v>BLACK</v>
      </c>
      <c r="G991" s="20" t="str">
        <f>IFERROR(__xludf.DUMMYFUNCTION("""COMPUTED_VALUE"""),"Tap 6 Clone (10/15/2021)")</f>
        <v>Tap 6 Clone (10/15/2021)</v>
      </c>
      <c r="H991" s="19"/>
    </row>
    <row r="992">
      <c r="A992" s="9"/>
      <c r="B992" s="15"/>
      <c r="C992" s="9">
        <f>IFERROR(__xludf.DUMMYFUNCTION("""COMPUTED_VALUE"""),44501.3707394791)</f>
        <v>44501.37074</v>
      </c>
      <c r="D992" s="15">
        <f>IFERROR(__xludf.DUMMYFUNCTION("""COMPUTED_VALUE"""),1.014)</f>
        <v>1.014</v>
      </c>
      <c r="E992" s="16">
        <f>IFERROR(__xludf.DUMMYFUNCTION("""COMPUTED_VALUE"""),65.0)</f>
        <v>65</v>
      </c>
      <c r="F992" s="19" t="str">
        <f>IFERROR(__xludf.DUMMYFUNCTION("""COMPUTED_VALUE"""),"BLACK")</f>
        <v>BLACK</v>
      </c>
      <c r="G992" s="20" t="str">
        <f>IFERROR(__xludf.DUMMYFUNCTION("""COMPUTED_VALUE"""),"Tap 6 Clone (10/15/2021)")</f>
        <v>Tap 6 Clone (10/15/2021)</v>
      </c>
      <c r="H992" s="19"/>
    </row>
    <row r="993">
      <c r="A993" s="9"/>
      <c r="B993" s="15"/>
      <c r="C993" s="9">
        <f>IFERROR(__xludf.DUMMYFUNCTION("""COMPUTED_VALUE"""),44501.3603149074)</f>
        <v>44501.36031</v>
      </c>
      <c r="D993" s="15">
        <f>IFERROR(__xludf.DUMMYFUNCTION("""COMPUTED_VALUE"""),1.014)</f>
        <v>1.014</v>
      </c>
      <c r="E993" s="16">
        <f>IFERROR(__xludf.DUMMYFUNCTION("""COMPUTED_VALUE"""),65.0)</f>
        <v>65</v>
      </c>
      <c r="F993" s="19" t="str">
        <f>IFERROR(__xludf.DUMMYFUNCTION("""COMPUTED_VALUE"""),"BLACK")</f>
        <v>BLACK</v>
      </c>
      <c r="G993" s="20" t="str">
        <f>IFERROR(__xludf.DUMMYFUNCTION("""COMPUTED_VALUE"""),"Tap 6 Clone (10/15/2021)")</f>
        <v>Tap 6 Clone (10/15/2021)</v>
      </c>
      <c r="H993" s="19"/>
    </row>
    <row r="994">
      <c r="A994" s="9"/>
      <c r="B994" s="15"/>
      <c r="C994" s="9">
        <f>IFERROR(__xludf.DUMMYFUNCTION("""COMPUTED_VALUE"""),44501.3498805092)</f>
        <v>44501.34988</v>
      </c>
      <c r="D994" s="15">
        <f>IFERROR(__xludf.DUMMYFUNCTION("""COMPUTED_VALUE"""),1.014)</f>
        <v>1.014</v>
      </c>
      <c r="E994" s="16">
        <f>IFERROR(__xludf.DUMMYFUNCTION("""COMPUTED_VALUE"""),65.0)</f>
        <v>65</v>
      </c>
      <c r="F994" s="19" t="str">
        <f>IFERROR(__xludf.DUMMYFUNCTION("""COMPUTED_VALUE"""),"BLACK")</f>
        <v>BLACK</v>
      </c>
      <c r="G994" s="20" t="str">
        <f>IFERROR(__xludf.DUMMYFUNCTION("""COMPUTED_VALUE"""),"Tap 6 Clone (10/15/2021)")</f>
        <v>Tap 6 Clone (10/15/2021)</v>
      </c>
      <c r="H994" s="19"/>
    </row>
    <row r="995">
      <c r="A995" s="9"/>
      <c r="B995" s="15"/>
      <c r="C995" s="9">
        <f>IFERROR(__xludf.DUMMYFUNCTION("""COMPUTED_VALUE"""),44501.3394594676)</f>
        <v>44501.33946</v>
      </c>
      <c r="D995" s="15">
        <f>IFERROR(__xludf.DUMMYFUNCTION("""COMPUTED_VALUE"""),1.014)</f>
        <v>1.014</v>
      </c>
      <c r="E995" s="16">
        <f>IFERROR(__xludf.DUMMYFUNCTION("""COMPUTED_VALUE"""),65.0)</f>
        <v>65</v>
      </c>
      <c r="F995" s="19" t="str">
        <f>IFERROR(__xludf.DUMMYFUNCTION("""COMPUTED_VALUE"""),"BLACK")</f>
        <v>BLACK</v>
      </c>
      <c r="G995" s="20" t="str">
        <f>IFERROR(__xludf.DUMMYFUNCTION("""COMPUTED_VALUE"""),"Tap 6 Clone (10/15/2021)")</f>
        <v>Tap 6 Clone (10/15/2021)</v>
      </c>
      <c r="H995" s="19"/>
    </row>
    <row r="996">
      <c r="A996" s="9"/>
      <c r="B996" s="15"/>
      <c r="C996" s="9">
        <f>IFERROR(__xludf.DUMMYFUNCTION("""COMPUTED_VALUE"""),44501.3290391782)</f>
        <v>44501.32904</v>
      </c>
      <c r="D996" s="15">
        <f>IFERROR(__xludf.DUMMYFUNCTION("""COMPUTED_VALUE"""),1.014)</f>
        <v>1.014</v>
      </c>
      <c r="E996" s="16">
        <f>IFERROR(__xludf.DUMMYFUNCTION("""COMPUTED_VALUE"""),65.0)</f>
        <v>65</v>
      </c>
      <c r="F996" s="19" t="str">
        <f>IFERROR(__xludf.DUMMYFUNCTION("""COMPUTED_VALUE"""),"BLACK")</f>
        <v>BLACK</v>
      </c>
      <c r="G996" s="20" t="str">
        <f>IFERROR(__xludf.DUMMYFUNCTION("""COMPUTED_VALUE"""),"Tap 6 Clone (10/15/2021)")</f>
        <v>Tap 6 Clone (10/15/2021)</v>
      </c>
      <c r="H996" s="19"/>
    </row>
    <row r="997">
      <c r="A997" s="9"/>
      <c r="B997" s="15"/>
      <c r="C997" s="9">
        <f>IFERROR(__xludf.DUMMYFUNCTION("""COMPUTED_VALUE"""),44501.3186185532)</f>
        <v>44501.31862</v>
      </c>
      <c r="D997" s="15">
        <f>IFERROR(__xludf.DUMMYFUNCTION("""COMPUTED_VALUE"""),1.014)</f>
        <v>1.014</v>
      </c>
      <c r="E997" s="16">
        <f>IFERROR(__xludf.DUMMYFUNCTION("""COMPUTED_VALUE"""),65.0)</f>
        <v>65</v>
      </c>
      <c r="F997" s="19" t="str">
        <f>IFERROR(__xludf.DUMMYFUNCTION("""COMPUTED_VALUE"""),"BLACK")</f>
        <v>BLACK</v>
      </c>
      <c r="G997" s="20" t="str">
        <f>IFERROR(__xludf.DUMMYFUNCTION("""COMPUTED_VALUE"""),"Tap 6 Clone (10/15/2021)")</f>
        <v>Tap 6 Clone (10/15/2021)</v>
      </c>
      <c r="H997" s="19"/>
    </row>
    <row r="998">
      <c r="A998" s="9"/>
      <c r="B998" s="15"/>
      <c r="C998" s="9">
        <f>IFERROR(__xludf.DUMMYFUNCTION("""COMPUTED_VALUE"""),44501.3081975462)</f>
        <v>44501.3082</v>
      </c>
      <c r="D998" s="15">
        <f>IFERROR(__xludf.DUMMYFUNCTION("""COMPUTED_VALUE"""),1.013)</f>
        <v>1.013</v>
      </c>
      <c r="E998" s="16">
        <f>IFERROR(__xludf.DUMMYFUNCTION("""COMPUTED_VALUE"""),66.0)</f>
        <v>66</v>
      </c>
      <c r="F998" s="19" t="str">
        <f>IFERROR(__xludf.DUMMYFUNCTION("""COMPUTED_VALUE"""),"BLACK")</f>
        <v>BLACK</v>
      </c>
      <c r="G998" s="20" t="str">
        <f>IFERROR(__xludf.DUMMYFUNCTION("""COMPUTED_VALUE"""),"Tap 6 Clone (10/15/2021)")</f>
        <v>Tap 6 Clone (10/15/2021)</v>
      </c>
      <c r="H998" s="19"/>
    </row>
    <row r="999">
      <c r="A999" s="9"/>
      <c r="B999" s="15"/>
      <c r="C999" s="9">
        <f>IFERROR(__xludf.DUMMYFUNCTION("""COMPUTED_VALUE"""),44501.2977755208)</f>
        <v>44501.29778</v>
      </c>
      <c r="D999" s="15">
        <f>IFERROR(__xludf.DUMMYFUNCTION("""COMPUTED_VALUE"""),1.014)</f>
        <v>1.014</v>
      </c>
      <c r="E999" s="16">
        <f>IFERROR(__xludf.DUMMYFUNCTION("""COMPUTED_VALUE"""),65.0)</f>
        <v>65</v>
      </c>
      <c r="F999" s="19" t="str">
        <f>IFERROR(__xludf.DUMMYFUNCTION("""COMPUTED_VALUE"""),"BLACK")</f>
        <v>BLACK</v>
      </c>
      <c r="G999" s="20" t="str">
        <f>IFERROR(__xludf.DUMMYFUNCTION("""COMPUTED_VALUE"""),"Tap 6 Clone (10/15/2021)")</f>
        <v>Tap 6 Clone (10/15/2021)</v>
      </c>
      <c r="H999" s="19"/>
    </row>
    <row r="1000">
      <c r="A1000" s="9"/>
      <c r="B1000" s="15"/>
      <c r="C1000" s="9">
        <f>IFERROR(__xludf.DUMMYFUNCTION("""COMPUTED_VALUE"""),44501.2873542361)</f>
        <v>44501.28735</v>
      </c>
      <c r="D1000" s="15">
        <f>IFERROR(__xludf.DUMMYFUNCTION("""COMPUTED_VALUE"""),1.013)</f>
        <v>1.013</v>
      </c>
      <c r="E1000" s="16">
        <f>IFERROR(__xludf.DUMMYFUNCTION("""COMPUTED_VALUE"""),65.0)</f>
        <v>65</v>
      </c>
      <c r="F1000" s="19" t="str">
        <f>IFERROR(__xludf.DUMMYFUNCTION("""COMPUTED_VALUE"""),"BLACK")</f>
        <v>BLACK</v>
      </c>
      <c r="G1000" s="20" t="str">
        <f>IFERROR(__xludf.DUMMYFUNCTION("""COMPUTED_VALUE"""),"Tap 6 Clone (10/15/2021)")</f>
        <v>Tap 6 Clone (10/15/2021)</v>
      </c>
      <c r="H1000" s="19"/>
    </row>
    <row r="1001">
      <c r="A1001" s="9"/>
      <c r="B1001" s="15"/>
      <c r="C1001" s="9">
        <f>IFERROR(__xludf.DUMMYFUNCTION("""COMPUTED_VALUE"""),44501.2769331481)</f>
        <v>44501.27693</v>
      </c>
      <c r="D1001" s="15">
        <f>IFERROR(__xludf.DUMMYFUNCTION("""COMPUTED_VALUE"""),1.014)</f>
        <v>1.014</v>
      </c>
      <c r="E1001" s="16">
        <f>IFERROR(__xludf.DUMMYFUNCTION("""COMPUTED_VALUE"""),65.0)</f>
        <v>65</v>
      </c>
      <c r="F1001" s="19" t="str">
        <f>IFERROR(__xludf.DUMMYFUNCTION("""COMPUTED_VALUE"""),"BLACK")</f>
        <v>BLACK</v>
      </c>
      <c r="G1001" s="20" t="str">
        <f>IFERROR(__xludf.DUMMYFUNCTION("""COMPUTED_VALUE"""),"Tap 6 Clone (10/15/2021)")</f>
        <v>Tap 6 Clone (10/15/2021)</v>
      </c>
      <c r="H1001" s="19"/>
    </row>
    <row r="1002">
      <c r="A1002" s="9"/>
      <c r="B1002" s="15"/>
      <c r="C1002" s="9">
        <f>IFERROR(__xludf.DUMMYFUNCTION("""COMPUTED_VALUE"""),44501.2665132986)</f>
        <v>44501.26651</v>
      </c>
      <c r="D1002" s="15">
        <f>IFERROR(__xludf.DUMMYFUNCTION("""COMPUTED_VALUE"""),1.014)</f>
        <v>1.014</v>
      </c>
      <c r="E1002" s="16">
        <f>IFERROR(__xludf.DUMMYFUNCTION("""COMPUTED_VALUE"""),65.0)</f>
        <v>65</v>
      </c>
      <c r="F1002" s="19" t="str">
        <f>IFERROR(__xludf.DUMMYFUNCTION("""COMPUTED_VALUE"""),"BLACK")</f>
        <v>BLACK</v>
      </c>
      <c r="G1002" s="20" t="str">
        <f>IFERROR(__xludf.DUMMYFUNCTION("""COMPUTED_VALUE"""),"Tap 6 Clone (10/15/2021)")</f>
        <v>Tap 6 Clone (10/15/2021)</v>
      </c>
      <c r="H1002" s="19"/>
    </row>
    <row r="1003">
      <c r="A1003" s="9"/>
      <c r="B1003" s="15"/>
      <c r="C1003" s="9">
        <f>IFERROR(__xludf.DUMMYFUNCTION("""COMPUTED_VALUE"""),44501.2560918865)</f>
        <v>44501.25609</v>
      </c>
      <c r="D1003" s="15">
        <f>IFERROR(__xludf.DUMMYFUNCTION("""COMPUTED_VALUE"""),1.014)</f>
        <v>1.014</v>
      </c>
      <c r="E1003" s="16">
        <f>IFERROR(__xludf.DUMMYFUNCTION("""COMPUTED_VALUE"""),65.0)</f>
        <v>65</v>
      </c>
      <c r="F1003" s="19" t="str">
        <f>IFERROR(__xludf.DUMMYFUNCTION("""COMPUTED_VALUE"""),"BLACK")</f>
        <v>BLACK</v>
      </c>
      <c r="G1003" s="20" t="str">
        <f>IFERROR(__xludf.DUMMYFUNCTION("""COMPUTED_VALUE"""),"Tap 6 Clone (10/15/2021)")</f>
        <v>Tap 6 Clone (10/15/2021)</v>
      </c>
      <c r="H1003" s="19"/>
    </row>
    <row r="1004">
      <c r="A1004" s="9"/>
      <c r="B1004" s="15"/>
      <c r="C1004" s="9">
        <f>IFERROR(__xludf.DUMMYFUNCTION("""COMPUTED_VALUE"""),44501.24566978)</f>
        <v>44501.24567</v>
      </c>
      <c r="D1004" s="15">
        <f>IFERROR(__xludf.DUMMYFUNCTION("""COMPUTED_VALUE"""),1.014)</f>
        <v>1.014</v>
      </c>
      <c r="E1004" s="16">
        <f>IFERROR(__xludf.DUMMYFUNCTION("""COMPUTED_VALUE"""),65.0)</f>
        <v>65</v>
      </c>
      <c r="F1004" s="19" t="str">
        <f>IFERROR(__xludf.DUMMYFUNCTION("""COMPUTED_VALUE"""),"BLACK")</f>
        <v>BLACK</v>
      </c>
      <c r="G1004" s="20" t="str">
        <f>IFERROR(__xludf.DUMMYFUNCTION("""COMPUTED_VALUE"""),"Tap 6 Clone (10/15/2021)")</f>
        <v>Tap 6 Clone (10/15/2021)</v>
      </c>
      <c r="H1004" s="19"/>
    </row>
    <row r="1005">
      <c r="A1005" s="9"/>
      <c r="B1005" s="15"/>
      <c r="C1005" s="9">
        <f>IFERROR(__xludf.DUMMYFUNCTION("""COMPUTED_VALUE"""),44501.235249375)</f>
        <v>44501.23525</v>
      </c>
      <c r="D1005" s="15">
        <f>IFERROR(__xludf.DUMMYFUNCTION("""COMPUTED_VALUE"""),1.014)</f>
        <v>1.014</v>
      </c>
      <c r="E1005" s="16">
        <f>IFERROR(__xludf.DUMMYFUNCTION("""COMPUTED_VALUE"""),65.0)</f>
        <v>65</v>
      </c>
      <c r="F1005" s="19" t="str">
        <f>IFERROR(__xludf.DUMMYFUNCTION("""COMPUTED_VALUE"""),"BLACK")</f>
        <v>BLACK</v>
      </c>
      <c r="G1005" s="20" t="str">
        <f>IFERROR(__xludf.DUMMYFUNCTION("""COMPUTED_VALUE"""),"Tap 6 Clone (10/15/2021)")</f>
        <v>Tap 6 Clone (10/15/2021)</v>
      </c>
      <c r="H1005" s="19"/>
    </row>
    <row r="1006">
      <c r="A1006" s="9"/>
      <c r="B1006" s="15"/>
      <c r="C1006" s="9">
        <f>IFERROR(__xludf.DUMMYFUNCTION("""COMPUTED_VALUE"""),44501.2248162037)</f>
        <v>44501.22482</v>
      </c>
      <c r="D1006" s="15">
        <f>IFERROR(__xludf.DUMMYFUNCTION("""COMPUTED_VALUE"""),1.014)</f>
        <v>1.014</v>
      </c>
      <c r="E1006" s="16">
        <f>IFERROR(__xludf.DUMMYFUNCTION("""COMPUTED_VALUE"""),65.0)</f>
        <v>65</v>
      </c>
      <c r="F1006" s="19" t="str">
        <f>IFERROR(__xludf.DUMMYFUNCTION("""COMPUTED_VALUE"""),"BLACK")</f>
        <v>BLACK</v>
      </c>
      <c r="G1006" s="20" t="str">
        <f>IFERROR(__xludf.DUMMYFUNCTION("""COMPUTED_VALUE"""),"Tap 6 Clone (10/15/2021)")</f>
        <v>Tap 6 Clone (10/15/2021)</v>
      </c>
      <c r="H1006" s="19"/>
    </row>
    <row r="1007">
      <c r="A1007" s="9"/>
      <c r="B1007" s="15"/>
      <c r="C1007" s="9">
        <f>IFERROR(__xludf.DUMMYFUNCTION("""COMPUTED_VALUE"""),44501.2143943171)</f>
        <v>44501.21439</v>
      </c>
      <c r="D1007" s="15">
        <f>IFERROR(__xludf.DUMMYFUNCTION("""COMPUTED_VALUE"""),1.014)</f>
        <v>1.014</v>
      </c>
      <c r="E1007" s="16">
        <f>IFERROR(__xludf.DUMMYFUNCTION("""COMPUTED_VALUE"""),65.0)</f>
        <v>65</v>
      </c>
      <c r="F1007" s="19" t="str">
        <f>IFERROR(__xludf.DUMMYFUNCTION("""COMPUTED_VALUE"""),"BLACK")</f>
        <v>BLACK</v>
      </c>
      <c r="G1007" s="20" t="str">
        <f>IFERROR(__xludf.DUMMYFUNCTION("""COMPUTED_VALUE"""),"Tap 6 Clone (10/15/2021)")</f>
        <v>Tap 6 Clone (10/15/2021)</v>
      </c>
      <c r="H1007" s="19"/>
    </row>
    <row r="1008">
      <c r="A1008" s="9"/>
      <c r="B1008" s="15"/>
      <c r="C1008" s="9">
        <f>IFERROR(__xludf.DUMMYFUNCTION("""COMPUTED_VALUE"""),44501.2039737731)</f>
        <v>44501.20397</v>
      </c>
      <c r="D1008" s="15">
        <f>IFERROR(__xludf.DUMMYFUNCTION("""COMPUTED_VALUE"""),1.014)</f>
        <v>1.014</v>
      </c>
      <c r="E1008" s="16">
        <f>IFERROR(__xludf.DUMMYFUNCTION("""COMPUTED_VALUE"""),65.0)</f>
        <v>65</v>
      </c>
      <c r="F1008" s="19" t="str">
        <f>IFERROR(__xludf.DUMMYFUNCTION("""COMPUTED_VALUE"""),"BLACK")</f>
        <v>BLACK</v>
      </c>
      <c r="G1008" s="20" t="str">
        <f>IFERROR(__xludf.DUMMYFUNCTION("""COMPUTED_VALUE"""),"Tap 6 Clone (10/15/2021)")</f>
        <v>Tap 6 Clone (10/15/2021)</v>
      </c>
      <c r="H1008" s="19"/>
    </row>
    <row r="1009">
      <c r="A1009" s="9"/>
      <c r="B1009" s="15"/>
      <c r="C1009" s="9">
        <f>IFERROR(__xludf.DUMMYFUNCTION("""COMPUTED_VALUE"""),44501.1935522453)</f>
        <v>44501.19355</v>
      </c>
      <c r="D1009" s="15">
        <f>IFERROR(__xludf.DUMMYFUNCTION("""COMPUTED_VALUE"""),1.014)</f>
        <v>1.014</v>
      </c>
      <c r="E1009" s="16">
        <f>IFERROR(__xludf.DUMMYFUNCTION("""COMPUTED_VALUE"""),65.0)</f>
        <v>65</v>
      </c>
      <c r="F1009" s="19" t="str">
        <f>IFERROR(__xludf.DUMMYFUNCTION("""COMPUTED_VALUE"""),"BLACK")</f>
        <v>BLACK</v>
      </c>
      <c r="G1009" s="20" t="str">
        <f>IFERROR(__xludf.DUMMYFUNCTION("""COMPUTED_VALUE"""),"Tap 6 Clone (10/15/2021)")</f>
        <v>Tap 6 Clone (10/15/2021)</v>
      </c>
      <c r="H1009" s="19"/>
    </row>
    <row r="1010">
      <c r="A1010" s="9"/>
      <c r="B1010" s="15"/>
      <c r="C1010" s="9">
        <f>IFERROR(__xludf.DUMMYFUNCTION("""COMPUTED_VALUE"""),44501.1831309953)</f>
        <v>44501.18313</v>
      </c>
      <c r="D1010" s="15">
        <f>IFERROR(__xludf.DUMMYFUNCTION("""COMPUTED_VALUE"""),1.014)</f>
        <v>1.014</v>
      </c>
      <c r="E1010" s="16">
        <f>IFERROR(__xludf.DUMMYFUNCTION("""COMPUTED_VALUE"""),65.0)</f>
        <v>65</v>
      </c>
      <c r="F1010" s="19" t="str">
        <f>IFERROR(__xludf.DUMMYFUNCTION("""COMPUTED_VALUE"""),"BLACK")</f>
        <v>BLACK</v>
      </c>
      <c r="G1010" s="20" t="str">
        <f>IFERROR(__xludf.DUMMYFUNCTION("""COMPUTED_VALUE"""),"Tap 6 Clone (10/15/2021)")</f>
        <v>Tap 6 Clone (10/15/2021)</v>
      </c>
      <c r="H1010" s="19"/>
    </row>
    <row r="1011">
      <c r="A1011" s="9"/>
      <c r="B1011" s="15"/>
      <c r="C1011" s="9">
        <f>IFERROR(__xludf.DUMMYFUNCTION("""COMPUTED_VALUE"""),44501.1727106481)</f>
        <v>44501.17271</v>
      </c>
      <c r="D1011" s="15">
        <f>IFERROR(__xludf.DUMMYFUNCTION("""COMPUTED_VALUE"""),1.015)</f>
        <v>1.015</v>
      </c>
      <c r="E1011" s="16">
        <f>IFERROR(__xludf.DUMMYFUNCTION("""COMPUTED_VALUE"""),65.0)</f>
        <v>65</v>
      </c>
      <c r="F1011" s="19" t="str">
        <f>IFERROR(__xludf.DUMMYFUNCTION("""COMPUTED_VALUE"""),"BLACK")</f>
        <v>BLACK</v>
      </c>
      <c r="G1011" s="20" t="str">
        <f>IFERROR(__xludf.DUMMYFUNCTION("""COMPUTED_VALUE"""),"Tap 6 Clone (10/15/2021)")</f>
        <v>Tap 6 Clone (10/15/2021)</v>
      </c>
      <c r="H1011" s="19"/>
    </row>
    <row r="1012">
      <c r="A1012" s="9"/>
      <c r="B1012" s="15"/>
      <c r="C1012" s="9">
        <f>IFERROR(__xludf.DUMMYFUNCTION("""COMPUTED_VALUE"""),44501.1622898148)</f>
        <v>44501.16229</v>
      </c>
      <c r="D1012" s="15">
        <f>IFERROR(__xludf.DUMMYFUNCTION("""COMPUTED_VALUE"""),1.014)</f>
        <v>1.014</v>
      </c>
      <c r="E1012" s="16">
        <f>IFERROR(__xludf.DUMMYFUNCTION("""COMPUTED_VALUE"""),65.0)</f>
        <v>65</v>
      </c>
      <c r="F1012" s="19" t="str">
        <f>IFERROR(__xludf.DUMMYFUNCTION("""COMPUTED_VALUE"""),"BLACK")</f>
        <v>BLACK</v>
      </c>
      <c r="G1012" s="20" t="str">
        <f>IFERROR(__xludf.DUMMYFUNCTION("""COMPUTED_VALUE"""),"Tap 6 Clone (10/15/2021)")</f>
        <v>Tap 6 Clone (10/15/2021)</v>
      </c>
      <c r="H1012" s="19"/>
    </row>
    <row r="1013">
      <c r="A1013" s="9"/>
      <c r="B1013" s="15"/>
      <c r="C1013" s="9">
        <f>IFERROR(__xludf.DUMMYFUNCTION("""COMPUTED_VALUE"""),44501.1518560648)</f>
        <v>44501.15186</v>
      </c>
      <c r="D1013" s="15">
        <f>IFERROR(__xludf.DUMMYFUNCTION("""COMPUTED_VALUE"""),1.014)</f>
        <v>1.014</v>
      </c>
      <c r="E1013" s="16">
        <f>IFERROR(__xludf.DUMMYFUNCTION("""COMPUTED_VALUE"""),65.0)</f>
        <v>65</v>
      </c>
      <c r="F1013" s="19" t="str">
        <f>IFERROR(__xludf.DUMMYFUNCTION("""COMPUTED_VALUE"""),"BLACK")</f>
        <v>BLACK</v>
      </c>
      <c r="G1013" s="20" t="str">
        <f>IFERROR(__xludf.DUMMYFUNCTION("""COMPUTED_VALUE"""),"Tap 6 Clone (10/15/2021)")</f>
        <v>Tap 6 Clone (10/15/2021)</v>
      </c>
      <c r="H1013" s="19"/>
    </row>
    <row r="1014">
      <c r="A1014" s="9"/>
      <c r="B1014" s="15"/>
      <c r="C1014" s="9">
        <f>IFERROR(__xludf.DUMMYFUNCTION("""COMPUTED_VALUE"""),44501.1414356713)</f>
        <v>44501.14144</v>
      </c>
      <c r="D1014" s="15">
        <f>IFERROR(__xludf.DUMMYFUNCTION("""COMPUTED_VALUE"""),1.015)</f>
        <v>1.015</v>
      </c>
      <c r="E1014" s="16">
        <f>IFERROR(__xludf.DUMMYFUNCTION("""COMPUTED_VALUE"""),65.0)</f>
        <v>65</v>
      </c>
      <c r="F1014" s="19" t="str">
        <f>IFERROR(__xludf.DUMMYFUNCTION("""COMPUTED_VALUE"""),"BLACK")</f>
        <v>BLACK</v>
      </c>
      <c r="G1014" s="20" t="str">
        <f>IFERROR(__xludf.DUMMYFUNCTION("""COMPUTED_VALUE"""),"Tap 6 Clone (10/15/2021)")</f>
        <v>Tap 6 Clone (10/15/2021)</v>
      </c>
      <c r="H1014" s="19"/>
    </row>
    <row r="1015">
      <c r="A1015" s="9"/>
      <c r="B1015" s="15"/>
      <c r="C1015" s="9">
        <f>IFERROR(__xludf.DUMMYFUNCTION("""COMPUTED_VALUE"""),44501.1310147222)</f>
        <v>44501.13101</v>
      </c>
      <c r="D1015" s="15">
        <f>IFERROR(__xludf.DUMMYFUNCTION("""COMPUTED_VALUE"""),1.015)</f>
        <v>1.015</v>
      </c>
      <c r="E1015" s="16">
        <f>IFERROR(__xludf.DUMMYFUNCTION("""COMPUTED_VALUE"""),65.0)</f>
        <v>65</v>
      </c>
      <c r="F1015" s="19" t="str">
        <f>IFERROR(__xludf.DUMMYFUNCTION("""COMPUTED_VALUE"""),"BLACK")</f>
        <v>BLACK</v>
      </c>
      <c r="G1015" s="20" t="str">
        <f>IFERROR(__xludf.DUMMYFUNCTION("""COMPUTED_VALUE"""),"Tap 6 Clone (10/15/2021)")</f>
        <v>Tap 6 Clone (10/15/2021)</v>
      </c>
      <c r="H1015" s="19"/>
    </row>
    <row r="1016">
      <c r="A1016" s="9"/>
      <c r="B1016" s="15"/>
      <c r="C1016" s="9">
        <f>IFERROR(__xludf.DUMMYFUNCTION("""COMPUTED_VALUE"""),44501.1205803356)</f>
        <v>44501.12058</v>
      </c>
      <c r="D1016" s="15">
        <f>IFERROR(__xludf.DUMMYFUNCTION("""COMPUTED_VALUE"""),1.015)</f>
        <v>1.015</v>
      </c>
      <c r="E1016" s="16">
        <f>IFERROR(__xludf.DUMMYFUNCTION("""COMPUTED_VALUE"""),65.0)</f>
        <v>65</v>
      </c>
      <c r="F1016" s="19" t="str">
        <f>IFERROR(__xludf.DUMMYFUNCTION("""COMPUTED_VALUE"""),"BLACK")</f>
        <v>BLACK</v>
      </c>
      <c r="G1016" s="20" t="str">
        <f>IFERROR(__xludf.DUMMYFUNCTION("""COMPUTED_VALUE"""),"Tap 6 Clone (10/15/2021)")</f>
        <v>Tap 6 Clone (10/15/2021)</v>
      </c>
      <c r="H1016" s="19"/>
    </row>
    <row r="1017">
      <c r="A1017" s="9"/>
      <c r="B1017" s="15"/>
      <c r="C1017" s="9">
        <f>IFERROR(__xludf.DUMMYFUNCTION("""COMPUTED_VALUE"""),44501.1101578472)</f>
        <v>44501.11016</v>
      </c>
      <c r="D1017" s="15">
        <f>IFERROR(__xludf.DUMMYFUNCTION("""COMPUTED_VALUE"""),1.015)</f>
        <v>1.015</v>
      </c>
      <c r="E1017" s="16">
        <f>IFERROR(__xludf.DUMMYFUNCTION("""COMPUTED_VALUE"""),65.0)</f>
        <v>65</v>
      </c>
      <c r="F1017" s="19" t="str">
        <f>IFERROR(__xludf.DUMMYFUNCTION("""COMPUTED_VALUE"""),"BLACK")</f>
        <v>BLACK</v>
      </c>
      <c r="G1017" s="20" t="str">
        <f>IFERROR(__xludf.DUMMYFUNCTION("""COMPUTED_VALUE"""),"Tap 6 Clone (10/15/2021)")</f>
        <v>Tap 6 Clone (10/15/2021)</v>
      </c>
      <c r="H1017" s="19"/>
    </row>
    <row r="1018">
      <c r="A1018" s="9"/>
      <c r="B1018" s="15"/>
      <c r="C1018" s="9">
        <f>IFERROR(__xludf.DUMMYFUNCTION("""COMPUTED_VALUE"""),44501.099735787)</f>
        <v>44501.09974</v>
      </c>
      <c r="D1018" s="15">
        <f>IFERROR(__xludf.DUMMYFUNCTION("""COMPUTED_VALUE"""),1.014)</f>
        <v>1.014</v>
      </c>
      <c r="E1018" s="16">
        <f>IFERROR(__xludf.DUMMYFUNCTION("""COMPUTED_VALUE"""),65.0)</f>
        <v>65</v>
      </c>
      <c r="F1018" s="19" t="str">
        <f>IFERROR(__xludf.DUMMYFUNCTION("""COMPUTED_VALUE"""),"BLACK")</f>
        <v>BLACK</v>
      </c>
      <c r="G1018" s="20" t="str">
        <f>IFERROR(__xludf.DUMMYFUNCTION("""COMPUTED_VALUE"""),"Tap 6 Clone (10/15/2021)")</f>
        <v>Tap 6 Clone (10/15/2021)</v>
      </c>
      <c r="H1018" s="19"/>
    </row>
    <row r="1019">
      <c r="A1019" s="9"/>
      <c r="B1019" s="15"/>
      <c r="C1019" s="9">
        <f>IFERROR(__xludf.DUMMYFUNCTION("""COMPUTED_VALUE"""),44501.0893148958)</f>
        <v>44501.08931</v>
      </c>
      <c r="D1019" s="15">
        <f>IFERROR(__xludf.DUMMYFUNCTION("""COMPUTED_VALUE"""),1.015)</f>
        <v>1.015</v>
      </c>
      <c r="E1019" s="16">
        <f>IFERROR(__xludf.DUMMYFUNCTION("""COMPUTED_VALUE"""),65.0)</f>
        <v>65</v>
      </c>
      <c r="F1019" s="19" t="str">
        <f>IFERROR(__xludf.DUMMYFUNCTION("""COMPUTED_VALUE"""),"BLACK")</f>
        <v>BLACK</v>
      </c>
      <c r="G1019" s="20" t="str">
        <f>IFERROR(__xludf.DUMMYFUNCTION("""COMPUTED_VALUE"""),"Tap 6 Clone (10/15/2021)")</f>
        <v>Tap 6 Clone (10/15/2021)</v>
      </c>
      <c r="H1019" s="19"/>
    </row>
    <row r="1020">
      <c r="A1020" s="9"/>
      <c r="B1020" s="15"/>
      <c r="C1020" s="9">
        <f>IFERROR(__xludf.DUMMYFUNCTION("""COMPUTED_VALUE"""),44501.0788928472)</f>
        <v>44501.07889</v>
      </c>
      <c r="D1020" s="15">
        <f>IFERROR(__xludf.DUMMYFUNCTION("""COMPUTED_VALUE"""),1.015)</f>
        <v>1.015</v>
      </c>
      <c r="E1020" s="16">
        <f>IFERROR(__xludf.DUMMYFUNCTION("""COMPUTED_VALUE"""),65.0)</f>
        <v>65</v>
      </c>
      <c r="F1020" s="19" t="str">
        <f>IFERROR(__xludf.DUMMYFUNCTION("""COMPUTED_VALUE"""),"BLACK")</f>
        <v>BLACK</v>
      </c>
      <c r="G1020" s="20" t="str">
        <f>IFERROR(__xludf.DUMMYFUNCTION("""COMPUTED_VALUE"""),"Tap 6 Clone (10/15/2021)")</f>
        <v>Tap 6 Clone (10/15/2021)</v>
      </c>
      <c r="H1020" s="19"/>
    </row>
    <row r="1021">
      <c r="A1021" s="9"/>
      <c r="B1021" s="15"/>
      <c r="C1021" s="9">
        <f>IFERROR(__xludf.DUMMYFUNCTION("""COMPUTED_VALUE"""),44501.0684712037)</f>
        <v>44501.06847</v>
      </c>
      <c r="D1021" s="15">
        <f>IFERROR(__xludf.DUMMYFUNCTION("""COMPUTED_VALUE"""),1.015)</f>
        <v>1.015</v>
      </c>
      <c r="E1021" s="16">
        <f>IFERROR(__xludf.DUMMYFUNCTION("""COMPUTED_VALUE"""),65.0)</f>
        <v>65</v>
      </c>
      <c r="F1021" s="19" t="str">
        <f>IFERROR(__xludf.DUMMYFUNCTION("""COMPUTED_VALUE"""),"BLACK")</f>
        <v>BLACK</v>
      </c>
      <c r="G1021" s="20" t="str">
        <f>IFERROR(__xludf.DUMMYFUNCTION("""COMPUTED_VALUE"""),"Tap 6 Clone (10/15/2021)")</f>
        <v>Tap 6 Clone (10/15/2021)</v>
      </c>
      <c r="H1021" s="19"/>
    </row>
    <row r="1022">
      <c r="A1022" s="9"/>
      <c r="B1022" s="15"/>
      <c r="C1022" s="9">
        <f>IFERROR(__xludf.DUMMYFUNCTION("""COMPUTED_VALUE"""),44501.0580484375)</f>
        <v>44501.05805</v>
      </c>
      <c r="D1022" s="15">
        <f>IFERROR(__xludf.DUMMYFUNCTION("""COMPUTED_VALUE"""),1.015)</f>
        <v>1.015</v>
      </c>
      <c r="E1022" s="16">
        <f>IFERROR(__xludf.DUMMYFUNCTION("""COMPUTED_VALUE"""),65.0)</f>
        <v>65</v>
      </c>
      <c r="F1022" s="19" t="str">
        <f>IFERROR(__xludf.DUMMYFUNCTION("""COMPUTED_VALUE"""),"BLACK")</f>
        <v>BLACK</v>
      </c>
      <c r="G1022" s="20" t="str">
        <f>IFERROR(__xludf.DUMMYFUNCTION("""COMPUTED_VALUE"""),"Tap 6 Clone (10/15/2021)")</f>
        <v>Tap 6 Clone (10/15/2021)</v>
      </c>
      <c r="H1022" s="19"/>
    </row>
    <row r="1023">
      <c r="A1023" s="9"/>
      <c r="B1023" s="15"/>
      <c r="C1023" s="9">
        <f>IFERROR(__xludf.DUMMYFUNCTION("""COMPUTED_VALUE"""),44501.0476270254)</f>
        <v>44501.04763</v>
      </c>
      <c r="D1023" s="15">
        <f>IFERROR(__xludf.DUMMYFUNCTION("""COMPUTED_VALUE"""),1.015)</f>
        <v>1.015</v>
      </c>
      <c r="E1023" s="16">
        <f>IFERROR(__xludf.DUMMYFUNCTION("""COMPUTED_VALUE"""),65.0)</f>
        <v>65</v>
      </c>
      <c r="F1023" s="19" t="str">
        <f>IFERROR(__xludf.DUMMYFUNCTION("""COMPUTED_VALUE"""),"BLACK")</f>
        <v>BLACK</v>
      </c>
      <c r="G1023" s="20" t="str">
        <f>IFERROR(__xludf.DUMMYFUNCTION("""COMPUTED_VALUE"""),"Tap 6 Clone (10/15/2021)")</f>
        <v>Tap 6 Clone (10/15/2021)</v>
      </c>
      <c r="H1023" s="19"/>
    </row>
    <row r="1024">
      <c r="A1024" s="9"/>
      <c r="B1024" s="15"/>
      <c r="C1024" s="9">
        <f>IFERROR(__xludf.DUMMYFUNCTION("""COMPUTED_VALUE"""),44501.0372058217)</f>
        <v>44501.03721</v>
      </c>
      <c r="D1024" s="15">
        <f>IFERROR(__xludf.DUMMYFUNCTION("""COMPUTED_VALUE"""),1.015)</f>
        <v>1.015</v>
      </c>
      <c r="E1024" s="16">
        <f>IFERROR(__xludf.DUMMYFUNCTION("""COMPUTED_VALUE"""),65.0)</f>
        <v>65</v>
      </c>
      <c r="F1024" s="19" t="str">
        <f>IFERROR(__xludf.DUMMYFUNCTION("""COMPUTED_VALUE"""),"BLACK")</f>
        <v>BLACK</v>
      </c>
      <c r="G1024" s="20" t="str">
        <f>IFERROR(__xludf.DUMMYFUNCTION("""COMPUTED_VALUE"""),"Tap 6 Clone (10/15/2021)")</f>
        <v>Tap 6 Clone (10/15/2021)</v>
      </c>
      <c r="H1024" s="19"/>
    </row>
    <row r="1025">
      <c r="A1025" s="9"/>
      <c r="B1025" s="15"/>
      <c r="C1025" s="9">
        <f>IFERROR(__xludf.DUMMYFUNCTION("""COMPUTED_VALUE"""),44501.0267861111)</f>
        <v>44501.02679</v>
      </c>
      <c r="D1025" s="15">
        <f>IFERROR(__xludf.DUMMYFUNCTION("""COMPUTED_VALUE"""),1.014)</f>
        <v>1.014</v>
      </c>
      <c r="E1025" s="16">
        <f>IFERROR(__xludf.DUMMYFUNCTION("""COMPUTED_VALUE"""),65.0)</f>
        <v>65</v>
      </c>
      <c r="F1025" s="19" t="str">
        <f>IFERROR(__xludf.DUMMYFUNCTION("""COMPUTED_VALUE"""),"BLACK")</f>
        <v>BLACK</v>
      </c>
      <c r="G1025" s="20" t="str">
        <f>IFERROR(__xludf.DUMMYFUNCTION("""COMPUTED_VALUE"""),"Tap 6 Clone (10/15/2021)")</f>
        <v>Tap 6 Clone (10/15/2021)</v>
      </c>
      <c r="H1025" s="19"/>
    </row>
    <row r="1026">
      <c r="A1026" s="9"/>
      <c r="B1026" s="15"/>
      <c r="C1026" s="9">
        <f>IFERROR(__xludf.DUMMYFUNCTION("""COMPUTED_VALUE"""),44501.0163669675)</f>
        <v>44501.01637</v>
      </c>
      <c r="D1026" s="15">
        <f>IFERROR(__xludf.DUMMYFUNCTION("""COMPUTED_VALUE"""),1.015)</f>
        <v>1.015</v>
      </c>
      <c r="E1026" s="16">
        <f>IFERROR(__xludf.DUMMYFUNCTION("""COMPUTED_VALUE"""),65.0)</f>
        <v>65</v>
      </c>
      <c r="F1026" s="19" t="str">
        <f>IFERROR(__xludf.DUMMYFUNCTION("""COMPUTED_VALUE"""),"BLACK")</f>
        <v>BLACK</v>
      </c>
      <c r="G1026" s="20" t="str">
        <f>IFERROR(__xludf.DUMMYFUNCTION("""COMPUTED_VALUE"""),"Tap 6 Clone (10/15/2021)")</f>
        <v>Tap 6 Clone (10/15/2021)</v>
      </c>
      <c r="H1026" s="19"/>
    </row>
    <row r="1027">
      <c r="A1027" s="9"/>
      <c r="B1027" s="15"/>
      <c r="C1027" s="9">
        <f>IFERROR(__xludf.DUMMYFUNCTION("""COMPUTED_VALUE"""),44501.0059455555)</f>
        <v>44501.00595</v>
      </c>
      <c r="D1027" s="15">
        <f>IFERROR(__xludf.DUMMYFUNCTION("""COMPUTED_VALUE"""),1.015)</f>
        <v>1.015</v>
      </c>
      <c r="E1027" s="16">
        <f>IFERROR(__xludf.DUMMYFUNCTION("""COMPUTED_VALUE"""),65.0)</f>
        <v>65</v>
      </c>
      <c r="F1027" s="19" t="str">
        <f>IFERROR(__xludf.DUMMYFUNCTION("""COMPUTED_VALUE"""),"BLACK")</f>
        <v>BLACK</v>
      </c>
      <c r="G1027" s="20" t="str">
        <f>IFERROR(__xludf.DUMMYFUNCTION("""COMPUTED_VALUE"""),"Tap 6 Clone (10/15/2021)")</f>
        <v>Tap 6 Clone (10/15/2021)</v>
      </c>
      <c r="H1027" s="19"/>
    </row>
    <row r="1028">
      <c r="A1028" s="9"/>
      <c r="B1028" s="15"/>
      <c r="C1028" s="9">
        <f>IFERROR(__xludf.DUMMYFUNCTION("""COMPUTED_VALUE"""),44500.9955244328)</f>
        <v>44500.99552</v>
      </c>
      <c r="D1028" s="15">
        <f>IFERROR(__xludf.DUMMYFUNCTION("""COMPUTED_VALUE"""),1.014)</f>
        <v>1.014</v>
      </c>
      <c r="E1028" s="16">
        <f>IFERROR(__xludf.DUMMYFUNCTION("""COMPUTED_VALUE"""),65.0)</f>
        <v>65</v>
      </c>
      <c r="F1028" s="19" t="str">
        <f>IFERROR(__xludf.DUMMYFUNCTION("""COMPUTED_VALUE"""),"BLACK")</f>
        <v>BLACK</v>
      </c>
      <c r="G1028" s="20" t="str">
        <f>IFERROR(__xludf.DUMMYFUNCTION("""COMPUTED_VALUE"""),"Tap 6 Clone (10/15/2021)")</f>
        <v>Tap 6 Clone (10/15/2021)</v>
      </c>
      <c r="H1028" s="19"/>
    </row>
    <row r="1029">
      <c r="A1029" s="9"/>
      <c r="B1029" s="15"/>
      <c r="C1029" s="9">
        <f>IFERROR(__xludf.DUMMYFUNCTION("""COMPUTED_VALUE"""),44500.9850933217)</f>
        <v>44500.98509</v>
      </c>
      <c r="D1029" s="15">
        <f>IFERROR(__xludf.DUMMYFUNCTION("""COMPUTED_VALUE"""),1.015)</f>
        <v>1.015</v>
      </c>
      <c r="E1029" s="16">
        <f>IFERROR(__xludf.DUMMYFUNCTION("""COMPUTED_VALUE"""),65.0)</f>
        <v>65</v>
      </c>
      <c r="F1029" s="19" t="str">
        <f>IFERROR(__xludf.DUMMYFUNCTION("""COMPUTED_VALUE"""),"BLACK")</f>
        <v>BLACK</v>
      </c>
      <c r="G1029" s="20" t="str">
        <f>IFERROR(__xludf.DUMMYFUNCTION("""COMPUTED_VALUE"""),"Tap 6 Clone (10/15/2021)")</f>
        <v>Tap 6 Clone (10/15/2021)</v>
      </c>
      <c r="H1029" s="19"/>
    </row>
    <row r="1030">
      <c r="A1030" s="9"/>
      <c r="B1030" s="15"/>
      <c r="C1030" s="9">
        <f>IFERROR(__xludf.DUMMYFUNCTION("""COMPUTED_VALUE"""),44500.9746735763)</f>
        <v>44500.97467</v>
      </c>
      <c r="D1030" s="15">
        <f>IFERROR(__xludf.DUMMYFUNCTION("""COMPUTED_VALUE"""),1.015)</f>
        <v>1.015</v>
      </c>
      <c r="E1030" s="16">
        <f>IFERROR(__xludf.DUMMYFUNCTION("""COMPUTED_VALUE"""),65.0)</f>
        <v>65</v>
      </c>
      <c r="F1030" s="19" t="str">
        <f>IFERROR(__xludf.DUMMYFUNCTION("""COMPUTED_VALUE"""),"BLACK")</f>
        <v>BLACK</v>
      </c>
      <c r="G1030" s="20" t="str">
        <f>IFERROR(__xludf.DUMMYFUNCTION("""COMPUTED_VALUE"""),"Tap 6 Clone (10/15/2021)")</f>
        <v>Tap 6 Clone (10/15/2021)</v>
      </c>
      <c r="H1030" s="19"/>
    </row>
    <row r="1031">
      <c r="A1031" s="9"/>
      <c r="B1031" s="15"/>
      <c r="C1031" s="9">
        <f>IFERROR(__xludf.DUMMYFUNCTION("""COMPUTED_VALUE"""),44500.9642521875)</f>
        <v>44500.96425</v>
      </c>
      <c r="D1031" s="15">
        <f>IFERROR(__xludf.DUMMYFUNCTION("""COMPUTED_VALUE"""),1.015)</f>
        <v>1.015</v>
      </c>
      <c r="E1031" s="16">
        <f>IFERROR(__xludf.DUMMYFUNCTION("""COMPUTED_VALUE"""),65.0)</f>
        <v>65</v>
      </c>
      <c r="F1031" s="19" t="str">
        <f>IFERROR(__xludf.DUMMYFUNCTION("""COMPUTED_VALUE"""),"BLACK")</f>
        <v>BLACK</v>
      </c>
      <c r="G1031" s="20" t="str">
        <f>IFERROR(__xludf.DUMMYFUNCTION("""COMPUTED_VALUE"""),"Tap 6 Clone (10/15/2021)")</f>
        <v>Tap 6 Clone (10/15/2021)</v>
      </c>
      <c r="H1031" s="19"/>
    </row>
    <row r="1032">
      <c r="A1032" s="9"/>
      <c r="B1032" s="15"/>
      <c r="C1032" s="9">
        <f>IFERROR(__xludf.DUMMYFUNCTION("""COMPUTED_VALUE"""),44500.9538318865)</f>
        <v>44500.95383</v>
      </c>
      <c r="D1032" s="15">
        <f>IFERROR(__xludf.DUMMYFUNCTION("""COMPUTED_VALUE"""),1.015)</f>
        <v>1.015</v>
      </c>
      <c r="E1032" s="16">
        <f>IFERROR(__xludf.DUMMYFUNCTION("""COMPUTED_VALUE"""),65.0)</f>
        <v>65</v>
      </c>
      <c r="F1032" s="19" t="str">
        <f>IFERROR(__xludf.DUMMYFUNCTION("""COMPUTED_VALUE"""),"BLACK")</f>
        <v>BLACK</v>
      </c>
      <c r="G1032" s="20" t="str">
        <f>IFERROR(__xludf.DUMMYFUNCTION("""COMPUTED_VALUE"""),"Tap 6 Clone (10/15/2021)")</f>
        <v>Tap 6 Clone (10/15/2021)</v>
      </c>
      <c r="H1032" s="19"/>
    </row>
    <row r="1033">
      <c r="A1033" s="9"/>
      <c r="B1033" s="15"/>
      <c r="C1033" s="9">
        <f>IFERROR(__xludf.DUMMYFUNCTION("""COMPUTED_VALUE"""),44500.9434095717)</f>
        <v>44500.94341</v>
      </c>
      <c r="D1033" s="15">
        <f>IFERROR(__xludf.DUMMYFUNCTION("""COMPUTED_VALUE"""),1.015)</f>
        <v>1.015</v>
      </c>
      <c r="E1033" s="16">
        <f>IFERROR(__xludf.DUMMYFUNCTION("""COMPUTED_VALUE"""),65.0)</f>
        <v>65</v>
      </c>
      <c r="F1033" s="19" t="str">
        <f>IFERROR(__xludf.DUMMYFUNCTION("""COMPUTED_VALUE"""),"BLACK")</f>
        <v>BLACK</v>
      </c>
      <c r="G1033" s="20" t="str">
        <f>IFERROR(__xludf.DUMMYFUNCTION("""COMPUTED_VALUE"""),"Tap 6 Clone (10/15/2021)")</f>
        <v>Tap 6 Clone (10/15/2021)</v>
      </c>
      <c r="H1033" s="19"/>
    </row>
    <row r="1034">
      <c r="A1034" s="9"/>
      <c r="B1034" s="15"/>
      <c r="C1034" s="9">
        <f>IFERROR(__xludf.DUMMYFUNCTION("""COMPUTED_VALUE"""),44500.9329779166)</f>
        <v>44500.93298</v>
      </c>
      <c r="D1034" s="15">
        <f>IFERROR(__xludf.DUMMYFUNCTION("""COMPUTED_VALUE"""),1.015)</f>
        <v>1.015</v>
      </c>
      <c r="E1034" s="16">
        <f>IFERROR(__xludf.DUMMYFUNCTION("""COMPUTED_VALUE"""),65.0)</f>
        <v>65</v>
      </c>
      <c r="F1034" s="19" t="str">
        <f>IFERROR(__xludf.DUMMYFUNCTION("""COMPUTED_VALUE"""),"BLACK")</f>
        <v>BLACK</v>
      </c>
      <c r="G1034" s="20" t="str">
        <f>IFERROR(__xludf.DUMMYFUNCTION("""COMPUTED_VALUE"""),"Tap 6 Clone (10/15/2021)")</f>
        <v>Tap 6 Clone (10/15/2021)</v>
      </c>
      <c r="H1034" s="19"/>
    </row>
    <row r="1035">
      <c r="A1035" s="9"/>
      <c r="B1035" s="15"/>
      <c r="C1035" s="9">
        <f>IFERROR(__xludf.DUMMYFUNCTION("""COMPUTED_VALUE"""),44500.92255603)</f>
        <v>44500.92256</v>
      </c>
      <c r="D1035" s="15">
        <f>IFERROR(__xludf.DUMMYFUNCTION("""COMPUTED_VALUE"""),1.016)</f>
        <v>1.016</v>
      </c>
      <c r="E1035" s="16">
        <f>IFERROR(__xludf.DUMMYFUNCTION("""COMPUTED_VALUE"""),65.0)</f>
        <v>65</v>
      </c>
      <c r="F1035" s="19" t="str">
        <f>IFERROR(__xludf.DUMMYFUNCTION("""COMPUTED_VALUE"""),"BLACK")</f>
        <v>BLACK</v>
      </c>
      <c r="G1035" s="20" t="str">
        <f>IFERROR(__xludf.DUMMYFUNCTION("""COMPUTED_VALUE"""),"Tap 6 Clone (10/15/2021)")</f>
        <v>Tap 6 Clone (10/15/2021)</v>
      </c>
      <c r="H1035" s="19"/>
    </row>
    <row r="1036">
      <c r="A1036" s="9"/>
      <c r="B1036" s="15"/>
      <c r="C1036" s="9">
        <f>IFERROR(__xludf.DUMMYFUNCTION("""COMPUTED_VALUE"""),44500.912136875)</f>
        <v>44500.91214</v>
      </c>
      <c r="D1036" s="15">
        <f>IFERROR(__xludf.DUMMYFUNCTION("""COMPUTED_VALUE"""),1.015)</f>
        <v>1.015</v>
      </c>
      <c r="E1036" s="16">
        <f>IFERROR(__xludf.DUMMYFUNCTION("""COMPUTED_VALUE"""),65.0)</f>
        <v>65</v>
      </c>
      <c r="F1036" s="19" t="str">
        <f>IFERROR(__xludf.DUMMYFUNCTION("""COMPUTED_VALUE"""),"BLACK")</f>
        <v>BLACK</v>
      </c>
      <c r="G1036" s="20" t="str">
        <f>IFERROR(__xludf.DUMMYFUNCTION("""COMPUTED_VALUE"""),"Tap 6 Clone (10/15/2021)")</f>
        <v>Tap 6 Clone (10/15/2021)</v>
      </c>
      <c r="H1036" s="19"/>
    </row>
    <row r="1037">
      <c r="A1037" s="9"/>
      <c r="B1037" s="15"/>
      <c r="C1037" s="9">
        <f>IFERROR(__xludf.DUMMYFUNCTION("""COMPUTED_VALUE"""),44500.9017153472)</f>
        <v>44500.90172</v>
      </c>
      <c r="D1037" s="15">
        <f>IFERROR(__xludf.DUMMYFUNCTION("""COMPUTED_VALUE"""),1.016)</f>
        <v>1.016</v>
      </c>
      <c r="E1037" s="16">
        <f>IFERROR(__xludf.DUMMYFUNCTION("""COMPUTED_VALUE"""),65.0)</f>
        <v>65</v>
      </c>
      <c r="F1037" s="19" t="str">
        <f>IFERROR(__xludf.DUMMYFUNCTION("""COMPUTED_VALUE"""),"BLACK")</f>
        <v>BLACK</v>
      </c>
      <c r="G1037" s="20" t="str">
        <f>IFERROR(__xludf.DUMMYFUNCTION("""COMPUTED_VALUE"""),"Tap 6 Clone (10/15/2021)")</f>
        <v>Tap 6 Clone (10/15/2021)</v>
      </c>
      <c r="H1037" s="19"/>
    </row>
    <row r="1038">
      <c r="A1038" s="9"/>
      <c r="B1038" s="15"/>
      <c r="C1038" s="9">
        <f>IFERROR(__xludf.DUMMYFUNCTION("""COMPUTED_VALUE"""),44500.8912934722)</f>
        <v>44500.89129</v>
      </c>
      <c r="D1038" s="15">
        <f>IFERROR(__xludf.DUMMYFUNCTION("""COMPUTED_VALUE"""),1.016)</f>
        <v>1.016</v>
      </c>
      <c r="E1038" s="16">
        <f>IFERROR(__xludf.DUMMYFUNCTION("""COMPUTED_VALUE"""),65.0)</f>
        <v>65</v>
      </c>
      <c r="F1038" s="19" t="str">
        <f>IFERROR(__xludf.DUMMYFUNCTION("""COMPUTED_VALUE"""),"BLACK")</f>
        <v>BLACK</v>
      </c>
      <c r="G1038" s="20" t="str">
        <f>IFERROR(__xludf.DUMMYFUNCTION("""COMPUTED_VALUE"""),"Tap 6 Clone (10/15/2021)")</f>
        <v>Tap 6 Clone (10/15/2021)</v>
      </c>
      <c r="H1038" s="19"/>
    </row>
    <row r="1039">
      <c r="A1039" s="9"/>
      <c r="B1039" s="15"/>
      <c r="C1039" s="9">
        <f>IFERROR(__xludf.DUMMYFUNCTION("""COMPUTED_VALUE"""),44500.8808732176)</f>
        <v>44500.88087</v>
      </c>
      <c r="D1039" s="15">
        <f>IFERROR(__xludf.DUMMYFUNCTION("""COMPUTED_VALUE"""),1.015)</f>
        <v>1.015</v>
      </c>
      <c r="E1039" s="16">
        <f>IFERROR(__xludf.DUMMYFUNCTION("""COMPUTED_VALUE"""),65.0)</f>
        <v>65</v>
      </c>
      <c r="F1039" s="19" t="str">
        <f>IFERROR(__xludf.DUMMYFUNCTION("""COMPUTED_VALUE"""),"BLACK")</f>
        <v>BLACK</v>
      </c>
      <c r="G1039" s="20" t="str">
        <f>IFERROR(__xludf.DUMMYFUNCTION("""COMPUTED_VALUE"""),"Tap 6 Clone (10/15/2021)")</f>
        <v>Tap 6 Clone (10/15/2021)</v>
      </c>
      <c r="H1039" s="19"/>
    </row>
    <row r="1040">
      <c r="A1040" s="9"/>
      <c r="B1040" s="15"/>
      <c r="C1040" s="9">
        <f>IFERROR(__xludf.DUMMYFUNCTION("""COMPUTED_VALUE"""),44500.8704517476)</f>
        <v>44500.87045</v>
      </c>
      <c r="D1040" s="15">
        <f>IFERROR(__xludf.DUMMYFUNCTION("""COMPUTED_VALUE"""),1.015)</f>
        <v>1.015</v>
      </c>
      <c r="E1040" s="16">
        <f>IFERROR(__xludf.DUMMYFUNCTION("""COMPUTED_VALUE"""),65.0)</f>
        <v>65</v>
      </c>
      <c r="F1040" s="19" t="str">
        <f>IFERROR(__xludf.DUMMYFUNCTION("""COMPUTED_VALUE"""),"BLACK")</f>
        <v>BLACK</v>
      </c>
      <c r="G1040" s="20" t="str">
        <f>IFERROR(__xludf.DUMMYFUNCTION("""COMPUTED_VALUE"""),"Tap 6 Clone (10/15/2021)")</f>
        <v>Tap 6 Clone (10/15/2021)</v>
      </c>
      <c r="H1040" s="19"/>
    </row>
    <row r="1041">
      <c r="A1041" s="9"/>
      <c r="B1041" s="15"/>
      <c r="C1041" s="9">
        <f>IFERROR(__xludf.DUMMYFUNCTION("""COMPUTED_VALUE"""),44500.8600294907)</f>
        <v>44500.86003</v>
      </c>
      <c r="D1041" s="15">
        <f>IFERROR(__xludf.DUMMYFUNCTION("""COMPUTED_VALUE"""),1.015)</f>
        <v>1.015</v>
      </c>
      <c r="E1041" s="16">
        <f>IFERROR(__xludf.DUMMYFUNCTION("""COMPUTED_VALUE"""),65.0)</f>
        <v>65</v>
      </c>
      <c r="F1041" s="19" t="str">
        <f>IFERROR(__xludf.DUMMYFUNCTION("""COMPUTED_VALUE"""),"BLACK")</f>
        <v>BLACK</v>
      </c>
      <c r="G1041" s="20" t="str">
        <f>IFERROR(__xludf.DUMMYFUNCTION("""COMPUTED_VALUE"""),"Tap 6 Clone (10/15/2021)")</f>
        <v>Tap 6 Clone (10/15/2021)</v>
      </c>
      <c r="H1041" s="19"/>
    </row>
    <row r="1042">
      <c r="A1042" s="9"/>
      <c r="B1042" s="15"/>
      <c r="C1042" s="9">
        <f>IFERROR(__xludf.DUMMYFUNCTION("""COMPUTED_VALUE"""),44500.8496099652)</f>
        <v>44500.84961</v>
      </c>
      <c r="D1042" s="15">
        <f>IFERROR(__xludf.DUMMYFUNCTION("""COMPUTED_VALUE"""),1.015)</f>
        <v>1.015</v>
      </c>
      <c r="E1042" s="16">
        <f>IFERROR(__xludf.DUMMYFUNCTION("""COMPUTED_VALUE"""),65.0)</f>
        <v>65</v>
      </c>
      <c r="F1042" s="19" t="str">
        <f>IFERROR(__xludf.DUMMYFUNCTION("""COMPUTED_VALUE"""),"BLACK")</f>
        <v>BLACK</v>
      </c>
      <c r="G1042" s="20" t="str">
        <f>IFERROR(__xludf.DUMMYFUNCTION("""COMPUTED_VALUE"""),"Tap 6 Clone (10/15/2021)")</f>
        <v>Tap 6 Clone (10/15/2021)</v>
      </c>
      <c r="H1042" s="19"/>
    </row>
    <row r="1043">
      <c r="A1043" s="9"/>
      <c r="B1043" s="15"/>
      <c r="C1043" s="9">
        <f>IFERROR(__xludf.DUMMYFUNCTION("""COMPUTED_VALUE"""),44500.8391649768)</f>
        <v>44500.83916</v>
      </c>
      <c r="D1043" s="15">
        <f>IFERROR(__xludf.DUMMYFUNCTION("""COMPUTED_VALUE"""),1.015)</f>
        <v>1.015</v>
      </c>
      <c r="E1043" s="16">
        <f>IFERROR(__xludf.DUMMYFUNCTION("""COMPUTED_VALUE"""),65.0)</f>
        <v>65</v>
      </c>
      <c r="F1043" s="19" t="str">
        <f>IFERROR(__xludf.DUMMYFUNCTION("""COMPUTED_VALUE"""),"BLACK")</f>
        <v>BLACK</v>
      </c>
      <c r="G1043" s="20" t="str">
        <f>IFERROR(__xludf.DUMMYFUNCTION("""COMPUTED_VALUE"""),"Tap 6 Clone (10/15/2021)")</f>
        <v>Tap 6 Clone (10/15/2021)</v>
      </c>
      <c r="H1043" s="19"/>
    </row>
    <row r="1044">
      <c r="A1044" s="9"/>
      <c r="B1044" s="15"/>
      <c r="C1044" s="9">
        <f>IFERROR(__xludf.DUMMYFUNCTION("""COMPUTED_VALUE"""),44500.8287442708)</f>
        <v>44500.82874</v>
      </c>
      <c r="D1044" s="15">
        <f>IFERROR(__xludf.DUMMYFUNCTION("""COMPUTED_VALUE"""),1.015)</f>
        <v>1.015</v>
      </c>
      <c r="E1044" s="16">
        <f>IFERROR(__xludf.DUMMYFUNCTION("""COMPUTED_VALUE"""),65.0)</f>
        <v>65</v>
      </c>
      <c r="F1044" s="19" t="str">
        <f>IFERROR(__xludf.DUMMYFUNCTION("""COMPUTED_VALUE"""),"BLACK")</f>
        <v>BLACK</v>
      </c>
      <c r="G1044" s="20" t="str">
        <f>IFERROR(__xludf.DUMMYFUNCTION("""COMPUTED_VALUE"""),"Tap 6 Clone (10/15/2021)")</f>
        <v>Tap 6 Clone (10/15/2021)</v>
      </c>
      <c r="H1044" s="19"/>
    </row>
    <row r="1045">
      <c r="A1045" s="9"/>
      <c r="B1045" s="15"/>
      <c r="C1045" s="9">
        <f>IFERROR(__xludf.DUMMYFUNCTION("""COMPUTED_VALUE"""),44500.8183115972)</f>
        <v>44500.81831</v>
      </c>
      <c r="D1045" s="15">
        <f>IFERROR(__xludf.DUMMYFUNCTION("""COMPUTED_VALUE"""),1.015)</f>
        <v>1.015</v>
      </c>
      <c r="E1045" s="16">
        <f>IFERROR(__xludf.DUMMYFUNCTION("""COMPUTED_VALUE"""),65.0)</f>
        <v>65</v>
      </c>
      <c r="F1045" s="19" t="str">
        <f>IFERROR(__xludf.DUMMYFUNCTION("""COMPUTED_VALUE"""),"BLACK")</f>
        <v>BLACK</v>
      </c>
      <c r="G1045" s="20" t="str">
        <f>IFERROR(__xludf.DUMMYFUNCTION("""COMPUTED_VALUE"""),"Tap 6 Clone (10/15/2021)")</f>
        <v>Tap 6 Clone (10/15/2021)</v>
      </c>
      <c r="H1045" s="19"/>
    </row>
    <row r="1046">
      <c r="A1046" s="9"/>
      <c r="B1046" s="15"/>
      <c r="C1046" s="9">
        <f>IFERROR(__xludf.DUMMYFUNCTION("""COMPUTED_VALUE"""),44500.8078895023)</f>
        <v>44500.80789</v>
      </c>
      <c r="D1046" s="15">
        <f>IFERROR(__xludf.DUMMYFUNCTION("""COMPUTED_VALUE"""),1.014)</f>
        <v>1.014</v>
      </c>
      <c r="E1046" s="16">
        <f>IFERROR(__xludf.DUMMYFUNCTION("""COMPUTED_VALUE"""),65.0)</f>
        <v>65</v>
      </c>
      <c r="F1046" s="19" t="str">
        <f>IFERROR(__xludf.DUMMYFUNCTION("""COMPUTED_VALUE"""),"BLACK")</f>
        <v>BLACK</v>
      </c>
      <c r="G1046" s="20" t="str">
        <f>IFERROR(__xludf.DUMMYFUNCTION("""COMPUTED_VALUE"""),"Tap 6 Clone (10/15/2021)")</f>
        <v>Tap 6 Clone (10/15/2021)</v>
      </c>
      <c r="H1046" s="19"/>
    </row>
    <row r="1047">
      <c r="A1047" s="9"/>
      <c r="B1047" s="15"/>
      <c r="C1047" s="9">
        <f>IFERROR(__xludf.DUMMYFUNCTION("""COMPUTED_VALUE"""),44500.7974457175)</f>
        <v>44500.79745</v>
      </c>
      <c r="D1047" s="15">
        <f>IFERROR(__xludf.DUMMYFUNCTION("""COMPUTED_VALUE"""),1.015)</f>
        <v>1.015</v>
      </c>
      <c r="E1047" s="16">
        <f>IFERROR(__xludf.DUMMYFUNCTION("""COMPUTED_VALUE"""),65.0)</f>
        <v>65</v>
      </c>
      <c r="F1047" s="19" t="str">
        <f>IFERROR(__xludf.DUMMYFUNCTION("""COMPUTED_VALUE"""),"BLACK")</f>
        <v>BLACK</v>
      </c>
      <c r="G1047" s="20" t="str">
        <f>IFERROR(__xludf.DUMMYFUNCTION("""COMPUTED_VALUE"""),"Tap 6 Clone (10/15/2021)")</f>
        <v>Tap 6 Clone (10/15/2021)</v>
      </c>
      <c r="H1047" s="19"/>
    </row>
    <row r="1048">
      <c r="A1048" s="9"/>
      <c r="B1048" s="15"/>
      <c r="C1048" s="9">
        <f>IFERROR(__xludf.DUMMYFUNCTION("""COMPUTED_VALUE"""),44500.787024699)</f>
        <v>44500.78702</v>
      </c>
      <c r="D1048" s="15">
        <f>IFERROR(__xludf.DUMMYFUNCTION("""COMPUTED_VALUE"""),1.014)</f>
        <v>1.014</v>
      </c>
      <c r="E1048" s="16">
        <f>IFERROR(__xludf.DUMMYFUNCTION("""COMPUTED_VALUE"""),65.0)</f>
        <v>65</v>
      </c>
      <c r="F1048" s="19" t="str">
        <f>IFERROR(__xludf.DUMMYFUNCTION("""COMPUTED_VALUE"""),"BLACK")</f>
        <v>BLACK</v>
      </c>
      <c r="G1048" s="20" t="str">
        <f>IFERROR(__xludf.DUMMYFUNCTION("""COMPUTED_VALUE"""),"Tap 6 Clone (10/15/2021)")</f>
        <v>Tap 6 Clone (10/15/2021)</v>
      </c>
      <c r="H1048" s="19"/>
    </row>
    <row r="1049">
      <c r="A1049" s="9"/>
      <c r="B1049" s="15"/>
      <c r="C1049" s="9">
        <f>IFERROR(__xludf.DUMMYFUNCTION("""COMPUTED_VALUE"""),44500.7766036226)</f>
        <v>44500.7766</v>
      </c>
      <c r="D1049" s="15">
        <f>IFERROR(__xludf.DUMMYFUNCTION("""COMPUTED_VALUE"""),1.015)</f>
        <v>1.015</v>
      </c>
      <c r="E1049" s="16">
        <f>IFERROR(__xludf.DUMMYFUNCTION("""COMPUTED_VALUE"""),65.0)</f>
        <v>65</v>
      </c>
      <c r="F1049" s="19" t="str">
        <f>IFERROR(__xludf.DUMMYFUNCTION("""COMPUTED_VALUE"""),"BLACK")</f>
        <v>BLACK</v>
      </c>
      <c r="G1049" s="20" t="str">
        <f>IFERROR(__xludf.DUMMYFUNCTION("""COMPUTED_VALUE"""),"Tap 6 Clone (10/15/2021)")</f>
        <v>Tap 6 Clone (10/15/2021)</v>
      </c>
      <c r="H1049" s="19"/>
    </row>
    <row r="1050">
      <c r="A1050" s="9"/>
      <c r="B1050" s="15"/>
      <c r="C1050" s="9">
        <f>IFERROR(__xludf.DUMMYFUNCTION("""COMPUTED_VALUE"""),44500.766171493)</f>
        <v>44500.76617</v>
      </c>
      <c r="D1050" s="15">
        <f>IFERROR(__xludf.DUMMYFUNCTION("""COMPUTED_VALUE"""),1.014)</f>
        <v>1.014</v>
      </c>
      <c r="E1050" s="16">
        <f>IFERROR(__xludf.DUMMYFUNCTION("""COMPUTED_VALUE"""),65.0)</f>
        <v>65</v>
      </c>
      <c r="F1050" s="19" t="str">
        <f>IFERROR(__xludf.DUMMYFUNCTION("""COMPUTED_VALUE"""),"BLACK")</f>
        <v>BLACK</v>
      </c>
      <c r="G1050" s="20" t="str">
        <f>IFERROR(__xludf.DUMMYFUNCTION("""COMPUTED_VALUE"""),"Tap 6 Clone (10/15/2021)")</f>
        <v>Tap 6 Clone (10/15/2021)</v>
      </c>
      <c r="H1050" s="19"/>
    </row>
    <row r="1051">
      <c r="A1051" s="9"/>
      <c r="B1051" s="15"/>
      <c r="C1051" s="9">
        <f>IFERROR(__xludf.DUMMYFUNCTION("""COMPUTED_VALUE"""),44500.7557397338)</f>
        <v>44500.75574</v>
      </c>
      <c r="D1051" s="15">
        <f>IFERROR(__xludf.DUMMYFUNCTION("""COMPUTED_VALUE"""),1.015)</f>
        <v>1.015</v>
      </c>
      <c r="E1051" s="16">
        <f>IFERROR(__xludf.DUMMYFUNCTION("""COMPUTED_VALUE"""),65.0)</f>
        <v>65</v>
      </c>
      <c r="F1051" s="19" t="str">
        <f>IFERROR(__xludf.DUMMYFUNCTION("""COMPUTED_VALUE"""),"BLACK")</f>
        <v>BLACK</v>
      </c>
      <c r="G1051" s="20" t="str">
        <f>IFERROR(__xludf.DUMMYFUNCTION("""COMPUTED_VALUE"""),"Tap 6 Clone (10/15/2021)")</f>
        <v>Tap 6 Clone (10/15/2021)</v>
      </c>
      <c r="H1051" s="19"/>
    </row>
    <row r="1052">
      <c r="A1052" s="9"/>
      <c r="B1052" s="15"/>
      <c r="C1052" s="9">
        <f>IFERROR(__xludf.DUMMYFUNCTION("""COMPUTED_VALUE"""),44500.7453188541)</f>
        <v>44500.74532</v>
      </c>
      <c r="D1052" s="15">
        <f>IFERROR(__xludf.DUMMYFUNCTION("""COMPUTED_VALUE"""),1.014)</f>
        <v>1.014</v>
      </c>
      <c r="E1052" s="16">
        <f>IFERROR(__xludf.DUMMYFUNCTION("""COMPUTED_VALUE"""),65.0)</f>
        <v>65</v>
      </c>
      <c r="F1052" s="19" t="str">
        <f>IFERROR(__xludf.DUMMYFUNCTION("""COMPUTED_VALUE"""),"BLACK")</f>
        <v>BLACK</v>
      </c>
      <c r="G1052" s="20" t="str">
        <f>IFERROR(__xludf.DUMMYFUNCTION("""COMPUTED_VALUE"""),"Tap 6 Clone (10/15/2021)")</f>
        <v>Tap 6 Clone (10/15/2021)</v>
      </c>
      <c r="H1052" s="19"/>
    </row>
    <row r="1053">
      <c r="A1053" s="9"/>
      <c r="B1053" s="15"/>
      <c r="C1053" s="9">
        <f>IFERROR(__xludf.DUMMYFUNCTION("""COMPUTED_VALUE"""),44500.7348989814)</f>
        <v>44500.7349</v>
      </c>
      <c r="D1053" s="15">
        <f>IFERROR(__xludf.DUMMYFUNCTION("""COMPUTED_VALUE"""),1.015)</f>
        <v>1.015</v>
      </c>
      <c r="E1053" s="16">
        <f>IFERROR(__xludf.DUMMYFUNCTION("""COMPUTED_VALUE"""),65.0)</f>
        <v>65</v>
      </c>
      <c r="F1053" s="19" t="str">
        <f>IFERROR(__xludf.DUMMYFUNCTION("""COMPUTED_VALUE"""),"BLACK")</f>
        <v>BLACK</v>
      </c>
      <c r="G1053" s="20" t="str">
        <f>IFERROR(__xludf.DUMMYFUNCTION("""COMPUTED_VALUE"""),"Tap 6 Clone (10/15/2021)")</f>
        <v>Tap 6 Clone (10/15/2021)</v>
      </c>
      <c r="H1053" s="19"/>
    </row>
    <row r="1054">
      <c r="A1054" s="9"/>
      <c r="B1054" s="15"/>
      <c r="C1054" s="9">
        <f>IFERROR(__xludf.DUMMYFUNCTION("""COMPUTED_VALUE"""),44500.7244790625)</f>
        <v>44500.72448</v>
      </c>
      <c r="D1054" s="15">
        <f>IFERROR(__xludf.DUMMYFUNCTION("""COMPUTED_VALUE"""),1.015)</f>
        <v>1.015</v>
      </c>
      <c r="E1054" s="16">
        <f>IFERROR(__xludf.DUMMYFUNCTION("""COMPUTED_VALUE"""),65.0)</f>
        <v>65</v>
      </c>
      <c r="F1054" s="19" t="str">
        <f>IFERROR(__xludf.DUMMYFUNCTION("""COMPUTED_VALUE"""),"BLACK")</f>
        <v>BLACK</v>
      </c>
      <c r="G1054" s="20" t="str">
        <f>IFERROR(__xludf.DUMMYFUNCTION("""COMPUTED_VALUE"""),"Tap 6 Clone (10/15/2021)")</f>
        <v>Tap 6 Clone (10/15/2021)</v>
      </c>
      <c r="H1054" s="19"/>
    </row>
    <row r="1055">
      <c r="A1055" s="9"/>
      <c r="B1055" s="15"/>
      <c r="C1055" s="9">
        <f>IFERROR(__xludf.DUMMYFUNCTION("""COMPUTED_VALUE"""),44500.7140206944)</f>
        <v>44500.71402</v>
      </c>
      <c r="D1055" s="15">
        <f>IFERROR(__xludf.DUMMYFUNCTION("""COMPUTED_VALUE"""),1.015)</f>
        <v>1.015</v>
      </c>
      <c r="E1055" s="16">
        <f>IFERROR(__xludf.DUMMYFUNCTION("""COMPUTED_VALUE"""),65.0)</f>
        <v>65</v>
      </c>
      <c r="F1055" s="19" t="str">
        <f>IFERROR(__xludf.DUMMYFUNCTION("""COMPUTED_VALUE"""),"BLACK")</f>
        <v>BLACK</v>
      </c>
      <c r="G1055" s="20" t="str">
        <f>IFERROR(__xludf.DUMMYFUNCTION("""COMPUTED_VALUE"""),"Tap 6 Clone (10/15/2021)")</f>
        <v>Tap 6 Clone (10/15/2021)</v>
      </c>
      <c r="H1055" s="19"/>
    </row>
    <row r="1056">
      <c r="A1056" s="9"/>
      <c r="B1056" s="15"/>
      <c r="C1056" s="9">
        <f>IFERROR(__xludf.DUMMYFUNCTION("""COMPUTED_VALUE"""),44500.7036018287)</f>
        <v>44500.7036</v>
      </c>
      <c r="D1056" s="15">
        <f>IFERROR(__xludf.DUMMYFUNCTION("""COMPUTED_VALUE"""),1.015)</f>
        <v>1.015</v>
      </c>
      <c r="E1056" s="16">
        <f>IFERROR(__xludf.DUMMYFUNCTION("""COMPUTED_VALUE"""),65.0)</f>
        <v>65</v>
      </c>
      <c r="F1056" s="19" t="str">
        <f>IFERROR(__xludf.DUMMYFUNCTION("""COMPUTED_VALUE"""),"BLACK")</f>
        <v>BLACK</v>
      </c>
      <c r="G1056" s="20" t="str">
        <f>IFERROR(__xludf.DUMMYFUNCTION("""COMPUTED_VALUE"""),"Tap 6 Clone (10/15/2021)")</f>
        <v>Tap 6 Clone (10/15/2021)</v>
      </c>
      <c r="H1056" s="19"/>
    </row>
    <row r="1057">
      <c r="A1057" s="9"/>
      <c r="B1057" s="15"/>
      <c r="C1057" s="9">
        <f>IFERROR(__xludf.DUMMYFUNCTION("""COMPUTED_VALUE"""),44500.6931818634)</f>
        <v>44500.69318</v>
      </c>
      <c r="D1057" s="15">
        <f>IFERROR(__xludf.DUMMYFUNCTION("""COMPUTED_VALUE"""),1.015)</f>
        <v>1.015</v>
      </c>
      <c r="E1057" s="16">
        <f>IFERROR(__xludf.DUMMYFUNCTION("""COMPUTED_VALUE"""),65.0)</f>
        <v>65</v>
      </c>
      <c r="F1057" s="19" t="str">
        <f>IFERROR(__xludf.DUMMYFUNCTION("""COMPUTED_VALUE"""),"BLACK")</f>
        <v>BLACK</v>
      </c>
      <c r="G1057" s="20" t="str">
        <f>IFERROR(__xludf.DUMMYFUNCTION("""COMPUTED_VALUE"""),"Tap 6 Clone (10/15/2021)")</f>
        <v>Tap 6 Clone (10/15/2021)</v>
      </c>
      <c r="H1057" s="19"/>
    </row>
    <row r="1058">
      <c r="A1058" s="9"/>
      <c r="B1058" s="15"/>
      <c r="C1058" s="9">
        <f>IFERROR(__xludf.DUMMYFUNCTION("""COMPUTED_VALUE"""),44500.682761331)</f>
        <v>44500.68276</v>
      </c>
      <c r="D1058" s="15">
        <f>IFERROR(__xludf.DUMMYFUNCTION("""COMPUTED_VALUE"""),1.015)</f>
        <v>1.015</v>
      </c>
      <c r="E1058" s="16">
        <f>IFERROR(__xludf.DUMMYFUNCTION("""COMPUTED_VALUE"""),65.0)</f>
        <v>65</v>
      </c>
      <c r="F1058" s="19" t="str">
        <f>IFERROR(__xludf.DUMMYFUNCTION("""COMPUTED_VALUE"""),"BLACK")</f>
        <v>BLACK</v>
      </c>
      <c r="G1058" s="20" t="str">
        <f>IFERROR(__xludf.DUMMYFUNCTION("""COMPUTED_VALUE"""),"Tap 6 Clone (10/15/2021)")</f>
        <v>Tap 6 Clone (10/15/2021)</v>
      </c>
      <c r="H1058" s="19"/>
    </row>
    <row r="1059">
      <c r="A1059" s="9"/>
      <c r="B1059" s="15"/>
      <c r="C1059" s="9">
        <f>IFERROR(__xludf.DUMMYFUNCTION("""COMPUTED_VALUE"""),44500.6723391666)</f>
        <v>44500.67234</v>
      </c>
      <c r="D1059" s="15">
        <f>IFERROR(__xludf.DUMMYFUNCTION("""COMPUTED_VALUE"""),1.015)</f>
        <v>1.015</v>
      </c>
      <c r="E1059" s="16">
        <f>IFERROR(__xludf.DUMMYFUNCTION("""COMPUTED_VALUE"""),65.0)</f>
        <v>65</v>
      </c>
      <c r="F1059" s="19" t="str">
        <f>IFERROR(__xludf.DUMMYFUNCTION("""COMPUTED_VALUE"""),"BLACK")</f>
        <v>BLACK</v>
      </c>
      <c r="G1059" s="20" t="str">
        <f>IFERROR(__xludf.DUMMYFUNCTION("""COMPUTED_VALUE"""),"Tap 6 Clone (10/15/2021)")</f>
        <v>Tap 6 Clone (10/15/2021)</v>
      </c>
      <c r="H1059" s="19"/>
    </row>
    <row r="1060">
      <c r="A1060" s="9"/>
      <c r="B1060" s="15"/>
      <c r="C1060" s="9">
        <f>IFERROR(__xludf.DUMMYFUNCTION("""COMPUTED_VALUE"""),44500.6619181018)</f>
        <v>44500.66192</v>
      </c>
      <c r="D1060" s="15">
        <f>IFERROR(__xludf.DUMMYFUNCTION("""COMPUTED_VALUE"""),1.015)</f>
        <v>1.015</v>
      </c>
      <c r="E1060" s="16">
        <f>IFERROR(__xludf.DUMMYFUNCTION("""COMPUTED_VALUE"""),65.0)</f>
        <v>65</v>
      </c>
      <c r="F1060" s="19" t="str">
        <f>IFERROR(__xludf.DUMMYFUNCTION("""COMPUTED_VALUE"""),"BLACK")</f>
        <v>BLACK</v>
      </c>
      <c r="G1060" s="20" t="str">
        <f>IFERROR(__xludf.DUMMYFUNCTION("""COMPUTED_VALUE"""),"Tap 6 Clone (10/15/2021)")</f>
        <v>Tap 6 Clone (10/15/2021)</v>
      </c>
      <c r="H1060" s="19"/>
    </row>
    <row r="1061">
      <c r="A1061" s="9"/>
      <c r="B1061" s="15"/>
      <c r="C1061" s="9">
        <f>IFERROR(__xludf.DUMMYFUNCTION("""COMPUTED_VALUE"""),44500.6514972685)</f>
        <v>44500.6515</v>
      </c>
      <c r="D1061" s="15">
        <f>IFERROR(__xludf.DUMMYFUNCTION("""COMPUTED_VALUE"""),1.015)</f>
        <v>1.015</v>
      </c>
      <c r="E1061" s="16">
        <f>IFERROR(__xludf.DUMMYFUNCTION("""COMPUTED_VALUE"""),65.0)</f>
        <v>65</v>
      </c>
      <c r="F1061" s="19" t="str">
        <f>IFERROR(__xludf.DUMMYFUNCTION("""COMPUTED_VALUE"""),"BLACK")</f>
        <v>BLACK</v>
      </c>
      <c r="G1061" s="20" t="str">
        <f>IFERROR(__xludf.DUMMYFUNCTION("""COMPUTED_VALUE"""),"Tap 6 Clone (10/15/2021)")</f>
        <v>Tap 6 Clone (10/15/2021)</v>
      </c>
      <c r="H1061" s="19"/>
    </row>
    <row r="1062">
      <c r="A1062" s="9"/>
      <c r="B1062" s="15"/>
      <c r="C1062" s="9">
        <f>IFERROR(__xludf.DUMMYFUNCTION("""COMPUTED_VALUE"""),44500.6410756712)</f>
        <v>44500.64108</v>
      </c>
      <c r="D1062" s="15">
        <f>IFERROR(__xludf.DUMMYFUNCTION("""COMPUTED_VALUE"""),1.015)</f>
        <v>1.015</v>
      </c>
      <c r="E1062" s="16">
        <f>IFERROR(__xludf.DUMMYFUNCTION("""COMPUTED_VALUE"""),65.0)</f>
        <v>65</v>
      </c>
      <c r="F1062" s="19" t="str">
        <f>IFERROR(__xludf.DUMMYFUNCTION("""COMPUTED_VALUE"""),"BLACK")</f>
        <v>BLACK</v>
      </c>
      <c r="G1062" s="20" t="str">
        <f>IFERROR(__xludf.DUMMYFUNCTION("""COMPUTED_VALUE"""),"Tap 6 Clone (10/15/2021)")</f>
        <v>Tap 6 Clone (10/15/2021)</v>
      </c>
      <c r="H1062" s="19"/>
    </row>
    <row r="1063">
      <c r="A1063" s="9"/>
      <c r="B1063" s="15"/>
      <c r="C1063" s="9">
        <f>IFERROR(__xludf.DUMMYFUNCTION("""COMPUTED_VALUE"""),44500.6306435995)</f>
        <v>44500.63064</v>
      </c>
      <c r="D1063" s="15">
        <f>IFERROR(__xludf.DUMMYFUNCTION("""COMPUTED_VALUE"""),1.014)</f>
        <v>1.014</v>
      </c>
      <c r="E1063" s="16">
        <f>IFERROR(__xludf.DUMMYFUNCTION("""COMPUTED_VALUE"""),65.0)</f>
        <v>65</v>
      </c>
      <c r="F1063" s="19" t="str">
        <f>IFERROR(__xludf.DUMMYFUNCTION("""COMPUTED_VALUE"""),"BLACK")</f>
        <v>BLACK</v>
      </c>
      <c r="G1063" s="20" t="str">
        <f>IFERROR(__xludf.DUMMYFUNCTION("""COMPUTED_VALUE"""),"Tap 6 Clone (10/15/2021)")</f>
        <v>Tap 6 Clone (10/15/2021)</v>
      </c>
      <c r="H1063" s="19"/>
    </row>
    <row r="1064">
      <c r="A1064" s="9"/>
      <c r="B1064" s="15"/>
      <c r="C1064" s="9">
        <f>IFERROR(__xludf.DUMMYFUNCTION("""COMPUTED_VALUE"""),44500.6202218518)</f>
        <v>44500.62022</v>
      </c>
      <c r="D1064" s="15">
        <f>IFERROR(__xludf.DUMMYFUNCTION("""COMPUTED_VALUE"""),1.015)</f>
        <v>1.015</v>
      </c>
      <c r="E1064" s="16">
        <f>IFERROR(__xludf.DUMMYFUNCTION("""COMPUTED_VALUE"""),65.0)</f>
        <v>65</v>
      </c>
      <c r="F1064" s="19" t="str">
        <f>IFERROR(__xludf.DUMMYFUNCTION("""COMPUTED_VALUE"""),"BLACK")</f>
        <v>BLACK</v>
      </c>
      <c r="G1064" s="20" t="str">
        <f>IFERROR(__xludf.DUMMYFUNCTION("""COMPUTED_VALUE"""),"Tap 6 Clone (10/15/2021)")</f>
        <v>Tap 6 Clone (10/15/2021)</v>
      </c>
      <c r="H1064" s="19"/>
    </row>
    <row r="1065">
      <c r="A1065" s="9"/>
      <c r="B1065" s="15"/>
      <c r="C1065" s="9">
        <f>IFERROR(__xludf.DUMMYFUNCTION("""COMPUTED_VALUE"""),44500.609800787)</f>
        <v>44500.6098</v>
      </c>
      <c r="D1065" s="15">
        <f>IFERROR(__xludf.DUMMYFUNCTION("""COMPUTED_VALUE"""),1.015)</f>
        <v>1.015</v>
      </c>
      <c r="E1065" s="16">
        <f>IFERROR(__xludf.DUMMYFUNCTION("""COMPUTED_VALUE"""),65.0)</f>
        <v>65</v>
      </c>
      <c r="F1065" s="19" t="str">
        <f>IFERROR(__xludf.DUMMYFUNCTION("""COMPUTED_VALUE"""),"BLACK")</f>
        <v>BLACK</v>
      </c>
      <c r="G1065" s="20" t="str">
        <f>IFERROR(__xludf.DUMMYFUNCTION("""COMPUTED_VALUE"""),"Tap 6 Clone (10/15/2021)")</f>
        <v>Tap 6 Clone (10/15/2021)</v>
      </c>
      <c r="H1065" s="19"/>
    </row>
    <row r="1066">
      <c r="A1066" s="9"/>
      <c r="B1066" s="15"/>
      <c r="C1066" s="9">
        <f>IFERROR(__xludf.DUMMYFUNCTION("""COMPUTED_VALUE"""),44500.5993683564)</f>
        <v>44500.59937</v>
      </c>
      <c r="D1066" s="15">
        <f>IFERROR(__xludf.DUMMYFUNCTION("""COMPUTED_VALUE"""),1.015)</f>
        <v>1.015</v>
      </c>
      <c r="E1066" s="16">
        <f>IFERROR(__xludf.DUMMYFUNCTION("""COMPUTED_VALUE"""),65.0)</f>
        <v>65</v>
      </c>
      <c r="F1066" s="19" t="str">
        <f>IFERROR(__xludf.DUMMYFUNCTION("""COMPUTED_VALUE"""),"BLACK")</f>
        <v>BLACK</v>
      </c>
      <c r="G1066" s="20" t="str">
        <f>IFERROR(__xludf.DUMMYFUNCTION("""COMPUTED_VALUE"""),"Tap 6 Clone (10/15/2021)")</f>
        <v>Tap 6 Clone (10/15/2021)</v>
      </c>
      <c r="H1066" s="19"/>
    </row>
    <row r="1067">
      <c r="A1067" s="9"/>
      <c r="B1067" s="15"/>
      <c r="C1067" s="9">
        <f>IFERROR(__xludf.DUMMYFUNCTION("""COMPUTED_VALUE"""),44500.588935243)</f>
        <v>44500.58894</v>
      </c>
      <c r="D1067" s="15">
        <f>IFERROR(__xludf.DUMMYFUNCTION("""COMPUTED_VALUE"""),1.014)</f>
        <v>1.014</v>
      </c>
      <c r="E1067" s="16">
        <f>IFERROR(__xludf.DUMMYFUNCTION("""COMPUTED_VALUE"""),65.0)</f>
        <v>65</v>
      </c>
      <c r="F1067" s="19" t="str">
        <f>IFERROR(__xludf.DUMMYFUNCTION("""COMPUTED_VALUE"""),"BLACK")</f>
        <v>BLACK</v>
      </c>
      <c r="G1067" s="20" t="str">
        <f>IFERROR(__xludf.DUMMYFUNCTION("""COMPUTED_VALUE"""),"Tap 6 Clone (10/15/2021)")</f>
        <v>Tap 6 Clone (10/15/2021)</v>
      </c>
      <c r="H1067" s="19"/>
    </row>
    <row r="1068">
      <c r="A1068" s="9"/>
      <c r="B1068" s="15"/>
      <c r="C1068" s="9">
        <f>IFERROR(__xludf.DUMMYFUNCTION("""COMPUTED_VALUE"""),44500.5785034375)</f>
        <v>44500.5785</v>
      </c>
      <c r="D1068" s="15">
        <f>IFERROR(__xludf.DUMMYFUNCTION("""COMPUTED_VALUE"""),1.015)</f>
        <v>1.015</v>
      </c>
      <c r="E1068" s="16">
        <f>IFERROR(__xludf.DUMMYFUNCTION("""COMPUTED_VALUE"""),65.0)</f>
        <v>65</v>
      </c>
      <c r="F1068" s="19" t="str">
        <f>IFERROR(__xludf.DUMMYFUNCTION("""COMPUTED_VALUE"""),"BLACK")</f>
        <v>BLACK</v>
      </c>
      <c r="G1068" s="20" t="str">
        <f>IFERROR(__xludf.DUMMYFUNCTION("""COMPUTED_VALUE"""),"Tap 6 Clone (10/15/2021)")</f>
        <v>Tap 6 Clone (10/15/2021)</v>
      </c>
      <c r="H1068" s="19"/>
    </row>
    <row r="1069">
      <c r="A1069" s="9"/>
      <c r="B1069" s="15"/>
      <c r="C1069" s="9">
        <f>IFERROR(__xludf.DUMMYFUNCTION("""COMPUTED_VALUE"""),44500.5680811805)</f>
        <v>44500.56808</v>
      </c>
      <c r="D1069" s="15">
        <f>IFERROR(__xludf.DUMMYFUNCTION("""COMPUTED_VALUE"""),1.014)</f>
        <v>1.014</v>
      </c>
      <c r="E1069" s="16">
        <f>IFERROR(__xludf.DUMMYFUNCTION("""COMPUTED_VALUE"""),65.0)</f>
        <v>65</v>
      </c>
      <c r="F1069" s="19" t="str">
        <f>IFERROR(__xludf.DUMMYFUNCTION("""COMPUTED_VALUE"""),"BLACK")</f>
        <v>BLACK</v>
      </c>
      <c r="G1069" s="20" t="str">
        <f>IFERROR(__xludf.DUMMYFUNCTION("""COMPUTED_VALUE"""),"Tap 6 Clone (10/15/2021)")</f>
        <v>Tap 6 Clone (10/15/2021)</v>
      </c>
      <c r="H1069" s="19"/>
    </row>
    <row r="1070">
      <c r="A1070" s="9"/>
      <c r="B1070" s="15"/>
      <c r="C1070" s="9">
        <f>IFERROR(__xludf.DUMMYFUNCTION("""COMPUTED_VALUE"""),44500.5576600578)</f>
        <v>44500.55766</v>
      </c>
      <c r="D1070" s="15">
        <f>IFERROR(__xludf.DUMMYFUNCTION("""COMPUTED_VALUE"""),1.014)</f>
        <v>1.014</v>
      </c>
      <c r="E1070" s="16">
        <f>IFERROR(__xludf.DUMMYFUNCTION("""COMPUTED_VALUE"""),65.0)</f>
        <v>65</v>
      </c>
      <c r="F1070" s="19" t="str">
        <f>IFERROR(__xludf.DUMMYFUNCTION("""COMPUTED_VALUE"""),"BLACK")</f>
        <v>BLACK</v>
      </c>
      <c r="G1070" s="20" t="str">
        <f>IFERROR(__xludf.DUMMYFUNCTION("""COMPUTED_VALUE"""),"Tap 6 Clone (10/15/2021)")</f>
        <v>Tap 6 Clone (10/15/2021)</v>
      </c>
      <c r="H1070" s="19"/>
    </row>
    <row r="1071">
      <c r="A1071" s="9"/>
      <c r="B1071" s="15"/>
      <c r="C1071" s="9">
        <f>IFERROR(__xludf.DUMMYFUNCTION("""COMPUTED_VALUE"""),44500.5472390046)</f>
        <v>44500.54724</v>
      </c>
      <c r="D1071" s="15">
        <f>IFERROR(__xludf.DUMMYFUNCTION("""COMPUTED_VALUE"""),1.014)</f>
        <v>1.014</v>
      </c>
      <c r="E1071" s="16">
        <f>IFERROR(__xludf.DUMMYFUNCTION("""COMPUTED_VALUE"""),65.0)</f>
        <v>65</v>
      </c>
      <c r="F1071" s="19" t="str">
        <f>IFERROR(__xludf.DUMMYFUNCTION("""COMPUTED_VALUE"""),"BLACK")</f>
        <v>BLACK</v>
      </c>
      <c r="G1071" s="20" t="str">
        <f>IFERROR(__xludf.DUMMYFUNCTION("""COMPUTED_VALUE"""),"Tap 6 Clone (10/15/2021)")</f>
        <v>Tap 6 Clone (10/15/2021)</v>
      </c>
      <c r="H1071" s="19"/>
    </row>
    <row r="1072">
      <c r="A1072" s="9"/>
      <c r="B1072" s="15"/>
      <c r="C1072" s="9">
        <f>IFERROR(__xludf.DUMMYFUNCTION("""COMPUTED_VALUE"""),44500.5368191666)</f>
        <v>44500.53682</v>
      </c>
      <c r="D1072" s="15">
        <f>IFERROR(__xludf.DUMMYFUNCTION("""COMPUTED_VALUE"""),1.015)</f>
        <v>1.015</v>
      </c>
      <c r="E1072" s="16">
        <f>IFERROR(__xludf.DUMMYFUNCTION("""COMPUTED_VALUE"""),65.0)</f>
        <v>65</v>
      </c>
      <c r="F1072" s="19" t="str">
        <f>IFERROR(__xludf.DUMMYFUNCTION("""COMPUTED_VALUE"""),"BLACK")</f>
        <v>BLACK</v>
      </c>
      <c r="G1072" s="20" t="str">
        <f>IFERROR(__xludf.DUMMYFUNCTION("""COMPUTED_VALUE"""),"Tap 6 Clone (10/15/2021)")</f>
        <v>Tap 6 Clone (10/15/2021)</v>
      </c>
      <c r="H1072" s="19"/>
    </row>
    <row r="1073">
      <c r="A1073" s="9"/>
      <c r="B1073" s="15"/>
      <c r="C1073" s="9">
        <f>IFERROR(__xludf.DUMMYFUNCTION("""COMPUTED_VALUE"""),44500.5263980671)</f>
        <v>44500.5264</v>
      </c>
      <c r="D1073" s="15">
        <f>IFERROR(__xludf.DUMMYFUNCTION("""COMPUTED_VALUE"""),1.015)</f>
        <v>1.015</v>
      </c>
      <c r="E1073" s="16">
        <f>IFERROR(__xludf.DUMMYFUNCTION("""COMPUTED_VALUE"""),65.0)</f>
        <v>65</v>
      </c>
      <c r="F1073" s="19" t="str">
        <f>IFERROR(__xludf.DUMMYFUNCTION("""COMPUTED_VALUE"""),"BLACK")</f>
        <v>BLACK</v>
      </c>
      <c r="G1073" s="20" t="str">
        <f>IFERROR(__xludf.DUMMYFUNCTION("""COMPUTED_VALUE"""),"Tap 6 Clone (10/15/2021)")</f>
        <v>Tap 6 Clone (10/15/2021)</v>
      </c>
      <c r="H1073" s="19"/>
    </row>
    <row r="1074">
      <c r="A1074" s="9"/>
      <c r="B1074" s="15"/>
      <c r="C1074" s="9">
        <f>IFERROR(__xludf.DUMMYFUNCTION("""COMPUTED_VALUE"""),44500.5159659606)</f>
        <v>44500.51597</v>
      </c>
      <c r="D1074" s="15">
        <f>IFERROR(__xludf.DUMMYFUNCTION("""COMPUTED_VALUE"""),1.015)</f>
        <v>1.015</v>
      </c>
      <c r="E1074" s="16">
        <f>IFERROR(__xludf.DUMMYFUNCTION("""COMPUTED_VALUE"""),65.0)</f>
        <v>65</v>
      </c>
      <c r="F1074" s="19" t="str">
        <f>IFERROR(__xludf.DUMMYFUNCTION("""COMPUTED_VALUE"""),"BLACK")</f>
        <v>BLACK</v>
      </c>
      <c r="G1074" s="20" t="str">
        <f>IFERROR(__xludf.DUMMYFUNCTION("""COMPUTED_VALUE"""),"Tap 6 Clone (10/15/2021)")</f>
        <v>Tap 6 Clone (10/15/2021)</v>
      </c>
      <c r="H1074" s="19"/>
    </row>
    <row r="1075">
      <c r="A1075" s="9"/>
      <c r="B1075" s="15"/>
      <c r="C1075" s="9">
        <f>IFERROR(__xludf.DUMMYFUNCTION("""COMPUTED_VALUE"""),44500.5055448263)</f>
        <v>44500.50554</v>
      </c>
      <c r="D1075" s="15">
        <f>IFERROR(__xludf.DUMMYFUNCTION("""COMPUTED_VALUE"""),1.015)</f>
        <v>1.015</v>
      </c>
      <c r="E1075" s="16">
        <f>IFERROR(__xludf.DUMMYFUNCTION("""COMPUTED_VALUE"""),65.0)</f>
        <v>65</v>
      </c>
      <c r="F1075" s="19" t="str">
        <f>IFERROR(__xludf.DUMMYFUNCTION("""COMPUTED_VALUE"""),"BLACK")</f>
        <v>BLACK</v>
      </c>
      <c r="G1075" s="20" t="str">
        <f>IFERROR(__xludf.DUMMYFUNCTION("""COMPUTED_VALUE"""),"Tap 6 Clone (10/15/2021)")</f>
        <v>Tap 6 Clone (10/15/2021)</v>
      </c>
      <c r="H1075" s="19"/>
    </row>
    <row r="1076">
      <c r="A1076" s="9"/>
      <c r="B1076" s="15"/>
      <c r="C1076" s="9">
        <f>IFERROR(__xludf.DUMMYFUNCTION("""COMPUTED_VALUE"""),44500.4951241203)</f>
        <v>44500.49512</v>
      </c>
      <c r="D1076" s="15">
        <f>IFERROR(__xludf.DUMMYFUNCTION("""COMPUTED_VALUE"""),1.015)</f>
        <v>1.015</v>
      </c>
      <c r="E1076" s="16">
        <f>IFERROR(__xludf.DUMMYFUNCTION("""COMPUTED_VALUE"""),65.0)</f>
        <v>65</v>
      </c>
      <c r="F1076" s="19" t="str">
        <f>IFERROR(__xludf.DUMMYFUNCTION("""COMPUTED_VALUE"""),"BLACK")</f>
        <v>BLACK</v>
      </c>
      <c r="G1076" s="20" t="str">
        <f>IFERROR(__xludf.DUMMYFUNCTION("""COMPUTED_VALUE"""),"Tap 6 Clone (10/15/2021)")</f>
        <v>Tap 6 Clone (10/15/2021)</v>
      </c>
      <c r="H1076" s="19"/>
    </row>
    <row r="1077">
      <c r="A1077" s="9"/>
      <c r="B1077" s="15"/>
      <c r="C1077" s="9">
        <f>IFERROR(__xludf.DUMMYFUNCTION("""COMPUTED_VALUE"""),44500.4847029282)</f>
        <v>44500.4847</v>
      </c>
      <c r="D1077" s="15">
        <f>IFERROR(__xludf.DUMMYFUNCTION("""COMPUTED_VALUE"""),1.015)</f>
        <v>1.015</v>
      </c>
      <c r="E1077" s="16">
        <f>IFERROR(__xludf.DUMMYFUNCTION("""COMPUTED_VALUE"""),65.0)</f>
        <v>65</v>
      </c>
      <c r="F1077" s="19" t="str">
        <f>IFERROR(__xludf.DUMMYFUNCTION("""COMPUTED_VALUE"""),"BLACK")</f>
        <v>BLACK</v>
      </c>
      <c r="G1077" s="20" t="str">
        <f>IFERROR(__xludf.DUMMYFUNCTION("""COMPUTED_VALUE"""),"Tap 6 Clone (10/15/2021)")</f>
        <v>Tap 6 Clone (10/15/2021)</v>
      </c>
      <c r="H1077" s="19"/>
    </row>
    <row r="1078">
      <c r="A1078" s="9"/>
      <c r="B1078" s="15"/>
      <c r="C1078" s="9">
        <f>IFERROR(__xludf.DUMMYFUNCTION("""COMPUTED_VALUE"""),44500.474281875)</f>
        <v>44500.47428</v>
      </c>
      <c r="D1078" s="15">
        <f>IFERROR(__xludf.DUMMYFUNCTION("""COMPUTED_VALUE"""),1.015)</f>
        <v>1.015</v>
      </c>
      <c r="E1078" s="16">
        <f>IFERROR(__xludf.DUMMYFUNCTION("""COMPUTED_VALUE"""),65.0)</f>
        <v>65</v>
      </c>
      <c r="F1078" s="19" t="str">
        <f>IFERROR(__xludf.DUMMYFUNCTION("""COMPUTED_VALUE"""),"BLACK")</f>
        <v>BLACK</v>
      </c>
      <c r="G1078" s="20" t="str">
        <f>IFERROR(__xludf.DUMMYFUNCTION("""COMPUTED_VALUE"""),"Tap 6 Clone (10/15/2021)")</f>
        <v>Tap 6 Clone (10/15/2021)</v>
      </c>
      <c r="H1078" s="19"/>
    </row>
    <row r="1079">
      <c r="A1079" s="9"/>
      <c r="B1079" s="15"/>
      <c r="C1079" s="9">
        <f>IFERROR(__xludf.DUMMYFUNCTION("""COMPUTED_VALUE"""),44500.4638490856)</f>
        <v>44500.46385</v>
      </c>
      <c r="D1079" s="15">
        <f>IFERROR(__xludf.DUMMYFUNCTION("""COMPUTED_VALUE"""),1.015)</f>
        <v>1.015</v>
      </c>
      <c r="E1079" s="16">
        <f>IFERROR(__xludf.DUMMYFUNCTION("""COMPUTED_VALUE"""),65.0)</f>
        <v>65</v>
      </c>
      <c r="F1079" s="19" t="str">
        <f>IFERROR(__xludf.DUMMYFUNCTION("""COMPUTED_VALUE"""),"BLACK")</f>
        <v>BLACK</v>
      </c>
      <c r="G1079" s="20" t="str">
        <f>IFERROR(__xludf.DUMMYFUNCTION("""COMPUTED_VALUE"""),"Tap 6 Clone (10/15/2021)")</f>
        <v>Tap 6 Clone (10/15/2021)</v>
      </c>
      <c r="H1079" s="19"/>
    </row>
    <row r="1080">
      <c r="A1080" s="9"/>
      <c r="B1080" s="15"/>
      <c r="C1080" s="9">
        <f>IFERROR(__xludf.DUMMYFUNCTION("""COMPUTED_VALUE"""),44500.4534270138)</f>
        <v>44500.45343</v>
      </c>
      <c r="D1080" s="15">
        <f>IFERROR(__xludf.DUMMYFUNCTION("""COMPUTED_VALUE"""),1.015)</f>
        <v>1.015</v>
      </c>
      <c r="E1080" s="16">
        <f>IFERROR(__xludf.DUMMYFUNCTION("""COMPUTED_VALUE"""),65.0)</f>
        <v>65</v>
      </c>
      <c r="F1080" s="19" t="str">
        <f>IFERROR(__xludf.DUMMYFUNCTION("""COMPUTED_VALUE"""),"BLACK")</f>
        <v>BLACK</v>
      </c>
      <c r="G1080" s="20" t="str">
        <f>IFERROR(__xludf.DUMMYFUNCTION("""COMPUTED_VALUE"""),"Tap 6 Clone (10/15/2021)")</f>
        <v>Tap 6 Clone (10/15/2021)</v>
      </c>
      <c r="H1080" s="19"/>
    </row>
    <row r="1081">
      <c r="A1081" s="9"/>
      <c r="B1081" s="15"/>
      <c r="C1081" s="9">
        <f>IFERROR(__xludf.DUMMYFUNCTION("""COMPUTED_VALUE"""),44500.4430050925)</f>
        <v>44500.44301</v>
      </c>
      <c r="D1081" s="15">
        <f>IFERROR(__xludf.DUMMYFUNCTION("""COMPUTED_VALUE"""),1.015)</f>
        <v>1.015</v>
      </c>
      <c r="E1081" s="16">
        <f>IFERROR(__xludf.DUMMYFUNCTION("""COMPUTED_VALUE"""),65.0)</f>
        <v>65</v>
      </c>
      <c r="F1081" s="19" t="str">
        <f>IFERROR(__xludf.DUMMYFUNCTION("""COMPUTED_VALUE"""),"BLACK")</f>
        <v>BLACK</v>
      </c>
      <c r="G1081" s="20" t="str">
        <f>IFERROR(__xludf.DUMMYFUNCTION("""COMPUTED_VALUE"""),"Tap 6 Clone (10/15/2021)")</f>
        <v>Tap 6 Clone (10/15/2021)</v>
      </c>
      <c r="H1081" s="19"/>
    </row>
    <row r="1082">
      <c r="A1082" s="9"/>
      <c r="B1082" s="15"/>
      <c r="C1082" s="9">
        <f>IFERROR(__xludf.DUMMYFUNCTION("""COMPUTED_VALUE"""),44500.4325859838)</f>
        <v>44500.43259</v>
      </c>
      <c r="D1082" s="15">
        <f>IFERROR(__xludf.DUMMYFUNCTION("""COMPUTED_VALUE"""),1.015)</f>
        <v>1.015</v>
      </c>
      <c r="E1082" s="16">
        <f>IFERROR(__xludf.DUMMYFUNCTION("""COMPUTED_VALUE"""),65.0)</f>
        <v>65</v>
      </c>
      <c r="F1082" s="19" t="str">
        <f>IFERROR(__xludf.DUMMYFUNCTION("""COMPUTED_VALUE"""),"BLACK")</f>
        <v>BLACK</v>
      </c>
      <c r="G1082" s="20" t="str">
        <f>IFERROR(__xludf.DUMMYFUNCTION("""COMPUTED_VALUE"""),"Tap 6 Clone (10/15/2021)")</f>
        <v>Tap 6 Clone (10/15/2021)</v>
      </c>
      <c r="H1082" s="19"/>
    </row>
    <row r="1083">
      <c r="A1083" s="9"/>
      <c r="B1083" s="15"/>
      <c r="C1083" s="9">
        <f>IFERROR(__xludf.DUMMYFUNCTION("""COMPUTED_VALUE"""),44500.4221671875)</f>
        <v>44500.42217</v>
      </c>
      <c r="D1083" s="15">
        <f>IFERROR(__xludf.DUMMYFUNCTION("""COMPUTED_VALUE"""),1.015)</f>
        <v>1.015</v>
      </c>
      <c r="E1083" s="16">
        <f>IFERROR(__xludf.DUMMYFUNCTION("""COMPUTED_VALUE"""),65.0)</f>
        <v>65</v>
      </c>
      <c r="F1083" s="19" t="str">
        <f>IFERROR(__xludf.DUMMYFUNCTION("""COMPUTED_VALUE"""),"BLACK")</f>
        <v>BLACK</v>
      </c>
      <c r="G1083" s="20" t="str">
        <f>IFERROR(__xludf.DUMMYFUNCTION("""COMPUTED_VALUE"""),"Tap 6 Clone (10/15/2021)")</f>
        <v>Tap 6 Clone (10/15/2021)</v>
      </c>
      <c r="H1083" s="19"/>
    </row>
    <row r="1084">
      <c r="A1084" s="9"/>
      <c r="B1084" s="15"/>
      <c r="C1084" s="9">
        <f>IFERROR(__xludf.DUMMYFUNCTION("""COMPUTED_VALUE"""),44500.4117342939)</f>
        <v>44500.41173</v>
      </c>
      <c r="D1084" s="15">
        <f>IFERROR(__xludf.DUMMYFUNCTION("""COMPUTED_VALUE"""),1.015)</f>
        <v>1.015</v>
      </c>
      <c r="E1084" s="16">
        <f>IFERROR(__xludf.DUMMYFUNCTION("""COMPUTED_VALUE"""),65.0)</f>
        <v>65</v>
      </c>
      <c r="F1084" s="19" t="str">
        <f>IFERROR(__xludf.DUMMYFUNCTION("""COMPUTED_VALUE"""),"BLACK")</f>
        <v>BLACK</v>
      </c>
      <c r="G1084" s="20" t="str">
        <f>IFERROR(__xludf.DUMMYFUNCTION("""COMPUTED_VALUE"""),"Tap 6 Clone (10/15/2021)")</f>
        <v>Tap 6 Clone (10/15/2021)</v>
      </c>
      <c r="H1084" s="19"/>
    </row>
    <row r="1085">
      <c r="A1085" s="9"/>
      <c r="B1085" s="15"/>
      <c r="C1085" s="9">
        <f>IFERROR(__xludf.DUMMYFUNCTION("""COMPUTED_VALUE"""),44500.4013128125)</f>
        <v>44500.40131</v>
      </c>
      <c r="D1085" s="15">
        <f>IFERROR(__xludf.DUMMYFUNCTION("""COMPUTED_VALUE"""),1.014)</f>
        <v>1.014</v>
      </c>
      <c r="E1085" s="16">
        <f>IFERROR(__xludf.DUMMYFUNCTION("""COMPUTED_VALUE"""),65.0)</f>
        <v>65</v>
      </c>
      <c r="F1085" s="19" t="str">
        <f>IFERROR(__xludf.DUMMYFUNCTION("""COMPUTED_VALUE"""),"BLACK")</f>
        <v>BLACK</v>
      </c>
      <c r="G1085" s="20" t="str">
        <f>IFERROR(__xludf.DUMMYFUNCTION("""COMPUTED_VALUE"""),"Tap 6 Clone (10/15/2021)")</f>
        <v>Tap 6 Clone (10/15/2021)</v>
      </c>
      <c r="H1085" s="19"/>
    </row>
    <row r="1086">
      <c r="A1086" s="9"/>
      <c r="B1086" s="15"/>
      <c r="C1086" s="9">
        <f>IFERROR(__xludf.DUMMYFUNCTION("""COMPUTED_VALUE"""),44500.390890706)</f>
        <v>44500.39089</v>
      </c>
      <c r="D1086" s="15">
        <f>IFERROR(__xludf.DUMMYFUNCTION("""COMPUTED_VALUE"""),1.014)</f>
        <v>1.014</v>
      </c>
      <c r="E1086" s="16">
        <f>IFERROR(__xludf.DUMMYFUNCTION("""COMPUTED_VALUE"""),65.0)</f>
        <v>65</v>
      </c>
      <c r="F1086" s="19" t="str">
        <f>IFERROR(__xludf.DUMMYFUNCTION("""COMPUTED_VALUE"""),"BLACK")</f>
        <v>BLACK</v>
      </c>
      <c r="G1086" s="20" t="str">
        <f>IFERROR(__xludf.DUMMYFUNCTION("""COMPUTED_VALUE"""),"Tap 6 Clone (10/15/2021)")</f>
        <v>Tap 6 Clone (10/15/2021)</v>
      </c>
      <c r="H1086" s="19"/>
    </row>
    <row r="1087">
      <c r="A1087" s="9"/>
      <c r="B1087" s="15"/>
      <c r="C1087" s="9">
        <f>IFERROR(__xludf.DUMMYFUNCTION("""COMPUTED_VALUE"""),44500.3804690277)</f>
        <v>44500.38047</v>
      </c>
      <c r="D1087" s="15">
        <f>IFERROR(__xludf.DUMMYFUNCTION("""COMPUTED_VALUE"""),1.014)</f>
        <v>1.014</v>
      </c>
      <c r="E1087" s="16">
        <f>IFERROR(__xludf.DUMMYFUNCTION("""COMPUTED_VALUE"""),65.0)</f>
        <v>65</v>
      </c>
      <c r="F1087" s="19" t="str">
        <f>IFERROR(__xludf.DUMMYFUNCTION("""COMPUTED_VALUE"""),"BLACK")</f>
        <v>BLACK</v>
      </c>
      <c r="G1087" s="20" t="str">
        <f>IFERROR(__xludf.DUMMYFUNCTION("""COMPUTED_VALUE"""),"Tap 6 Clone (10/15/2021)")</f>
        <v>Tap 6 Clone (10/15/2021)</v>
      </c>
      <c r="H1087" s="19"/>
    </row>
    <row r="1088">
      <c r="A1088" s="9"/>
      <c r="B1088" s="15"/>
      <c r="C1088" s="9">
        <f>IFERROR(__xludf.DUMMYFUNCTION("""COMPUTED_VALUE"""),44500.3700473263)</f>
        <v>44500.37005</v>
      </c>
      <c r="D1088" s="15">
        <f>IFERROR(__xludf.DUMMYFUNCTION("""COMPUTED_VALUE"""),1.013)</f>
        <v>1.013</v>
      </c>
      <c r="E1088" s="16">
        <f>IFERROR(__xludf.DUMMYFUNCTION("""COMPUTED_VALUE"""),65.0)</f>
        <v>65</v>
      </c>
      <c r="F1088" s="19" t="str">
        <f>IFERROR(__xludf.DUMMYFUNCTION("""COMPUTED_VALUE"""),"BLACK")</f>
        <v>BLACK</v>
      </c>
      <c r="G1088" s="20" t="str">
        <f>IFERROR(__xludf.DUMMYFUNCTION("""COMPUTED_VALUE"""),"Tap 6 Clone (10/15/2021)")</f>
        <v>Tap 6 Clone (10/15/2021)</v>
      </c>
      <c r="H1088" s="19"/>
    </row>
    <row r="1089">
      <c r="A1089" s="9"/>
      <c r="B1089" s="15"/>
      <c r="C1089" s="9">
        <f>IFERROR(__xludf.DUMMYFUNCTION("""COMPUTED_VALUE"""),44500.3596278588)</f>
        <v>44500.35963</v>
      </c>
      <c r="D1089" s="15">
        <f>IFERROR(__xludf.DUMMYFUNCTION("""COMPUTED_VALUE"""),1.014)</f>
        <v>1.014</v>
      </c>
      <c r="E1089" s="16">
        <f>IFERROR(__xludf.DUMMYFUNCTION("""COMPUTED_VALUE"""),65.0)</f>
        <v>65</v>
      </c>
      <c r="F1089" s="19" t="str">
        <f>IFERROR(__xludf.DUMMYFUNCTION("""COMPUTED_VALUE"""),"BLACK")</f>
        <v>BLACK</v>
      </c>
      <c r="G1089" s="20" t="str">
        <f>IFERROR(__xludf.DUMMYFUNCTION("""COMPUTED_VALUE"""),"Tap 6 Clone (10/15/2021)")</f>
        <v>Tap 6 Clone (10/15/2021)</v>
      </c>
      <c r="H1089" s="19"/>
    </row>
    <row r="1090">
      <c r="A1090" s="9"/>
      <c r="B1090" s="15"/>
      <c r="C1090" s="9">
        <f>IFERROR(__xludf.DUMMYFUNCTION("""COMPUTED_VALUE"""),44500.3492061574)</f>
        <v>44500.34921</v>
      </c>
      <c r="D1090" s="15">
        <f>IFERROR(__xludf.DUMMYFUNCTION("""COMPUTED_VALUE"""),1.014)</f>
        <v>1.014</v>
      </c>
      <c r="E1090" s="16">
        <f>IFERROR(__xludf.DUMMYFUNCTION("""COMPUTED_VALUE"""),65.0)</f>
        <v>65</v>
      </c>
      <c r="F1090" s="19" t="str">
        <f>IFERROR(__xludf.DUMMYFUNCTION("""COMPUTED_VALUE"""),"BLACK")</f>
        <v>BLACK</v>
      </c>
      <c r="G1090" s="20" t="str">
        <f>IFERROR(__xludf.DUMMYFUNCTION("""COMPUTED_VALUE"""),"Tap 6 Clone (10/15/2021)")</f>
        <v>Tap 6 Clone (10/15/2021)</v>
      </c>
      <c r="H1090" s="19"/>
    </row>
    <row r="1091">
      <c r="A1091" s="9"/>
      <c r="B1091" s="15"/>
      <c r="C1091" s="9">
        <f>IFERROR(__xludf.DUMMYFUNCTION("""COMPUTED_VALUE"""),44500.3387885416)</f>
        <v>44500.33879</v>
      </c>
      <c r="D1091" s="15">
        <f>IFERROR(__xludf.DUMMYFUNCTION("""COMPUTED_VALUE"""),1.014)</f>
        <v>1.014</v>
      </c>
      <c r="E1091" s="16">
        <f>IFERROR(__xludf.DUMMYFUNCTION("""COMPUTED_VALUE"""),65.0)</f>
        <v>65</v>
      </c>
      <c r="F1091" s="19" t="str">
        <f>IFERROR(__xludf.DUMMYFUNCTION("""COMPUTED_VALUE"""),"BLACK")</f>
        <v>BLACK</v>
      </c>
      <c r="G1091" s="20" t="str">
        <f>IFERROR(__xludf.DUMMYFUNCTION("""COMPUTED_VALUE"""),"Tap 6 Clone (10/15/2021)")</f>
        <v>Tap 6 Clone (10/15/2021)</v>
      </c>
      <c r="H1091" s="19"/>
    </row>
    <row r="1092">
      <c r="A1092" s="9"/>
      <c r="B1092" s="15"/>
      <c r="C1092" s="9">
        <f>IFERROR(__xludf.DUMMYFUNCTION("""COMPUTED_VALUE"""),44500.3283328125)</f>
        <v>44500.32833</v>
      </c>
      <c r="D1092" s="15">
        <f>IFERROR(__xludf.DUMMYFUNCTION("""COMPUTED_VALUE"""),1.015)</f>
        <v>1.015</v>
      </c>
      <c r="E1092" s="16">
        <f>IFERROR(__xludf.DUMMYFUNCTION("""COMPUTED_VALUE"""),65.0)</f>
        <v>65</v>
      </c>
      <c r="F1092" s="19" t="str">
        <f>IFERROR(__xludf.DUMMYFUNCTION("""COMPUTED_VALUE"""),"BLACK")</f>
        <v>BLACK</v>
      </c>
      <c r="G1092" s="20" t="str">
        <f>IFERROR(__xludf.DUMMYFUNCTION("""COMPUTED_VALUE"""),"Tap 6 Clone (10/15/2021)")</f>
        <v>Tap 6 Clone (10/15/2021)</v>
      </c>
      <c r="H1092" s="19"/>
    </row>
    <row r="1093">
      <c r="A1093" s="9"/>
      <c r="B1093" s="15"/>
      <c r="C1093" s="9">
        <f>IFERROR(__xludf.DUMMYFUNCTION("""COMPUTED_VALUE"""),44500.3178990393)</f>
        <v>44500.3179</v>
      </c>
      <c r="D1093" s="15">
        <f>IFERROR(__xludf.DUMMYFUNCTION("""COMPUTED_VALUE"""),1.015)</f>
        <v>1.015</v>
      </c>
      <c r="E1093" s="16">
        <f>IFERROR(__xludf.DUMMYFUNCTION("""COMPUTED_VALUE"""),65.0)</f>
        <v>65</v>
      </c>
      <c r="F1093" s="19" t="str">
        <f>IFERROR(__xludf.DUMMYFUNCTION("""COMPUTED_VALUE"""),"BLACK")</f>
        <v>BLACK</v>
      </c>
      <c r="G1093" s="20" t="str">
        <f>IFERROR(__xludf.DUMMYFUNCTION("""COMPUTED_VALUE"""),"Tap 6 Clone (10/15/2021)")</f>
        <v>Tap 6 Clone (10/15/2021)</v>
      </c>
      <c r="H1093" s="19"/>
    </row>
    <row r="1094">
      <c r="A1094" s="9"/>
      <c r="B1094" s="15"/>
      <c r="C1094" s="9">
        <f>IFERROR(__xludf.DUMMYFUNCTION("""COMPUTED_VALUE"""),44500.3074783217)</f>
        <v>44500.30748</v>
      </c>
      <c r="D1094" s="15">
        <f>IFERROR(__xludf.DUMMYFUNCTION("""COMPUTED_VALUE"""),1.015)</f>
        <v>1.015</v>
      </c>
      <c r="E1094" s="16">
        <f>IFERROR(__xludf.DUMMYFUNCTION("""COMPUTED_VALUE"""),65.0)</f>
        <v>65</v>
      </c>
      <c r="F1094" s="19" t="str">
        <f>IFERROR(__xludf.DUMMYFUNCTION("""COMPUTED_VALUE"""),"BLACK")</f>
        <v>BLACK</v>
      </c>
      <c r="G1094" s="20" t="str">
        <f>IFERROR(__xludf.DUMMYFUNCTION("""COMPUTED_VALUE"""),"Tap 6 Clone (10/15/2021)")</f>
        <v>Tap 6 Clone (10/15/2021)</v>
      </c>
      <c r="H1094" s="19"/>
    </row>
    <row r="1095">
      <c r="A1095" s="9"/>
      <c r="B1095" s="15"/>
      <c r="C1095" s="9">
        <f>IFERROR(__xludf.DUMMYFUNCTION("""COMPUTED_VALUE"""),44500.2970571064)</f>
        <v>44500.29706</v>
      </c>
      <c r="D1095" s="15">
        <f>IFERROR(__xludf.DUMMYFUNCTION("""COMPUTED_VALUE"""),1.015)</f>
        <v>1.015</v>
      </c>
      <c r="E1095" s="16">
        <f>IFERROR(__xludf.DUMMYFUNCTION("""COMPUTED_VALUE"""),65.0)</f>
        <v>65</v>
      </c>
      <c r="F1095" s="19" t="str">
        <f>IFERROR(__xludf.DUMMYFUNCTION("""COMPUTED_VALUE"""),"BLACK")</f>
        <v>BLACK</v>
      </c>
      <c r="G1095" s="20" t="str">
        <f>IFERROR(__xludf.DUMMYFUNCTION("""COMPUTED_VALUE"""),"Tap 6 Clone (10/15/2021)")</f>
        <v>Tap 6 Clone (10/15/2021)</v>
      </c>
      <c r="H1095" s="19"/>
    </row>
    <row r="1096">
      <c r="A1096" s="9"/>
      <c r="B1096" s="15"/>
      <c r="C1096" s="9">
        <f>IFERROR(__xludf.DUMMYFUNCTION("""COMPUTED_VALUE"""),44500.2866348842)</f>
        <v>44500.28663</v>
      </c>
      <c r="D1096" s="15">
        <f>IFERROR(__xludf.DUMMYFUNCTION("""COMPUTED_VALUE"""),1.015)</f>
        <v>1.015</v>
      </c>
      <c r="E1096" s="16">
        <f>IFERROR(__xludf.DUMMYFUNCTION("""COMPUTED_VALUE"""),65.0)</f>
        <v>65</v>
      </c>
      <c r="F1096" s="19" t="str">
        <f>IFERROR(__xludf.DUMMYFUNCTION("""COMPUTED_VALUE"""),"BLACK")</f>
        <v>BLACK</v>
      </c>
      <c r="G1096" s="20" t="str">
        <f>IFERROR(__xludf.DUMMYFUNCTION("""COMPUTED_VALUE"""),"Tap 6 Clone (10/15/2021)")</f>
        <v>Tap 6 Clone (10/15/2021)</v>
      </c>
      <c r="H1096" s="19"/>
    </row>
    <row r="1097">
      <c r="A1097" s="9"/>
      <c r="B1097" s="15"/>
      <c r="C1097" s="9">
        <f>IFERROR(__xludf.DUMMYFUNCTION("""COMPUTED_VALUE"""),44500.2762145023)</f>
        <v>44500.27621</v>
      </c>
      <c r="D1097" s="15">
        <f>IFERROR(__xludf.DUMMYFUNCTION("""COMPUTED_VALUE"""),1.015)</f>
        <v>1.015</v>
      </c>
      <c r="E1097" s="16">
        <f>IFERROR(__xludf.DUMMYFUNCTION("""COMPUTED_VALUE"""),65.0)</f>
        <v>65</v>
      </c>
      <c r="F1097" s="19" t="str">
        <f>IFERROR(__xludf.DUMMYFUNCTION("""COMPUTED_VALUE"""),"BLACK")</f>
        <v>BLACK</v>
      </c>
      <c r="G1097" s="20" t="str">
        <f>IFERROR(__xludf.DUMMYFUNCTION("""COMPUTED_VALUE"""),"Tap 6 Clone (10/15/2021)")</f>
        <v>Tap 6 Clone (10/15/2021)</v>
      </c>
      <c r="H1097" s="19"/>
    </row>
    <row r="1098">
      <c r="A1098" s="9"/>
      <c r="B1098" s="15"/>
      <c r="C1098" s="9">
        <f>IFERROR(__xludf.DUMMYFUNCTION("""COMPUTED_VALUE"""),44500.2657930902)</f>
        <v>44500.26579</v>
      </c>
      <c r="D1098" s="15">
        <f>IFERROR(__xludf.DUMMYFUNCTION("""COMPUTED_VALUE"""),1.015)</f>
        <v>1.015</v>
      </c>
      <c r="E1098" s="16">
        <f>IFERROR(__xludf.DUMMYFUNCTION("""COMPUTED_VALUE"""),65.0)</f>
        <v>65</v>
      </c>
      <c r="F1098" s="19" t="str">
        <f>IFERROR(__xludf.DUMMYFUNCTION("""COMPUTED_VALUE"""),"BLACK")</f>
        <v>BLACK</v>
      </c>
      <c r="G1098" s="20" t="str">
        <f>IFERROR(__xludf.DUMMYFUNCTION("""COMPUTED_VALUE"""),"Tap 6 Clone (10/15/2021)")</f>
        <v>Tap 6 Clone (10/15/2021)</v>
      </c>
      <c r="H1098" s="19"/>
    </row>
    <row r="1099">
      <c r="A1099" s="9"/>
      <c r="B1099" s="15"/>
      <c r="C1099" s="9">
        <f>IFERROR(__xludf.DUMMYFUNCTION("""COMPUTED_VALUE"""),44500.2553717361)</f>
        <v>44500.25537</v>
      </c>
      <c r="D1099" s="15">
        <f>IFERROR(__xludf.DUMMYFUNCTION("""COMPUTED_VALUE"""),1.015)</f>
        <v>1.015</v>
      </c>
      <c r="E1099" s="16">
        <f>IFERROR(__xludf.DUMMYFUNCTION("""COMPUTED_VALUE"""),65.0)</f>
        <v>65</v>
      </c>
      <c r="F1099" s="19" t="str">
        <f>IFERROR(__xludf.DUMMYFUNCTION("""COMPUTED_VALUE"""),"BLACK")</f>
        <v>BLACK</v>
      </c>
      <c r="G1099" s="20" t="str">
        <f>IFERROR(__xludf.DUMMYFUNCTION("""COMPUTED_VALUE"""),"Tap 6 Clone (10/15/2021)")</f>
        <v>Tap 6 Clone (10/15/2021)</v>
      </c>
      <c r="H1099" s="19"/>
    </row>
    <row r="1100">
      <c r="A1100" s="9"/>
      <c r="B1100" s="15"/>
      <c r="C1100" s="9">
        <f>IFERROR(__xludf.DUMMYFUNCTION("""COMPUTED_VALUE"""),44500.2449501041)</f>
        <v>44500.24495</v>
      </c>
      <c r="D1100" s="15">
        <f>IFERROR(__xludf.DUMMYFUNCTION("""COMPUTED_VALUE"""),1.015)</f>
        <v>1.015</v>
      </c>
      <c r="E1100" s="16">
        <f>IFERROR(__xludf.DUMMYFUNCTION("""COMPUTED_VALUE"""),65.0)</f>
        <v>65</v>
      </c>
      <c r="F1100" s="19" t="str">
        <f>IFERROR(__xludf.DUMMYFUNCTION("""COMPUTED_VALUE"""),"BLACK")</f>
        <v>BLACK</v>
      </c>
      <c r="G1100" s="20" t="str">
        <f>IFERROR(__xludf.DUMMYFUNCTION("""COMPUTED_VALUE"""),"Tap 6 Clone (10/15/2021)")</f>
        <v>Tap 6 Clone (10/15/2021)</v>
      </c>
      <c r="H1100" s="19"/>
    </row>
    <row r="1101">
      <c r="A1101" s="9"/>
      <c r="B1101" s="15"/>
      <c r="C1101" s="9">
        <f>IFERROR(__xludf.DUMMYFUNCTION("""COMPUTED_VALUE"""),44500.2345285879)</f>
        <v>44500.23453</v>
      </c>
      <c r="D1101" s="15">
        <f>IFERROR(__xludf.DUMMYFUNCTION("""COMPUTED_VALUE"""),1.015)</f>
        <v>1.015</v>
      </c>
      <c r="E1101" s="16">
        <f>IFERROR(__xludf.DUMMYFUNCTION("""COMPUTED_VALUE"""),65.0)</f>
        <v>65</v>
      </c>
      <c r="F1101" s="19" t="str">
        <f>IFERROR(__xludf.DUMMYFUNCTION("""COMPUTED_VALUE"""),"BLACK")</f>
        <v>BLACK</v>
      </c>
      <c r="G1101" s="20" t="str">
        <f>IFERROR(__xludf.DUMMYFUNCTION("""COMPUTED_VALUE"""),"Tap 6 Clone (10/15/2021)")</f>
        <v>Tap 6 Clone (10/15/2021)</v>
      </c>
      <c r="H1101" s="19"/>
    </row>
    <row r="1102">
      <c r="A1102" s="9"/>
      <c r="B1102" s="15"/>
      <c r="C1102" s="9">
        <f>IFERROR(__xludf.DUMMYFUNCTION("""COMPUTED_VALUE"""),44500.2241062037)</f>
        <v>44500.22411</v>
      </c>
      <c r="D1102" s="15">
        <f>IFERROR(__xludf.DUMMYFUNCTION("""COMPUTED_VALUE"""),1.015)</f>
        <v>1.015</v>
      </c>
      <c r="E1102" s="16">
        <f>IFERROR(__xludf.DUMMYFUNCTION("""COMPUTED_VALUE"""),65.0)</f>
        <v>65</v>
      </c>
      <c r="F1102" s="19" t="str">
        <f>IFERROR(__xludf.DUMMYFUNCTION("""COMPUTED_VALUE"""),"BLACK")</f>
        <v>BLACK</v>
      </c>
      <c r="G1102" s="20" t="str">
        <f>IFERROR(__xludf.DUMMYFUNCTION("""COMPUTED_VALUE"""),"Tap 6 Clone (10/15/2021)")</f>
        <v>Tap 6 Clone (10/15/2021)</v>
      </c>
      <c r="H1102" s="19"/>
    </row>
    <row r="1103">
      <c r="A1103" s="9"/>
      <c r="B1103" s="15"/>
      <c r="C1103" s="9">
        <f>IFERROR(__xludf.DUMMYFUNCTION("""COMPUTED_VALUE"""),44500.2136871064)</f>
        <v>44500.21369</v>
      </c>
      <c r="D1103" s="15">
        <f>IFERROR(__xludf.DUMMYFUNCTION("""COMPUTED_VALUE"""),1.015)</f>
        <v>1.015</v>
      </c>
      <c r="E1103" s="16">
        <f>IFERROR(__xludf.DUMMYFUNCTION("""COMPUTED_VALUE"""),65.0)</f>
        <v>65</v>
      </c>
      <c r="F1103" s="19" t="str">
        <f>IFERROR(__xludf.DUMMYFUNCTION("""COMPUTED_VALUE"""),"BLACK")</f>
        <v>BLACK</v>
      </c>
      <c r="G1103" s="20" t="str">
        <f>IFERROR(__xludf.DUMMYFUNCTION("""COMPUTED_VALUE"""),"Tap 6 Clone (10/15/2021)")</f>
        <v>Tap 6 Clone (10/15/2021)</v>
      </c>
      <c r="H1103" s="19"/>
    </row>
    <row r="1104">
      <c r="A1104" s="9"/>
      <c r="B1104" s="15"/>
      <c r="C1104" s="9">
        <f>IFERROR(__xludf.DUMMYFUNCTION("""COMPUTED_VALUE"""),44500.2032657407)</f>
        <v>44500.20327</v>
      </c>
      <c r="D1104" s="15">
        <f>IFERROR(__xludf.DUMMYFUNCTION("""COMPUTED_VALUE"""),1.015)</f>
        <v>1.015</v>
      </c>
      <c r="E1104" s="16">
        <f>IFERROR(__xludf.DUMMYFUNCTION("""COMPUTED_VALUE"""),65.0)</f>
        <v>65</v>
      </c>
      <c r="F1104" s="19" t="str">
        <f>IFERROR(__xludf.DUMMYFUNCTION("""COMPUTED_VALUE"""),"BLACK")</f>
        <v>BLACK</v>
      </c>
      <c r="G1104" s="20" t="str">
        <f>IFERROR(__xludf.DUMMYFUNCTION("""COMPUTED_VALUE"""),"Tap 6 Clone (10/15/2021)")</f>
        <v>Tap 6 Clone (10/15/2021)</v>
      </c>
      <c r="H1104" s="19"/>
    </row>
    <row r="1105">
      <c r="A1105" s="9"/>
      <c r="B1105" s="15"/>
      <c r="C1105" s="9">
        <f>IFERROR(__xludf.DUMMYFUNCTION("""COMPUTED_VALUE"""),44500.1928312963)</f>
        <v>44500.19283</v>
      </c>
      <c r="D1105" s="15">
        <f>IFERROR(__xludf.DUMMYFUNCTION("""COMPUTED_VALUE"""),1.015)</f>
        <v>1.015</v>
      </c>
      <c r="E1105" s="16">
        <f>IFERROR(__xludf.DUMMYFUNCTION("""COMPUTED_VALUE"""),65.0)</f>
        <v>65</v>
      </c>
      <c r="F1105" s="19" t="str">
        <f>IFERROR(__xludf.DUMMYFUNCTION("""COMPUTED_VALUE"""),"BLACK")</f>
        <v>BLACK</v>
      </c>
      <c r="G1105" s="20" t="str">
        <f>IFERROR(__xludf.DUMMYFUNCTION("""COMPUTED_VALUE"""),"Tap 6 Clone (10/15/2021)")</f>
        <v>Tap 6 Clone (10/15/2021)</v>
      </c>
      <c r="H1105" s="19"/>
    </row>
    <row r="1106">
      <c r="A1106" s="9"/>
      <c r="B1106" s="15"/>
      <c r="C1106" s="9">
        <f>IFERROR(__xludf.DUMMYFUNCTION("""COMPUTED_VALUE"""),44500.1824096064)</f>
        <v>44500.18241</v>
      </c>
      <c r="D1106" s="15">
        <f>IFERROR(__xludf.DUMMYFUNCTION("""COMPUTED_VALUE"""),1.015)</f>
        <v>1.015</v>
      </c>
      <c r="E1106" s="16">
        <f>IFERROR(__xludf.DUMMYFUNCTION("""COMPUTED_VALUE"""),65.0)</f>
        <v>65</v>
      </c>
      <c r="F1106" s="19" t="str">
        <f>IFERROR(__xludf.DUMMYFUNCTION("""COMPUTED_VALUE"""),"BLACK")</f>
        <v>BLACK</v>
      </c>
      <c r="G1106" s="20" t="str">
        <f>IFERROR(__xludf.DUMMYFUNCTION("""COMPUTED_VALUE"""),"Tap 6 Clone (10/15/2021)")</f>
        <v>Tap 6 Clone (10/15/2021)</v>
      </c>
      <c r="H1106" s="19"/>
    </row>
    <row r="1107">
      <c r="A1107" s="9"/>
      <c r="B1107" s="15"/>
      <c r="C1107" s="9">
        <f>IFERROR(__xludf.DUMMYFUNCTION("""COMPUTED_VALUE"""),44500.1719766088)</f>
        <v>44500.17198</v>
      </c>
      <c r="D1107" s="15">
        <f>IFERROR(__xludf.DUMMYFUNCTION("""COMPUTED_VALUE"""),1.015)</f>
        <v>1.015</v>
      </c>
      <c r="E1107" s="16">
        <f>IFERROR(__xludf.DUMMYFUNCTION("""COMPUTED_VALUE"""),65.0)</f>
        <v>65</v>
      </c>
      <c r="F1107" s="19" t="str">
        <f>IFERROR(__xludf.DUMMYFUNCTION("""COMPUTED_VALUE"""),"BLACK")</f>
        <v>BLACK</v>
      </c>
      <c r="G1107" s="20" t="str">
        <f>IFERROR(__xludf.DUMMYFUNCTION("""COMPUTED_VALUE"""),"Tap 6 Clone (10/15/2021)")</f>
        <v>Tap 6 Clone (10/15/2021)</v>
      </c>
      <c r="H1107" s="19"/>
    </row>
    <row r="1108">
      <c r="A1108" s="9"/>
      <c r="B1108" s="15"/>
      <c r="C1108" s="9">
        <f>IFERROR(__xludf.DUMMYFUNCTION("""COMPUTED_VALUE"""),44500.161556574)</f>
        <v>44500.16156</v>
      </c>
      <c r="D1108" s="15">
        <f>IFERROR(__xludf.DUMMYFUNCTION("""COMPUTED_VALUE"""),1.015)</f>
        <v>1.015</v>
      </c>
      <c r="E1108" s="16">
        <f>IFERROR(__xludf.DUMMYFUNCTION("""COMPUTED_VALUE"""),65.0)</f>
        <v>65</v>
      </c>
      <c r="F1108" s="19" t="str">
        <f>IFERROR(__xludf.DUMMYFUNCTION("""COMPUTED_VALUE"""),"BLACK")</f>
        <v>BLACK</v>
      </c>
      <c r="G1108" s="20" t="str">
        <f>IFERROR(__xludf.DUMMYFUNCTION("""COMPUTED_VALUE"""),"Tap 6 Clone (10/15/2021)")</f>
        <v>Tap 6 Clone (10/15/2021)</v>
      </c>
      <c r="H1108" s="19"/>
    </row>
    <row r="1109">
      <c r="A1109" s="9"/>
      <c r="B1109" s="15"/>
      <c r="C1109" s="9">
        <f>IFERROR(__xludf.DUMMYFUNCTION("""COMPUTED_VALUE"""),44500.1511370023)</f>
        <v>44500.15114</v>
      </c>
      <c r="D1109" s="15">
        <f>IFERROR(__xludf.DUMMYFUNCTION("""COMPUTED_VALUE"""),1.015)</f>
        <v>1.015</v>
      </c>
      <c r="E1109" s="16">
        <f>IFERROR(__xludf.DUMMYFUNCTION("""COMPUTED_VALUE"""),65.0)</f>
        <v>65</v>
      </c>
      <c r="F1109" s="19" t="str">
        <f>IFERROR(__xludf.DUMMYFUNCTION("""COMPUTED_VALUE"""),"BLACK")</f>
        <v>BLACK</v>
      </c>
      <c r="G1109" s="20" t="str">
        <f>IFERROR(__xludf.DUMMYFUNCTION("""COMPUTED_VALUE"""),"Tap 6 Clone (10/15/2021)")</f>
        <v>Tap 6 Clone (10/15/2021)</v>
      </c>
      <c r="H1109" s="19"/>
    </row>
    <row r="1110">
      <c r="A1110" s="9"/>
      <c r="B1110" s="15"/>
      <c r="C1110" s="9">
        <f>IFERROR(__xludf.DUMMYFUNCTION("""COMPUTED_VALUE"""),44500.1407165393)</f>
        <v>44500.14072</v>
      </c>
      <c r="D1110" s="15">
        <f>IFERROR(__xludf.DUMMYFUNCTION("""COMPUTED_VALUE"""),1.015)</f>
        <v>1.015</v>
      </c>
      <c r="E1110" s="16">
        <f>IFERROR(__xludf.DUMMYFUNCTION("""COMPUTED_VALUE"""),65.0)</f>
        <v>65</v>
      </c>
      <c r="F1110" s="19" t="str">
        <f>IFERROR(__xludf.DUMMYFUNCTION("""COMPUTED_VALUE"""),"BLACK")</f>
        <v>BLACK</v>
      </c>
      <c r="G1110" s="20" t="str">
        <f>IFERROR(__xludf.DUMMYFUNCTION("""COMPUTED_VALUE"""),"Tap 6 Clone (10/15/2021)")</f>
        <v>Tap 6 Clone (10/15/2021)</v>
      </c>
      <c r="H1110" s="19"/>
    </row>
    <row r="1111">
      <c r="A1111" s="9"/>
      <c r="B1111" s="15"/>
      <c r="C1111" s="9">
        <f>IFERROR(__xludf.DUMMYFUNCTION("""COMPUTED_VALUE"""),44500.1302952083)</f>
        <v>44500.1303</v>
      </c>
      <c r="D1111" s="15">
        <f>IFERROR(__xludf.DUMMYFUNCTION("""COMPUTED_VALUE"""),1.014)</f>
        <v>1.014</v>
      </c>
      <c r="E1111" s="16">
        <f>IFERROR(__xludf.DUMMYFUNCTION("""COMPUTED_VALUE"""),65.0)</f>
        <v>65</v>
      </c>
      <c r="F1111" s="19" t="str">
        <f>IFERROR(__xludf.DUMMYFUNCTION("""COMPUTED_VALUE"""),"BLACK")</f>
        <v>BLACK</v>
      </c>
      <c r="G1111" s="20" t="str">
        <f>IFERROR(__xludf.DUMMYFUNCTION("""COMPUTED_VALUE"""),"Tap 6 Clone (10/15/2021)")</f>
        <v>Tap 6 Clone (10/15/2021)</v>
      </c>
      <c r="H1111" s="19"/>
    </row>
    <row r="1112">
      <c r="A1112" s="9"/>
      <c r="B1112" s="15"/>
      <c r="C1112" s="9">
        <f>IFERROR(__xludf.DUMMYFUNCTION("""COMPUTED_VALUE"""),44500.1198740162)</f>
        <v>44500.11987</v>
      </c>
      <c r="D1112" s="15">
        <f>IFERROR(__xludf.DUMMYFUNCTION("""COMPUTED_VALUE"""),1.014)</f>
        <v>1.014</v>
      </c>
      <c r="E1112" s="16">
        <f>IFERROR(__xludf.DUMMYFUNCTION("""COMPUTED_VALUE"""),65.0)</f>
        <v>65</v>
      </c>
      <c r="F1112" s="19" t="str">
        <f>IFERROR(__xludf.DUMMYFUNCTION("""COMPUTED_VALUE"""),"BLACK")</f>
        <v>BLACK</v>
      </c>
      <c r="G1112" s="20" t="str">
        <f>IFERROR(__xludf.DUMMYFUNCTION("""COMPUTED_VALUE"""),"Tap 6 Clone (10/15/2021)")</f>
        <v>Tap 6 Clone (10/15/2021)</v>
      </c>
      <c r="H1112" s="19"/>
    </row>
    <row r="1113">
      <c r="A1113" s="9"/>
      <c r="B1113" s="15"/>
      <c r="C1113" s="9">
        <f>IFERROR(__xludf.DUMMYFUNCTION("""COMPUTED_VALUE"""),44500.1094412268)</f>
        <v>44500.10944</v>
      </c>
      <c r="D1113" s="15">
        <f>IFERROR(__xludf.DUMMYFUNCTION("""COMPUTED_VALUE"""),1.014)</f>
        <v>1.014</v>
      </c>
      <c r="E1113" s="16">
        <f>IFERROR(__xludf.DUMMYFUNCTION("""COMPUTED_VALUE"""),65.0)</f>
        <v>65</v>
      </c>
      <c r="F1113" s="19" t="str">
        <f>IFERROR(__xludf.DUMMYFUNCTION("""COMPUTED_VALUE"""),"BLACK")</f>
        <v>BLACK</v>
      </c>
      <c r="G1113" s="20" t="str">
        <f>IFERROR(__xludf.DUMMYFUNCTION("""COMPUTED_VALUE"""),"Tap 6 Clone (10/15/2021)")</f>
        <v>Tap 6 Clone (10/15/2021)</v>
      </c>
      <c r="H1113" s="19"/>
    </row>
    <row r="1114">
      <c r="A1114" s="9"/>
      <c r="B1114" s="15"/>
      <c r="C1114" s="9">
        <f>IFERROR(__xludf.DUMMYFUNCTION("""COMPUTED_VALUE"""),44500.0990183564)</f>
        <v>44500.09902</v>
      </c>
      <c r="D1114" s="15">
        <f>IFERROR(__xludf.DUMMYFUNCTION("""COMPUTED_VALUE"""),1.015)</f>
        <v>1.015</v>
      </c>
      <c r="E1114" s="16">
        <f>IFERROR(__xludf.DUMMYFUNCTION("""COMPUTED_VALUE"""),65.0)</f>
        <v>65</v>
      </c>
      <c r="F1114" s="19" t="str">
        <f>IFERROR(__xludf.DUMMYFUNCTION("""COMPUTED_VALUE"""),"BLACK")</f>
        <v>BLACK</v>
      </c>
      <c r="G1114" s="20" t="str">
        <f>IFERROR(__xludf.DUMMYFUNCTION("""COMPUTED_VALUE"""),"Tap 6 Clone (10/15/2021)")</f>
        <v>Tap 6 Clone (10/15/2021)</v>
      </c>
      <c r="H1114" s="19"/>
    </row>
    <row r="1115">
      <c r="A1115" s="9"/>
      <c r="B1115" s="15"/>
      <c r="C1115" s="9">
        <f>IFERROR(__xludf.DUMMYFUNCTION("""COMPUTED_VALUE"""),44500.0885969791)</f>
        <v>44500.0886</v>
      </c>
      <c r="D1115" s="15">
        <f>IFERROR(__xludf.DUMMYFUNCTION("""COMPUTED_VALUE"""),1.014)</f>
        <v>1.014</v>
      </c>
      <c r="E1115" s="16">
        <f>IFERROR(__xludf.DUMMYFUNCTION("""COMPUTED_VALUE"""),65.0)</f>
        <v>65</v>
      </c>
      <c r="F1115" s="19" t="str">
        <f>IFERROR(__xludf.DUMMYFUNCTION("""COMPUTED_VALUE"""),"BLACK")</f>
        <v>BLACK</v>
      </c>
      <c r="G1115" s="20" t="str">
        <f>IFERROR(__xludf.DUMMYFUNCTION("""COMPUTED_VALUE"""),"Tap 6 Clone (10/15/2021)")</f>
        <v>Tap 6 Clone (10/15/2021)</v>
      </c>
      <c r="H1115" s="19"/>
    </row>
    <row r="1116">
      <c r="A1116" s="9"/>
      <c r="B1116" s="15"/>
      <c r="C1116" s="9">
        <f>IFERROR(__xludf.DUMMYFUNCTION("""COMPUTED_VALUE"""),44500.078176574)</f>
        <v>44500.07818</v>
      </c>
      <c r="D1116" s="15">
        <f>IFERROR(__xludf.DUMMYFUNCTION("""COMPUTED_VALUE"""),1.014)</f>
        <v>1.014</v>
      </c>
      <c r="E1116" s="16">
        <f>IFERROR(__xludf.DUMMYFUNCTION("""COMPUTED_VALUE"""),65.0)</f>
        <v>65</v>
      </c>
      <c r="F1116" s="19" t="str">
        <f>IFERROR(__xludf.DUMMYFUNCTION("""COMPUTED_VALUE"""),"BLACK")</f>
        <v>BLACK</v>
      </c>
      <c r="G1116" s="20" t="str">
        <f>IFERROR(__xludf.DUMMYFUNCTION("""COMPUTED_VALUE"""),"Tap 6 Clone (10/15/2021)")</f>
        <v>Tap 6 Clone (10/15/2021)</v>
      </c>
      <c r="H1116" s="19"/>
    </row>
    <row r="1117">
      <c r="A1117" s="9"/>
      <c r="B1117" s="15"/>
      <c r="C1117" s="9">
        <f>IFERROR(__xludf.DUMMYFUNCTION("""COMPUTED_VALUE"""),44500.0677441782)</f>
        <v>44500.06774</v>
      </c>
      <c r="D1117" s="15">
        <f>IFERROR(__xludf.DUMMYFUNCTION("""COMPUTED_VALUE"""),1.014)</f>
        <v>1.014</v>
      </c>
      <c r="E1117" s="16">
        <f>IFERROR(__xludf.DUMMYFUNCTION("""COMPUTED_VALUE"""),65.0)</f>
        <v>65</v>
      </c>
      <c r="F1117" s="19" t="str">
        <f>IFERROR(__xludf.DUMMYFUNCTION("""COMPUTED_VALUE"""),"BLACK")</f>
        <v>BLACK</v>
      </c>
      <c r="G1117" s="20" t="str">
        <f>IFERROR(__xludf.DUMMYFUNCTION("""COMPUTED_VALUE"""),"Tap 6 Clone (10/15/2021)")</f>
        <v>Tap 6 Clone (10/15/2021)</v>
      </c>
      <c r="H1117" s="19"/>
    </row>
    <row r="1118">
      <c r="A1118" s="9"/>
      <c r="B1118" s="15"/>
      <c r="C1118" s="9">
        <f>IFERROR(__xludf.DUMMYFUNCTION("""COMPUTED_VALUE"""),44500.0573239583)</f>
        <v>44500.05732</v>
      </c>
      <c r="D1118" s="15">
        <f>IFERROR(__xludf.DUMMYFUNCTION("""COMPUTED_VALUE"""),1.014)</f>
        <v>1.014</v>
      </c>
      <c r="E1118" s="16">
        <f>IFERROR(__xludf.DUMMYFUNCTION("""COMPUTED_VALUE"""),65.0)</f>
        <v>65</v>
      </c>
      <c r="F1118" s="19" t="str">
        <f>IFERROR(__xludf.DUMMYFUNCTION("""COMPUTED_VALUE"""),"BLACK")</f>
        <v>BLACK</v>
      </c>
      <c r="G1118" s="20" t="str">
        <f>IFERROR(__xludf.DUMMYFUNCTION("""COMPUTED_VALUE"""),"Tap 6 Clone (10/15/2021)")</f>
        <v>Tap 6 Clone (10/15/2021)</v>
      </c>
      <c r="H1118" s="19"/>
    </row>
    <row r="1119">
      <c r="A1119" s="9"/>
      <c r="B1119" s="15"/>
      <c r="C1119" s="9">
        <f>IFERROR(__xludf.DUMMYFUNCTION("""COMPUTED_VALUE"""),44500.046901412)</f>
        <v>44500.0469</v>
      </c>
      <c r="D1119" s="15">
        <f>IFERROR(__xludf.DUMMYFUNCTION("""COMPUTED_VALUE"""),1.014)</f>
        <v>1.014</v>
      </c>
      <c r="E1119" s="16">
        <f>IFERROR(__xludf.DUMMYFUNCTION("""COMPUTED_VALUE"""),65.0)</f>
        <v>65</v>
      </c>
      <c r="F1119" s="19" t="str">
        <f>IFERROR(__xludf.DUMMYFUNCTION("""COMPUTED_VALUE"""),"BLACK")</f>
        <v>BLACK</v>
      </c>
      <c r="G1119" s="20" t="str">
        <f>IFERROR(__xludf.DUMMYFUNCTION("""COMPUTED_VALUE"""),"Tap 6 Clone (10/15/2021)")</f>
        <v>Tap 6 Clone (10/15/2021)</v>
      </c>
      <c r="H1119" s="19"/>
    </row>
    <row r="1120">
      <c r="A1120" s="9"/>
      <c r="B1120" s="15"/>
      <c r="C1120" s="9">
        <f>IFERROR(__xludf.DUMMYFUNCTION("""COMPUTED_VALUE"""),44500.0364800463)</f>
        <v>44500.03648</v>
      </c>
      <c r="D1120" s="15">
        <f>IFERROR(__xludf.DUMMYFUNCTION("""COMPUTED_VALUE"""),1.015)</f>
        <v>1.015</v>
      </c>
      <c r="E1120" s="16">
        <f>IFERROR(__xludf.DUMMYFUNCTION("""COMPUTED_VALUE"""),65.0)</f>
        <v>65</v>
      </c>
      <c r="F1120" s="19" t="str">
        <f>IFERROR(__xludf.DUMMYFUNCTION("""COMPUTED_VALUE"""),"BLACK")</f>
        <v>BLACK</v>
      </c>
      <c r="G1120" s="20" t="str">
        <f>IFERROR(__xludf.DUMMYFUNCTION("""COMPUTED_VALUE"""),"Tap 6 Clone (10/15/2021)")</f>
        <v>Tap 6 Clone (10/15/2021)</v>
      </c>
      <c r="H1120" s="19"/>
    </row>
    <row r="1121">
      <c r="A1121" s="9"/>
      <c r="B1121" s="15"/>
      <c r="C1121" s="9">
        <f>IFERROR(__xludf.DUMMYFUNCTION("""COMPUTED_VALUE"""),44500.026046412)</f>
        <v>44500.02605</v>
      </c>
      <c r="D1121" s="15">
        <f>IFERROR(__xludf.DUMMYFUNCTION("""COMPUTED_VALUE"""),1.015)</f>
        <v>1.015</v>
      </c>
      <c r="E1121" s="16">
        <f>IFERROR(__xludf.DUMMYFUNCTION("""COMPUTED_VALUE"""),65.0)</f>
        <v>65</v>
      </c>
      <c r="F1121" s="19" t="str">
        <f>IFERROR(__xludf.DUMMYFUNCTION("""COMPUTED_VALUE"""),"BLACK")</f>
        <v>BLACK</v>
      </c>
      <c r="G1121" s="20" t="str">
        <f>IFERROR(__xludf.DUMMYFUNCTION("""COMPUTED_VALUE"""),"Tap 6 Clone (10/15/2021)")</f>
        <v>Tap 6 Clone (10/15/2021)</v>
      </c>
      <c r="H1121" s="19"/>
    </row>
    <row r="1122">
      <c r="A1122" s="9"/>
      <c r="B1122" s="15"/>
      <c r="C1122" s="9">
        <f>IFERROR(__xludf.DUMMYFUNCTION("""COMPUTED_VALUE"""),44500.0156253009)</f>
        <v>44500.01563</v>
      </c>
      <c r="D1122" s="15">
        <f>IFERROR(__xludf.DUMMYFUNCTION("""COMPUTED_VALUE"""),1.016)</f>
        <v>1.016</v>
      </c>
      <c r="E1122" s="16">
        <f>IFERROR(__xludf.DUMMYFUNCTION("""COMPUTED_VALUE"""),65.0)</f>
        <v>65</v>
      </c>
      <c r="F1122" s="19" t="str">
        <f>IFERROR(__xludf.DUMMYFUNCTION("""COMPUTED_VALUE"""),"BLACK")</f>
        <v>BLACK</v>
      </c>
      <c r="G1122" s="20" t="str">
        <f>IFERROR(__xludf.DUMMYFUNCTION("""COMPUTED_VALUE"""),"Tap 6 Clone (10/15/2021)")</f>
        <v>Tap 6 Clone (10/15/2021)</v>
      </c>
      <c r="H1122" s="19"/>
    </row>
    <row r="1123">
      <c r="A1123" s="9"/>
      <c r="B1123" s="15"/>
      <c r="C1123" s="9">
        <f>IFERROR(__xludf.DUMMYFUNCTION("""COMPUTED_VALUE"""),44500.005204537)</f>
        <v>44500.0052</v>
      </c>
      <c r="D1123" s="15">
        <f>IFERROR(__xludf.DUMMYFUNCTION("""COMPUTED_VALUE"""),1.016)</f>
        <v>1.016</v>
      </c>
      <c r="E1123" s="16">
        <f>IFERROR(__xludf.DUMMYFUNCTION("""COMPUTED_VALUE"""),65.0)</f>
        <v>65</v>
      </c>
      <c r="F1123" s="19" t="str">
        <f>IFERROR(__xludf.DUMMYFUNCTION("""COMPUTED_VALUE"""),"BLACK")</f>
        <v>BLACK</v>
      </c>
      <c r="G1123" s="20" t="str">
        <f>IFERROR(__xludf.DUMMYFUNCTION("""COMPUTED_VALUE"""),"Tap 6 Clone (10/15/2021)")</f>
        <v>Tap 6 Clone (10/15/2021)</v>
      </c>
      <c r="H1123" s="19"/>
    </row>
    <row r="1124">
      <c r="A1124" s="9"/>
      <c r="B1124" s="15"/>
      <c r="C1124" s="9">
        <f>IFERROR(__xludf.DUMMYFUNCTION("""COMPUTED_VALUE"""),44499.9947711342)</f>
        <v>44499.99477</v>
      </c>
      <c r="D1124" s="15">
        <f>IFERROR(__xludf.DUMMYFUNCTION("""COMPUTED_VALUE"""),1.015)</f>
        <v>1.015</v>
      </c>
      <c r="E1124" s="16">
        <f>IFERROR(__xludf.DUMMYFUNCTION("""COMPUTED_VALUE"""),65.0)</f>
        <v>65</v>
      </c>
      <c r="F1124" s="19" t="str">
        <f>IFERROR(__xludf.DUMMYFUNCTION("""COMPUTED_VALUE"""),"BLACK")</f>
        <v>BLACK</v>
      </c>
      <c r="G1124" s="20" t="str">
        <f>IFERROR(__xludf.DUMMYFUNCTION("""COMPUTED_VALUE"""),"Tap 6 Clone (10/15/2021)")</f>
        <v>Tap 6 Clone (10/15/2021)</v>
      </c>
      <c r="H1124" s="19"/>
    </row>
    <row r="1125">
      <c r="A1125" s="9"/>
      <c r="B1125" s="15"/>
      <c r="C1125" s="9">
        <f>IFERROR(__xludf.DUMMYFUNCTION("""COMPUTED_VALUE"""),44499.9843510185)</f>
        <v>44499.98435</v>
      </c>
      <c r="D1125" s="15">
        <f>IFERROR(__xludf.DUMMYFUNCTION("""COMPUTED_VALUE"""),1.015)</f>
        <v>1.015</v>
      </c>
      <c r="E1125" s="16">
        <f>IFERROR(__xludf.DUMMYFUNCTION("""COMPUTED_VALUE"""),65.0)</f>
        <v>65</v>
      </c>
      <c r="F1125" s="19" t="str">
        <f>IFERROR(__xludf.DUMMYFUNCTION("""COMPUTED_VALUE"""),"BLACK")</f>
        <v>BLACK</v>
      </c>
      <c r="G1125" s="20" t="str">
        <f>IFERROR(__xludf.DUMMYFUNCTION("""COMPUTED_VALUE"""),"Tap 6 Clone (10/15/2021)")</f>
        <v>Tap 6 Clone (10/15/2021)</v>
      </c>
      <c r="H1125" s="19"/>
    </row>
    <row r="1126">
      <c r="A1126" s="9"/>
      <c r="B1126" s="15"/>
      <c r="C1126" s="9">
        <f>IFERROR(__xludf.DUMMYFUNCTION("""COMPUTED_VALUE"""),44499.9739168865)</f>
        <v>44499.97392</v>
      </c>
      <c r="D1126" s="15">
        <f>IFERROR(__xludf.DUMMYFUNCTION("""COMPUTED_VALUE"""),1.015)</f>
        <v>1.015</v>
      </c>
      <c r="E1126" s="16">
        <f>IFERROR(__xludf.DUMMYFUNCTION("""COMPUTED_VALUE"""),65.0)</f>
        <v>65</v>
      </c>
      <c r="F1126" s="19" t="str">
        <f>IFERROR(__xludf.DUMMYFUNCTION("""COMPUTED_VALUE"""),"BLACK")</f>
        <v>BLACK</v>
      </c>
      <c r="G1126" s="20" t="str">
        <f>IFERROR(__xludf.DUMMYFUNCTION("""COMPUTED_VALUE"""),"Tap 6 Clone (10/15/2021)")</f>
        <v>Tap 6 Clone (10/15/2021)</v>
      </c>
      <c r="H1126" s="19"/>
    </row>
    <row r="1127">
      <c r="A1127" s="9"/>
      <c r="B1127" s="15"/>
      <c r="C1127" s="9">
        <f>IFERROR(__xludf.DUMMYFUNCTION("""COMPUTED_VALUE"""),44499.9634941551)</f>
        <v>44499.96349</v>
      </c>
      <c r="D1127" s="15">
        <f>IFERROR(__xludf.DUMMYFUNCTION("""COMPUTED_VALUE"""),1.015)</f>
        <v>1.015</v>
      </c>
      <c r="E1127" s="16">
        <f>IFERROR(__xludf.DUMMYFUNCTION("""COMPUTED_VALUE"""),65.0)</f>
        <v>65</v>
      </c>
      <c r="F1127" s="19" t="str">
        <f>IFERROR(__xludf.DUMMYFUNCTION("""COMPUTED_VALUE"""),"BLACK")</f>
        <v>BLACK</v>
      </c>
      <c r="G1127" s="20" t="str">
        <f>IFERROR(__xludf.DUMMYFUNCTION("""COMPUTED_VALUE"""),"Tap 6 Clone (10/15/2021)")</f>
        <v>Tap 6 Clone (10/15/2021)</v>
      </c>
      <c r="H1127" s="19"/>
    </row>
    <row r="1128">
      <c r="A1128" s="9"/>
      <c r="B1128" s="15"/>
      <c r="C1128" s="9">
        <f>IFERROR(__xludf.DUMMYFUNCTION("""COMPUTED_VALUE"""),44499.9530605671)</f>
        <v>44499.95306</v>
      </c>
      <c r="D1128" s="15">
        <f>IFERROR(__xludf.DUMMYFUNCTION("""COMPUTED_VALUE"""),1.015)</f>
        <v>1.015</v>
      </c>
      <c r="E1128" s="16">
        <f>IFERROR(__xludf.DUMMYFUNCTION("""COMPUTED_VALUE"""),65.0)</f>
        <v>65</v>
      </c>
      <c r="F1128" s="19" t="str">
        <f>IFERROR(__xludf.DUMMYFUNCTION("""COMPUTED_VALUE"""),"BLACK")</f>
        <v>BLACK</v>
      </c>
      <c r="G1128" s="20" t="str">
        <f>IFERROR(__xludf.DUMMYFUNCTION("""COMPUTED_VALUE"""),"Tap 6 Clone (10/15/2021)")</f>
        <v>Tap 6 Clone (10/15/2021)</v>
      </c>
      <c r="H1128" s="19"/>
    </row>
    <row r="1129">
      <c r="A1129" s="9"/>
      <c r="B1129" s="15"/>
      <c r="C1129" s="9">
        <f>IFERROR(__xludf.DUMMYFUNCTION("""COMPUTED_VALUE"""),44499.942640081)</f>
        <v>44499.94264</v>
      </c>
      <c r="D1129" s="15">
        <f>IFERROR(__xludf.DUMMYFUNCTION("""COMPUTED_VALUE"""),1.015)</f>
        <v>1.015</v>
      </c>
      <c r="E1129" s="16">
        <f>IFERROR(__xludf.DUMMYFUNCTION("""COMPUTED_VALUE"""),65.0)</f>
        <v>65</v>
      </c>
      <c r="F1129" s="19" t="str">
        <f>IFERROR(__xludf.DUMMYFUNCTION("""COMPUTED_VALUE"""),"BLACK")</f>
        <v>BLACK</v>
      </c>
      <c r="G1129" s="20" t="str">
        <f>IFERROR(__xludf.DUMMYFUNCTION("""COMPUTED_VALUE"""),"Tap 6 Clone (10/15/2021)")</f>
        <v>Tap 6 Clone (10/15/2021)</v>
      </c>
      <c r="H1129" s="19"/>
    </row>
    <row r="1130">
      <c r="A1130" s="9"/>
      <c r="B1130" s="15"/>
      <c r="C1130" s="9">
        <f>IFERROR(__xludf.DUMMYFUNCTION("""COMPUTED_VALUE"""),44499.9322208217)</f>
        <v>44499.93222</v>
      </c>
      <c r="D1130" s="15">
        <f>IFERROR(__xludf.DUMMYFUNCTION("""COMPUTED_VALUE"""),1.015)</f>
        <v>1.015</v>
      </c>
      <c r="E1130" s="16">
        <f>IFERROR(__xludf.DUMMYFUNCTION("""COMPUTED_VALUE"""),65.0)</f>
        <v>65</v>
      </c>
      <c r="F1130" s="19" t="str">
        <f>IFERROR(__xludf.DUMMYFUNCTION("""COMPUTED_VALUE"""),"BLACK")</f>
        <v>BLACK</v>
      </c>
      <c r="G1130" s="20" t="str">
        <f>IFERROR(__xludf.DUMMYFUNCTION("""COMPUTED_VALUE"""),"Tap 6 Clone (10/15/2021)")</f>
        <v>Tap 6 Clone (10/15/2021)</v>
      </c>
      <c r="H1130" s="19"/>
    </row>
    <row r="1131">
      <c r="A1131" s="9"/>
      <c r="B1131" s="15"/>
      <c r="C1131" s="9">
        <f>IFERROR(__xludf.DUMMYFUNCTION("""COMPUTED_VALUE"""),44499.9218006828)</f>
        <v>44499.9218</v>
      </c>
      <c r="D1131" s="15">
        <f>IFERROR(__xludf.DUMMYFUNCTION("""COMPUTED_VALUE"""),1.015)</f>
        <v>1.015</v>
      </c>
      <c r="E1131" s="16">
        <f>IFERROR(__xludf.DUMMYFUNCTION("""COMPUTED_VALUE"""),65.0)</f>
        <v>65</v>
      </c>
      <c r="F1131" s="19" t="str">
        <f>IFERROR(__xludf.DUMMYFUNCTION("""COMPUTED_VALUE"""),"BLACK")</f>
        <v>BLACK</v>
      </c>
      <c r="G1131" s="20" t="str">
        <f>IFERROR(__xludf.DUMMYFUNCTION("""COMPUTED_VALUE"""),"Tap 6 Clone (10/15/2021)")</f>
        <v>Tap 6 Clone (10/15/2021)</v>
      </c>
      <c r="H1131" s="19"/>
    </row>
    <row r="1132">
      <c r="A1132" s="9"/>
      <c r="B1132" s="15"/>
      <c r="C1132" s="9">
        <f>IFERROR(__xludf.DUMMYFUNCTION("""COMPUTED_VALUE"""),44499.9113780439)</f>
        <v>44499.91138</v>
      </c>
      <c r="D1132" s="15">
        <f>IFERROR(__xludf.DUMMYFUNCTION("""COMPUTED_VALUE"""),1.015)</f>
        <v>1.015</v>
      </c>
      <c r="E1132" s="16">
        <f>IFERROR(__xludf.DUMMYFUNCTION("""COMPUTED_VALUE"""),65.0)</f>
        <v>65</v>
      </c>
      <c r="F1132" s="19" t="str">
        <f>IFERROR(__xludf.DUMMYFUNCTION("""COMPUTED_VALUE"""),"BLACK")</f>
        <v>BLACK</v>
      </c>
      <c r="G1132" s="20" t="str">
        <f>IFERROR(__xludf.DUMMYFUNCTION("""COMPUTED_VALUE"""),"Tap 6 Clone (10/15/2021)")</f>
        <v>Tap 6 Clone (10/15/2021)</v>
      </c>
      <c r="H1132" s="19"/>
    </row>
    <row r="1133">
      <c r="A1133" s="9"/>
      <c r="B1133" s="15"/>
      <c r="C1133" s="9">
        <f>IFERROR(__xludf.DUMMYFUNCTION("""COMPUTED_VALUE"""),44499.9009563773)</f>
        <v>44499.90096</v>
      </c>
      <c r="D1133" s="15">
        <f>IFERROR(__xludf.DUMMYFUNCTION("""COMPUTED_VALUE"""),1.015)</f>
        <v>1.015</v>
      </c>
      <c r="E1133" s="16">
        <f>IFERROR(__xludf.DUMMYFUNCTION("""COMPUTED_VALUE"""),65.0)</f>
        <v>65</v>
      </c>
      <c r="F1133" s="19" t="str">
        <f>IFERROR(__xludf.DUMMYFUNCTION("""COMPUTED_VALUE"""),"BLACK")</f>
        <v>BLACK</v>
      </c>
      <c r="G1133" s="20" t="str">
        <f>IFERROR(__xludf.DUMMYFUNCTION("""COMPUTED_VALUE"""),"Tap 6 Clone (10/15/2021)")</f>
        <v>Tap 6 Clone (10/15/2021)</v>
      </c>
      <c r="H1133" s="19"/>
    </row>
    <row r="1134">
      <c r="A1134" s="9"/>
      <c r="B1134" s="15"/>
      <c r="C1134" s="9">
        <f>IFERROR(__xludf.DUMMYFUNCTION("""COMPUTED_VALUE"""),44499.8905356018)</f>
        <v>44499.89054</v>
      </c>
      <c r="D1134" s="15">
        <f>IFERROR(__xludf.DUMMYFUNCTION("""COMPUTED_VALUE"""),1.015)</f>
        <v>1.015</v>
      </c>
      <c r="E1134" s="16">
        <f>IFERROR(__xludf.DUMMYFUNCTION("""COMPUTED_VALUE"""),65.0)</f>
        <v>65</v>
      </c>
      <c r="F1134" s="19" t="str">
        <f>IFERROR(__xludf.DUMMYFUNCTION("""COMPUTED_VALUE"""),"BLACK")</f>
        <v>BLACK</v>
      </c>
      <c r="G1134" s="20" t="str">
        <f>IFERROR(__xludf.DUMMYFUNCTION("""COMPUTED_VALUE"""),"Tap 6 Clone (10/15/2021)")</f>
        <v>Tap 6 Clone (10/15/2021)</v>
      </c>
      <c r="H1134" s="19"/>
    </row>
    <row r="1135">
      <c r="A1135" s="9"/>
      <c r="B1135" s="15"/>
      <c r="C1135" s="9">
        <f>IFERROR(__xludf.DUMMYFUNCTION("""COMPUTED_VALUE"""),44499.8801137037)</f>
        <v>44499.88011</v>
      </c>
      <c r="D1135" s="15">
        <f>IFERROR(__xludf.DUMMYFUNCTION("""COMPUTED_VALUE"""),1.015)</f>
        <v>1.015</v>
      </c>
      <c r="E1135" s="16">
        <f>IFERROR(__xludf.DUMMYFUNCTION("""COMPUTED_VALUE"""),65.0)</f>
        <v>65</v>
      </c>
      <c r="F1135" s="19" t="str">
        <f>IFERROR(__xludf.DUMMYFUNCTION("""COMPUTED_VALUE"""),"BLACK")</f>
        <v>BLACK</v>
      </c>
      <c r="G1135" s="20" t="str">
        <f>IFERROR(__xludf.DUMMYFUNCTION("""COMPUTED_VALUE"""),"Tap 6 Clone (10/15/2021)")</f>
        <v>Tap 6 Clone (10/15/2021)</v>
      </c>
      <c r="H1135" s="19"/>
    </row>
    <row r="1136">
      <c r="A1136" s="9"/>
      <c r="B1136" s="15"/>
      <c r="C1136" s="9">
        <f>IFERROR(__xludf.DUMMYFUNCTION("""COMPUTED_VALUE"""),44499.869681331)</f>
        <v>44499.86968</v>
      </c>
      <c r="D1136" s="15">
        <f>IFERROR(__xludf.DUMMYFUNCTION("""COMPUTED_VALUE"""),1.015)</f>
        <v>1.015</v>
      </c>
      <c r="E1136" s="16">
        <f>IFERROR(__xludf.DUMMYFUNCTION("""COMPUTED_VALUE"""),65.0)</f>
        <v>65</v>
      </c>
      <c r="F1136" s="19" t="str">
        <f>IFERROR(__xludf.DUMMYFUNCTION("""COMPUTED_VALUE"""),"BLACK")</f>
        <v>BLACK</v>
      </c>
      <c r="G1136" s="20" t="str">
        <f>IFERROR(__xludf.DUMMYFUNCTION("""COMPUTED_VALUE"""),"Tap 6 Clone (10/15/2021)")</f>
        <v>Tap 6 Clone (10/15/2021)</v>
      </c>
      <c r="H1136" s="19"/>
    </row>
    <row r="1137">
      <c r="A1137" s="9"/>
      <c r="B1137" s="15"/>
      <c r="C1137" s="9">
        <f>IFERROR(__xludf.DUMMYFUNCTION("""COMPUTED_VALUE"""),44499.8592494213)</f>
        <v>44499.85925</v>
      </c>
      <c r="D1137" s="15">
        <f>IFERROR(__xludf.DUMMYFUNCTION("""COMPUTED_VALUE"""),1.015)</f>
        <v>1.015</v>
      </c>
      <c r="E1137" s="16">
        <f>IFERROR(__xludf.DUMMYFUNCTION("""COMPUTED_VALUE"""),65.0)</f>
        <v>65</v>
      </c>
      <c r="F1137" s="19" t="str">
        <f>IFERROR(__xludf.DUMMYFUNCTION("""COMPUTED_VALUE"""),"BLACK")</f>
        <v>BLACK</v>
      </c>
      <c r="G1137" s="20" t="str">
        <f>IFERROR(__xludf.DUMMYFUNCTION("""COMPUTED_VALUE"""),"Tap 6 Clone (10/15/2021)")</f>
        <v>Tap 6 Clone (10/15/2021)</v>
      </c>
      <c r="H1137" s="19"/>
    </row>
    <row r="1138">
      <c r="A1138" s="9"/>
      <c r="B1138" s="15"/>
      <c r="C1138" s="9">
        <f>IFERROR(__xludf.DUMMYFUNCTION("""COMPUTED_VALUE"""),44499.8488286921)</f>
        <v>44499.84883</v>
      </c>
      <c r="D1138" s="15">
        <f>IFERROR(__xludf.DUMMYFUNCTION("""COMPUTED_VALUE"""),1.015)</f>
        <v>1.015</v>
      </c>
      <c r="E1138" s="16">
        <f>IFERROR(__xludf.DUMMYFUNCTION("""COMPUTED_VALUE"""),64.0)</f>
        <v>64</v>
      </c>
      <c r="F1138" s="19" t="str">
        <f>IFERROR(__xludf.DUMMYFUNCTION("""COMPUTED_VALUE"""),"BLACK")</f>
        <v>BLACK</v>
      </c>
      <c r="G1138" s="20" t="str">
        <f>IFERROR(__xludf.DUMMYFUNCTION("""COMPUTED_VALUE"""),"Tap 6 Clone (10/15/2021)")</f>
        <v>Tap 6 Clone (10/15/2021)</v>
      </c>
      <c r="H1138" s="19"/>
    </row>
    <row r="1139">
      <c r="A1139" s="9"/>
      <c r="B1139" s="15"/>
      <c r="C1139" s="9">
        <f>IFERROR(__xludf.DUMMYFUNCTION("""COMPUTED_VALUE"""),44499.8384058796)</f>
        <v>44499.83841</v>
      </c>
      <c r="D1139" s="15">
        <f>IFERROR(__xludf.DUMMYFUNCTION("""COMPUTED_VALUE"""),1.015)</f>
        <v>1.015</v>
      </c>
      <c r="E1139" s="16">
        <f>IFERROR(__xludf.DUMMYFUNCTION("""COMPUTED_VALUE"""),64.0)</f>
        <v>64</v>
      </c>
      <c r="F1139" s="19" t="str">
        <f>IFERROR(__xludf.DUMMYFUNCTION("""COMPUTED_VALUE"""),"BLACK")</f>
        <v>BLACK</v>
      </c>
      <c r="G1139" s="20" t="str">
        <f>IFERROR(__xludf.DUMMYFUNCTION("""COMPUTED_VALUE"""),"Tap 6 Clone (10/15/2021)")</f>
        <v>Tap 6 Clone (10/15/2021)</v>
      </c>
      <c r="H1139" s="19"/>
    </row>
    <row r="1140">
      <c r="A1140" s="9"/>
      <c r="B1140" s="15"/>
      <c r="C1140" s="9">
        <f>IFERROR(__xludf.DUMMYFUNCTION("""COMPUTED_VALUE"""),44499.8279852893)</f>
        <v>44499.82799</v>
      </c>
      <c r="D1140" s="15">
        <f>IFERROR(__xludf.DUMMYFUNCTION("""COMPUTED_VALUE"""),1.015)</f>
        <v>1.015</v>
      </c>
      <c r="E1140" s="16">
        <f>IFERROR(__xludf.DUMMYFUNCTION("""COMPUTED_VALUE"""),65.0)</f>
        <v>65</v>
      </c>
      <c r="F1140" s="19" t="str">
        <f>IFERROR(__xludf.DUMMYFUNCTION("""COMPUTED_VALUE"""),"BLACK")</f>
        <v>BLACK</v>
      </c>
      <c r="G1140" s="20" t="str">
        <f>IFERROR(__xludf.DUMMYFUNCTION("""COMPUTED_VALUE"""),"Tap 6 Clone (10/15/2021)")</f>
        <v>Tap 6 Clone (10/15/2021)</v>
      </c>
      <c r="H1140" s="19"/>
    </row>
    <row r="1141">
      <c r="A1141" s="9"/>
      <c r="B1141" s="15"/>
      <c r="C1141" s="9">
        <f>IFERROR(__xludf.DUMMYFUNCTION("""COMPUTED_VALUE"""),44499.817552199)</f>
        <v>44499.81755</v>
      </c>
      <c r="D1141" s="15">
        <f>IFERROR(__xludf.DUMMYFUNCTION("""COMPUTED_VALUE"""),1.015)</f>
        <v>1.015</v>
      </c>
      <c r="E1141" s="16">
        <f>IFERROR(__xludf.DUMMYFUNCTION("""COMPUTED_VALUE"""),64.0)</f>
        <v>64</v>
      </c>
      <c r="F1141" s="19" t="str">
        <f>IFERROR(__xludf.DUMMYFUNCTION("""COMPUTED_VALUE"""),"BLACK")</f>
        <v>BLACK</v>
      </c>
      <c r="G1141" s="20" t="str">
        <f>IFERROR(__xludf.DUMMYFUNCTION("""COMPUTED_VALUE"""),"Tap 6 Clone (10/15/2021)")</f>
        <v>Tap 6 Clone (10/15/2021)</v>
      </c>
      <c r="H1141" s="19"/>
    </row>
    <row r="1142">
      <c r="A1142" s="9"/>
      <c r="B1142" s="15"/>
      <c r="C1142" s="9">
        <f>IFERROR(__xludf.DUMMYFUNCTION("""COMPUTED_VALUE"""),44499.807132037)</f>
        <v>44499.80713</v>
      </c>
      <c r="D1142" s="15">
        <f>IFERROR(__xludf.DUMMYFUNCTION("""COMPUTED_VALUE"""),1.015)</f>
        <v>1.015</v>
      </c>
      <c r="E1142" s="16">
        <f>IFERROR(__xludf.DUMMYFUNCTION("""COMPUTED_VALUE"""),64.0)</f>
        <v>64</v>
      </c>
      <c r="F1142" s="19" t="str">
        <f>IFERROR(__xludf.DUMMYFUNCTION("""COMPUTED_VALUE"""),"BLACK")</f>
        <v>BLACK</v>
      </c>
      <c r="G1142" s="20" t="str">
        <f>IFERROR(__xludf.DUMMYFUNCTION("""COMPUTED_VALUE"""),"Tap 6 Clone (10/15/2021)")</f>
        <v>Tap 6 Clone (10/15/2021)</v>
      </c>
      <c r="H1142" s="19"/>
    </row>
    <row r="1143">
      <c r="A1143" s="9"/>
      <c r="B1143" s="15"/>
      <c r="C1143" s="9">
        <f>IFERROR(__xludf.DUMMYFUNCTION("""COMPUTED_VALUE"""),44499.7967123263)</f>
        <v>44499.79671</v>
      </c>
      <c r="D1143" s="15">
        <f>IFERROR(__xludf.DUMMYFUNCTION("""COMPUTED_VALUE"""),1.015)</f>
        <v>1.015</v>
      </c>
      <c r="E1143" s="16">
        <f>IFERROR(__xludf.DUMMYFUNCTION("""COMPUTED_VALUE"""),64.0)</f>
        <v>64</v>
      </c>
      <c r="F1143" s="19" t="str">
        <f>IFERROR(__xludf.DUMMYFUNCTION("""COMPUTED_VALUE"""),"BLACK")</f>
        <v>BLACK</v>
      </c>
      <c r="G1143" s="20" t="str">
        <f>IFERROR(__xludf.DUMMYFUNCTION("""COMPUTED_VALUE"""),"Tap 6 Clone (10/15/2021)")</f>
        <v>Tap 6 Clone (10/15/2021)</v>
      </c>
      <c r="H1143" s="19"/>
    </row>
    <row r="1144">
      <c r="A1144" s="9"/>
      <c r="B1144" s="15"/>
      <c r="C1144" s="9">
        <f>IFERROR(__xludf.DUMMYFUNCTION("""COMPUTED_VALUE"""),44499.7862804629)</f>
        <v>44499.78628</v>
      </c>
      <c r="D1144" s="15">
        <f>IFERROR(__xludf.DUMMYFUNCTION("""COMPUTED_VALUE"""),1.014)</f>
        <v>1.014</v>
      </c>
      <c r="E1144" s="16">
        <f>IFERROR(__xludf.DUMMYFUNCTION("""COMPUTED_VALUE"""),64.0)</f>
        <v>64</v>
      </c>
      <c r="F1144" s="19" t="str">
        <f>IFERROR(__xludf.DUMMYFUNCTION("""COMPUTED_VALUE"""),"BLACK")</f>
        <v>BLACK</v>
      </c>
      <c r="G1144" s="20" t="str">
        <f>IFERROR(__xludf.DUMMYFUNCTION("""COMPUTED_VALUE"""),"Tap 6 Clone (10/15/2021)")</f>
        <v>Tap 6 Clone (10/15/2021)</v>
      </c>
      <c r="H1144" s="19"/>
    </row>
    <row r="1145">
      <c r="A1145" s="9"/>
      <c r="B1145" s="15"/>
      <c r="C1145" s="9">
        <f>IFERROR(__xludf.DUMMYFUNCTION("""COMPUTED_VALUE"""),44499.7758585416)</f>
        <v>44499.77586</v>
      </c>
      <c r="D1145" s="15">
        <f>IFERROR(__xludf.DUMMYFUNCTION("""COMPUTED_VALUE"""),1.015)</f>
        <v>1.015</v>
      </c>
      <c r="E1145" s="16">
        <f>IFERROR(__xludf.DUMMYFUNCTION("""COMPUTED_VALUE"""),64.0)</f>
        <v>64</v>
      </c>
      <c r="F1145" s="19" t="str">
        <f>IFERROR(__xludf.DUMMYFUNCTION("""COMPUTED_VALUE"""),"BLACK")</f>
        <v>BLACK</v>
      </c>
      <c r="G1145" s="20" t="str">
        <f>IFERROR(__xludf.DUMMYFUNCTION("""COMPUTED_VALUE"""),"Tap 6 Clone (10/15/2021)")</f>
        <v>Tap 6 Clone (10/15/2021)</v>
      </c>
      <c r="H1145" s="19"/>
    </row>
    <row r="1146">
      <c r="A1146" s="9"/>
      <c r="B1146" s="15"/>
      <c r="C1146" s="9">
        <f>IFERROR(__xludf.DUMMYFUNCTION("""COMPUTED_VALUE"""),44499.7654398263)</f>
        <v>44499.76544</v>
      </c>
      <c r="D1146" s="15">
        <f>IFERROR(__xludf.DUMMYFUNCTION("""COMPUTED_VALUE"""),1.014)</f>
        <v>1.014</v>
      </c>
      <c r="E1146" s="16">
        <f>IFERROR(__xludf.DUMMYFUNCTION("""COMPUTED_VALUE"""),64.0)</f>
        <v>64</v>
      </c>
      <c r="F1146" s="19" t="str">
        <f>IFERROR(__xludf.DUMMYFUNCTION("""COMPUTED_VALUE"""),"BLACK")</f>
        <v>BLACK</v>
      </c>
      <c r="G1146" s="20" t="str">
        <f>IFERROR(__xludf.DUMMYFUNCTION("""COMPUTED_VALUE"""),"Tap 6 Clone (10/15/2021)")</f>
        <v>Tap 6 Clone (10/15/2021)</v>
      </c>
      <c r="H1146" s="19"/>
    </row>
    <row r="1147">
      <c r="A1147" s="9"/>
      <c r="B1147" s="15"/>
      <c r="C1147" s="9">
        <f>IFERROR(__xludf.DUMMYFUNCTION("""COMPUTED_VALUE"""),44499.755019074)</f>
        <v>44499.75502</v>
      </c>
      <c r="D1147" s="15">
        <f>IFERROR(__xludf.DUMMYFUNCTION("""COMPUTED_VALUE"""),1.015)</f>
        <v>1.015</v>
      </c>
      <c r="E1147" s="16">
        <f>IFERROR(__xludf.DUMMYFUNCTION("""COMPUTED_VALUE"""),64.0)</f>
        <v>64</v>
      </c>
      <c r="F1147" s="19" t="str">
        <f>IFERROR(__xludf.DUMMYFUNCTION("""COMPUTED_VALUE"""),"BLACK")</f>
        <v>BLACK</v>
      </c>
      <c r="G1147" s="20" t="str">
        <f>IFERROR(__xludf.DUMMYFUNCTION("""COMPUTED_VALUE"""),"Tap 6 Clone (10/15/2021)")</f>
        <v>Tap 6 Clone (10/15/2021)</v>
      </c>
      <c r="H1147" s="19"/>
    </row>
    <row r="1148">
      <c r="A1148" s="9"/>
      <c r="B1148" s="15"/>
      <c r="C1148" s="9">
        <f>IFERROR(__xludf.DUMMYFUNCTION("""COMPUTED_VALUE"""),44499.7445990162)</f>
        <v>44499.7446</v>
      </c>
      <c r="D1148" s="15">
        <f>IFERROR(__xludf.DUMMYFUNCTION("""COMPUTED_VALUE"""),1.015)</f>
        <v>1.015</v>
      </c>
      <c r="E1148" s="16">
        <f>IFERROR(__xludf.DUMMYFUNCTION("""COMPUTED_VALUE"""),64.0)</f>
        <v>64</v>
      </c>
      <c r="F1148" s="19" t="str">
        <f>IFERROR(__xludf.DUMMYFUNCTION("""COMPUTED_VALUE"""),"BLACK")</f>
        <v>BLACK</v>
      </c>
      <c r="G1148" s="20" t="str">
        <f>IFERROR(__xludf.DUMMYFUNCTION("""COMPUTED_VALUE"""),"Tap 6 Clone (10/15/2021)")</f>
        <v>Tap 6 Clone (10/15/2021)</v>
      </c>
      <c r="H1148" s="19"/>
    </row>
    <row r="1149">
      <c r="A1149" s="9"/>
      <c r="B1149" s="15"/>
      <c r="C1149" s="9">
        <f>IFERROR(__xludf.DUMMYFUNCTION("""COMPUTED_VALUE"""),44499.7341765393)</f>
        <v>44499.73418</v>
      </c>
      <c r="D1149" s="15">
        <f>IFERROR(__xludf.DUMMYFUNCTION("""COMPUTED_VALUE"""),1.015)</f>
        <v>1.015</v>
      </c>
      <c r="E1149" s="16">
        <f>IFERROR(__xludf.DUMMYFUNCTION("""COMPUTED_VALUE"""),64.0)</f>
        <v>64</v>
      </c>
      <c r="F1149" s="19" t="str">
        <f>IFERROR(__xludf.DUMMYFUNCTION("""COMPUTED_VALUE"""),"BLACK")</f>
        <v>BLACK</v>
      </c>
      <c r="G1149" s="20" t="str">
        <f>IFERROR(__xludf.DUMMYFUNCTION("""COMPUTED_VALUE"""),"Tap 6 Clone (10/15/2021)")</f>
        <v>Tap 6 Clone (10/15/2021)</v>
      </c>
      <c r="H1149" s="19"/>
    </row>
    <row r="1150">
      <c r="A1150" s="9"/>
      <c r="B1150" s="15"/>
      <c r="C1150" s="9">
        <f>IFERROR(__xludf.DUMMYFUNCTION("""COMPUTED_VALUE"""),44499.7237545023)</f>
        <v>44499.72375</v>
      </c>
      <c r="D1150" s="15">
        <f>IFERROR(__xludf.DUMMYFUNCTION("""COMPUTED_VALUE"""),1.015)</f>
        <v>1.015</v>
      </c>
      <c r="E1150" s="16">
        <f>IFERROR(__xludf.DUMMYFUNCTION("""COMPUTED_VALUE"""),64.0)</f>
        <v>64</v>
      </c>
      <c r="F1150" s="19" t="str">
        <f>IFERROR(__xludf.DUMMYFUNCTION("""COMPUTED_VALUE"""),"BLACK")</f>
        <v>BLACK</v>
      </c>
      <c r="G1150" s="20" t="str">
        <f>IFERROR(__xludf.DUMMYFUNCTION("""COMPUTED_VALUE"""),"Tap 6 Clone (10/15/2021)")</f>
        <v>Tap 6 Clone (10/15/2021)</v>
      </c>
      <c r="H1150" s="19"/>
    </row>
    <row r="1151">
      <c r="A1151" s="9"/>
      <c r="B1151" s="15"/>
      <c r="C1151" s="9">
        <f>IFERROR(__xludf.DUMMYFUNCTION("""COMPUTED_VALUE"""),44499.7133333217)</f>
        <v>44499.71333</v>
      </c>
      <c r="D1151" s="15">
        <f>IFERROR(__xludf.DUMMYFUNCTION("""COMPUTED_VALUE"""),1.015)</f>
        <v>1.015</v>
      </c>
      <c r="E1151" s="16">
        <f>IFERROR(__xludf.DUMMYFUNCTION("""COMPUTED_VALUE"""),64.0)</f>
        <v>64</v>
      </c>
      <c r="F1151" s="19" t="str">
        <f>IFERROR(__xludf.DUMMYFUNCTION("""COMPUTED_VALUE"""),"BLACK")</f>
        <v>BLACK</v>
      </c>
      <c r="G1151" s="20" t="str">
        <f>IFERROR(__xludf.DUMMYFUNCTION("""COMPUTED_VALUE"""),"Tap 6 Clone (10/15/2021)")</f>
        <v>Tap 6 Clone (10/15/2021)</v>
      </c>
      <c r="H1151" s="19"/>
    </row>
    <row r="1152">
      <c r="A1152" s="9"/>
      <c r="B1152" s="15"/>
      <c r="C1152" s="9">
        <f>IFERROR(__xludf.DUMMYFUNCTION("""COMPUTED_VALUE"""),44499.7029014236)</f>
        <v>44499.7029</v>
      </c>
      <c r="D1152" s="15">
        <f>IFERROR(__xludf.DUMMYFUNCTION("""COMPUTED_VALUE"""),1.015)</f>
        <v>1.015</v>
      </c>
      <c r="E1152" s="16">
        <f>IFERROR(__xludf.DUMMYFUNCTION("""COMPUTED_VALUE"""),64.0)</f>
        <v>64</v>
      </c>
      <c r="F1152" s="19" t="str">
        <f>IFERROR(__xludf.DUMMYFUNCTION("""COMPUTED_VALUE"""),"BLACK")</f>
        <v>BLACK</v>
      </c>
      <c r="G1152" s="20" t="str">
        <f>IFERROR(__xludf.DUMMYFUNCTION("""COMPUTED_VALUE"""),"Tap 6 Clone (10/15/2021)")</f>
        <v>Tap 6 Clone (10/15/2021)</v>
      </c>
      <c r="H1152" s="19"/>
    </row>
    <row r="1153">
      <c r="A1153" s="9"/>
      <c r="B1153" s="15"/>
      <c r="C1153" s="9">
        <f>IFERROR(__xludf.DUMMYFUNCTION("""COMPUTED_VALUE"""),44499.6924791666)</f>
        <v>44499.69248</v>
      </c>
      <c r="D1153" s="15">
        <f>IFERROR(__xludf.DUMMYFUNCTION("""COMPUTED_VALUE"""),1.015)</f>
        <v>1.015</v>
      </c>
      <c r="E1153" s="16">
        <f>IFERROR(__xludf.DUMMYFUNCTION("""COMPUTED_VALUE"""),64.0)</f>
        <v>64</v>
      </c>
      <c r="F1153" s="19" t="str">
        <f>IFERROR(__xludf.DUMMYFUNCTION("""COMPUTED_VALUE"""),"BLACK")</f>
        <v>BLACK</v>
      </c>
      <c r="G1153" s="20" t="str">
        <f>IFERROR(__xludf.DUMMYFUNCTION("""COMPUTED_VALUE"""),"Tap 6 Clone (10/15/2021)")</f>
        <v>Tap 6 Clone (10/15/2021)</v>
      </c>
      <c r="H1153" s="19"/>
    </row>
    <row r="1154">
      <c r="A1154" s="9"/>
      <c r="B1154" s="15"/>
      <c r="C1154" s="9">
        <f>IFERROR(__xludf.DUMMYFUNCTION("""COMPUTED_VALUE"""),44499.6820567708)</f>
        <v>44499.68206</v>
      </c>
      <c r="D1154" s="15">
        <f>IFERROR(__xludf.DUMMYFUNCTION("""COMPUTED_VALUE"""),1.015)</f>
        <v>1.015</v>
      </c>
      <c r="E1154" s="16">
        <f>IFERROR(__xludf.DUMMYFUNCTION("""COMPUTED_VALUE"""),64.0)</f>
        <v>64</v>
      </c>
      <c r="F1154" s="19" t="str">
        <f>IFERROR(__xludf.DUMMYFUNCTION("""COMPUTED_VALUE"""),"BLACK")</f>
        <v>BLACK</v>
      </c>
      <c r="G1154" s="20" t="str">
        <f>IFERROR(__xludf.DUMMYFUNCTION("""COMPUTED_VALUE"""),"Tap 6 Clone (10/15/2021)")</f>
        <v>Tap 6 Clone (10/15/2021)</v>
      </c>
      <c r="H1154" s="19"/>
    </row>
    <row r="1155">
      <c r="A1155" s="9"/>
      <c r="B1155" s="15"/>
      <c r="C1155" s="9">
        <f>IFERROR(__xludf.DUMMYFUNCTION("""COMPUTED_VALUE"""),44499.6716127662)</f>
        <v>44499.67161</v>
      </c>
      <c r="D1155" s="15">
        <f>IFERROR(__xludf.DUMMYFUNCTION("""COMPUTED_VALUE"""),1.015)</f>
        <v>1.015</v>
      </c>
      <c r="E1155" s="16">
        <f>IFERROR(__xludf.DUMMYFUNCTION("""COMPUTED_VALUE"""),64.0)</f>
        <v>64</v>
      </c>
      <c r="F1155" s="19" t="str">
        <f>IFERROR(__xludf.DUMMYFUNCTION("""COMPUTED_VALUE"""),"BLACK")</f>
        <v>BLACK</v>
      </c>
      <c r="G1155" s="20" t="str">
        <f>IFERROR(__xludf.DUMMYFUNCTION("""COMPUTED_VALUE"""),"Tap 6 Clone (10/15/2021)")</f>
        <v>Tap 6 Clone (10/15/2021)</v>
      </c>
      <c r="H1155" s="19"/>
    </row>
    <row r="1156">
      <c r="A1156" s="9"/>
      <c r="B1156" s="15"/>
      <c r="C1156" s="9">
        <f>IFERROR(__xludf.DUMMYFUNCTION("""COMPUTED_VALUE"""),44499.6611780324)</f>
        <v>44499.66118</v>
      </c>
      <c r="D1156" s="15">
        <f>IFERROR(__xludf.DUMMYFUNCTION("""COMPUTED_VALUE"""),1.015)</f>
        <v>1.015</v>
      </c>
      <c r="E1156" s="16">
        <f>IFERROR(__xludf.DUMMYFUNCTION("""COMPUTED_VALUE"""),64.0)</f>
        <v>64</v>
      </c>
      <c r="F1156" s="19" t="str">
        <f>IFERROR(__xludf.DUMMYFUNCTION("""COMPUTED_VALUE"""),"BLACK")</f>
        <v>BLACK</v>
      </c>
      <c r="G1156" s="20" t="str">
        <f>IFERROR(__xludf.DUMMYFUNCTION("""COMPUTED_VALUE"""),"Tap 6 Clone (10/15/2021)")</f>
        <v>Tap 6 Clone (10/15/2021)</v>
      </c>
      <c r="H1156" s="19"/>
    </row>
    <row r="1157">
      <c r="A1157" s="9"/>
      <c r="B1157" s="15"/>
      <c r="C1157" s="9">
        <f>IFERROR(__xludf.DUMMYFUNCTION("""COMPUTED_VALUE"""),44499.6507569328)</f>
        <v>44499.65076</v>
      </c>
      <c r="D1157" s="15">
        <f>IFERROR(__xludf.DUMMYFUNCTION("""COMPUTED_VALUE"""),1.015)</f>
        <v>1.015</v>
      </c>
      <c r="E1157" s="16">
        <f>IFERROR(__xludf.DUMMYFUNCTION("""COMPUTED_VALUE"""),64.0)</f>
        <v>64</v>
      </c>
      <c r="F1157" s="19" t="str">
        <f>IFERROR(__xludf.DUMMYFUNCTION("""COMPUTED_VALUE"""),"BLACK")</f>
        <v>BLACK</v>
      </c>
      <c r="G1157" s="20" t="str">
        <f>IFERROR(__xludf.DUMMYFUNCTION("""COMPUTED_VALUE"""),"Tap 6 Clone (10/15/2021)")</f>
        <v>Tap 6 Clone (10/15/2021)</v>
      </c>
      <c r="H1157" s="19"/>
    </row>
    <row r="1158">
      <c r="A1158" s="9"/>
      <c r="B1158" s="15"/>
      <c r="C1158" s="9">
        <f>IFERROR(__xludf.DUMMYFUNCTION("""COMPUTED_VALUE"""),44499.6403367013)</f>
        <v>44499.64034</v>
      </c>
      <c r="D1158" s="15">
        <f>IFERROR(__xludf.DUMMYFUNCTION("""COMPUTED_VALUE"""),1.015)</f>
        <v>1.015</v>
      </c>
      <c r="E1158" s="16">
        <f>IFERROR(__xludf.DUMMYFUNCTION("""COMPUTED_VALUE"""),64.0)</f>
        <v>64</v>
      </c>
      <c r="F1158" s="19" t="str">
        <f>IFERROR(__xludf.DUMMYFUNCTION("""COMPUTED_VALUE"""),"BLACK")</f>
        <v>BLACK</v>
      </c>
      <c r="G1158" s="20" t="str">
        <f>IFERROR(__xludf.DUMMYFUNCTION("""COMPUTED_VALUE"""),"Tap 6 Clone (10/15/2021)")</f>
        <v>Tap 6 Clone (10/15/2021)</v>
      </c>
      <c r="H1158" s="19"/>
    </row>
    <row r="1159">
      <c r="A1159" s="9"/>
      <c r="B1159" s="15"/>
      <c r="C1159" s="9">
        <f>IFERROR(__xludf.DUMMYFUNCTION("""COMPUTED_VALUE"""),44499.6299168402)</f>
        <v>44499.62992</v>
      </c>
      <c r="D1159" s="15">
        <f>IFERROR(__xludf.DUMMYFUNCTION("""COMPUTED_VALUE"""),1.015)</f>
        <v>1.015</v>
      </c>
      <c r="E1159" s="16">
        <f>IFERROR(__xludf.DUMMYFUNCTION("""COMPUTED_VALUE"""),64.0)</f>
        <v>64</v>
      </c>
      <c r="F1159" s="19" t="str">
        <f>IFERROR(__xludf.DUMMYFUNCTION("""COMPUTED_VALUE"""),"BLACK")</f>
        <v>BLACK</v>
      </c>
      <c r="G1159" s="20" t="str">
        <f>IFERROR(__xludf.DUMMYFUNCTION("""COMPUTED_VALUE"""),"Tap 6 Clone (10/15/2021)")</f>
        <v>Tap 6 Clone (10/15/2021)</v>
      </c>
      <c r="H1159" s="19"/>
    </row>
    <row r="1160">
      <c r="A1160" s="9"/>
      <c r="B1160" s="15"/>
      <c r="C1160" s="9">
        <f>IFERROR(__xludf.DUMMYFUNCTION("""COMPUTED_VALUE"""),44499.6194967013)</f>
        <v>44499.6195</v>
      </c>
      <c r="D1160" s="15">
        <f>IFERROR(__xludf.DUMMYFUNCTION("""COMPUTED_VALUE"""),1.015)</f>
        <v>1.015</v>
      </c>
      <c r="E1160" s="16">
        <f>IFERROR(__xludf.DUMMYFUNCTION("""COMPUTED_VALUE"""),64.0)</f>
        <v>64</v>
      </c>
      <c r="F1160" s="19" t="str">
        <f>IFERROR(__xludf.DUMMYFUNCTION("""COMPUTED_VALUE"""),"BLACK")</f>
        <v>BLACK</v>
      </c>
      <c r="G1160" s="20" t="str">
        <f>IFERROR(__xludf.DUMMYFUNCTION("""COMPUTED_VALUE"""),"Tap 6 Clone (10/15/2021)")</f>
        <v>Tap 6 Clone (10/15/2021)</v>
      </c>
      <c r="H1160" s="19"/>
    </row>
    <row r="1161">
      <c r="A1161" s="9"/>
      <c r="B1161" s="15"/>
      <c r="C1161" s="9">
        <f>IFERROR(__xludf.DUMMYFUNCTION("""COMPUTED_VALUE"""),44499.6090748148)</f>
        <v>44499.60907</v>
      </c>
      <c r="D1161" s="15">
        <f>IFERROR(__xludf.DUMMYFUNCTION("""COMPUTED_VALUE"""),1.015)</f>
        <v>1.015</v>
      </c>
      <c r="E1161" s="16">
        <f>IFERROR(__xludf.DUMMYFUNCTION("""COMPUTED_VALUE"""),64.0)</f>
        <v>64</v>
      </c>
      <c r="F1161" s="19" t="str">
        <f>IFERROR(__xludf.DUMMYFUNCTION("""COMPUTED_VALUE"""),"BLACK")</f>
        <v>BLACK</v>
      </c>
      <c r="G1161" s="20" t="str">
        <f>IFERROR(__xludf.DUMMYFUNCTION("""COMPUTED_VALUE"""),"Tap 6 Clone (10/15/2021)")</f>
        <v>Tap 6 Clone (10/15/2021)</v>
      </c>
      <c r="H1161" s="19"/>
    </row>
    <row r="1162">
      <c r="A1162" s="9"/>
      <c r="B1162" s="15"/>
      <c r="C1162" s="9">
        <f>IFERROR(__xludf.DUMMYFUNCTION("""COMPUTED_VALUE"""),44499.5986532291)</f>
        <v>44499.59865</v>
      </c>
      <c r="D1162" s="15">
        <f>IFERROR(__xludf.DUMMYFUNCTION("""COMPUTED_VALUE"""),1.015)</f>
        <v>1.015</v>
      </c>
      <c r="E1162" s="16">
        <f>IFERROR(__xludf.DUMMYFUNCTION("""COMPUTED_VALUE"""),64.0)</f>
        <v>64</v>
      </c>
      <c r="F1162" s="19" t="str">
        <f>IFERROR(__xludf.DUMMYFUNCTION("""COMPUTED_VALUE"""),"BLACK")</f>
        <v>BLACK</v>
      </c>
      <c r="G1162" s="20" t="str">
        <f>IFERROR(__xludf.DUMMYFUNCTION("""COMPUTED_VALUE"""),"Tap 6 Clone (10/15/2021)")</f>
        <v>Tap 6 Clone (10/15/2021)</v>
      </c>
      <c r="H1162" s="19"/>
    </row>
    <row r="1163">
      <c r="A1163" s="9"/>
      <c r="B1163" s="15"/>
      <c r="C1163" s="9">
        <f>IFERROR(__xludf.DUMMYFUNCTION("""COMPUTED_VALUE"""),44499.5882316435)</f>
        <v>44499.58823</v>
      </c>
      <c r="D1163" s="15">
        <f>IFERROR(__xludf.DUMMYFUNCTION("""COMPUTED_VALUE"""),1.016)</f>
        <v>1.016</v>
      </c>
      <c r="E1163" s="16">
        <f>IFERROR(__xludf.DUMMYFUNCTION("""COMPUTED_VALUE"""),64.0)</f>
        <v>64</v>
      </c>
      <c r="F1163" s="19" t="str">
        <f>IFERROR(__xludf.DUMMYFUNCTION("""COMPUTED_VALUE"""),"BLACK")</f>
        <v>BLACK</v>
      </c>
      <c r="G1163" s="20" t="str">
        <f>IFERROR(__xludf.DUMMYFUNCTION("""COMPUTED_VALUE"""),"Tap 6 Clone (10/15/2021)")</f>
        <v>Tap 6 Clone (10/15/2021)</v>
      </c>
      <c r="H1163" s="19"/>
    </row>
    <row r="1164">
      <c r="A1164" s="9"/>
      <c r="B1164" s="15"/>
      <c r="C1164" s="9">
        <f>IFERROR(__xludf.DUMMYFUNCTION("""COMPUTED_VALUE"""),44499.5778104976)</f>
        <v>44499.57781</v>
      </c>
      <c r="D1164" s="15">
        <f>IFERROR(__xludf.DUMMYFUNCTION("""COMPUTED_VALUE"""),1.015)</f>
        <v>1.015</v>
      </c>
      <c r="E1164" s="16">
        <f>IFERROR(__xludf.DUMMYFUNCTION("""COMPUTED_VALUE"""),64.0)</f>
        <v>64</v>
      </c>
      <c r="F1164" s="19" t="str">
        <f>IFERROR(__xludf.DUMMYFUNCTION("""COMPUTED_VALUE"""),"BLACK")</f>
        <v>BLACK</v>
      </c>
      <c r="G1164" s="20" t="str">
        <f>IFERROR(__xludf.DUMMYFUNCTION("""COMPUTED_VALUE"""),"Tap 6 Clone (10/15/2021)")</f>
        <v>Tap 6 Clone (10/15/2021)</v>
      </c>
      <c r="H1164" s="19"/>
    </row>
    <row r="1165">
      <c r="A1165" s="9"/>
      <c r="B1165" s="15"/>
      <c r="C1165" s="9">
        <f>IFERROR(__xludf.DUMMYFUNCTION("""COMPUTED_VALUE"""),44499.5673892361)</f>
        <v>44499.56739</v>
      </c>
      <c r="D1165" s="15">
        <f>IFERROR(__xludf.DUMMYFUNCTION("""COMPUTED_VALUE"""),1.015)</f>
        <v>1.015</v>
      </c>
      <c r="E1165" s="16">
        <f>IFERROR(__xludf.DUMMYFUNCTION("""COMPUTED_VALUE"""),64.0)</f>
        <v>64</v>
      </c>
      <c r="F1165" s="19" t="str">
        <f>IFERROR(__xludf.DUMMYFUNCTION("""COMPUTED_VALUE"""),"BLACK")</f>
        <v>BLACK</v>
      </c>
      <c r="G1165" s="20" t="str">
        <f>IFERROR(__xludf.DUMMYFUNCTION("""COMPUTED_VALUE"""),"Tap 6 Clone (10/15/2021)")</f>
        <v>Tap 6 Clone (10/15/2021)</v>
      </c>
      <c r="H1165" s="19"/>
    </row>
    <row r="1166">
      <c r="A1166" s="9"/>
      <c r="B1166" s="15"/>
      <c r="C1166" s="9">
        <f>IFERROR(__xludf.DUMMYFUNCTION("""COMPUTED_VALUE"""),44499.5569679398)</f>
        <v>44499.55697</v>
      </c>
      <c r="D1166" s="15">
        <f>IFERROR(__xludf.DUMMYFUNCTION("""COMPUTED_VALUE"""),1.015)</f>
        <v>1.015</v>
      </c>
      <c r="E1166" s="16">
        <f>IFERROR(__xludf.DUMMYFUNCTION("""COMPUTED_VALUE"""),64.0)</f>
        <v>64</v>
      </c>
      <c r="F1166" s="19" t="str">
        <f>IFERROR(__xludf.DUMMYFUNCTION("""COMPUTED_VALUE"""),"BLACK")</f>
        <v>BLACK</v>
      </c>
      <c r="G1166" s="20" t="str">
        <f>IFERROR(__xludf.DUMMYFUNCTION("""COMPUTED_VALUE"""),"Tap 6 Clone (10/15/2021)")</f>
        <v>Tap 6 Clone (10/15/2021)</v>
      </c>
      <c r="H1166" s="19"/>
    </row>
    <row r="1167">
      <c r="A1167" s="9"/>
      <c r="B1167" s="15"/>
      <c r="C1167" s="9">
        <f>IFERROR(__xludf.DUMMYFUNCTION("""COMPUTED_VALUE"""),44499.5465462152)</f>
        <v>44499.54655</v>
      </c>
      <c r="D1167" s="15">
        <f>IFERROR(__xludf.DUMMYFUNCTION("""COMPUTED_VALUE"""),1.015)</f>
        <v>1.015</v>
      </c>
      <c r="E1167" s="16">
        <f>IFERROR(__xludf.DUMMYFUNCTION("""COMPUTED_VALUE"""),64.0)</f>
        <v>64</v>
      </c>
      <c r="F1167" s="19" t="str">
        <f>IFERROR(__xludf.DUMMYFUNCTION("""COMPUTED_VALUE"""),"BLACK")</f>
        <v>BLACK</v>
      </c>
      <c r="G1167" s="20" t="str">
        <f>IFERROR(__xludf.DUMMYFUNCTION("""COMPUTED_VALUE"""),"Tap 6 Clone (10/15/2021)")</f>
        <v>Tap 6 Clone (10/15/2021)</v>
      </c>
      <c r="H1167" s="19"/>
    </row>
    <row r="1168">
      <c r="A1168" s="9"/>
      <c r="B1168" s="15"/>
      <c r="C1168" s="9">
        <f>IFERROR(__xludf.DUMMYFUNCTION("""COMPUTED_VALUE"""),44499.5361141088)</f>
        <v>44499.53611</v>
      </c>
      <c r="D1168" s="15">
        <f>IFERROR(__xludf.DUMMYFUNCTION("""COMPUTED_VALUE"""),1.016)</f>
        <v>1.016</v>
      </c>
      <c r="E1168" s="16">
        <f>IFERROR(__xludf.DUMMYFUNCTION("""COMPUTED_VALUE"""),64.0)</f>
        <v>64</v>
      </c>
      <c r="F1168" s="19" t="str">
        <f>IFERROR(__xludf.DUMMYFUNCTION("""COMPUTED_VALUE"""),"BLACK")</f>
        <v>BLACK</v>
      </c>
      <c r="G1168" s="20" t="str">
        <f>IFERROR(__xludf.DUMMYFUNCTION("""COMPUTED_VALUE"""),"Tap 6 Clone (10/15/2021)")</f>
        <v>Tap 6 Clone (10/15/2021)</v>
      </c>
      <c r="H1168" s="19"/>
    </row>
    <row r="1169">
      <c r="A1169" s="9"/>
      <c r="B1169" s="15"/>
      <c r="C1169" s="9">
        <f>IFERROR(__xludf.DUMMYFUNCTION("""COMPUTED_VALUE"""),44499.5256928472)</f>
        <v>44499.52569</v>
      </c>
      <c r="D1169" s="15">
        <f>IFERROR(__xludf.DUMMYFUNCTION("""COMPUTED_VALUE"""),1.015)</f>
        <v>1.015</v>
      </c>
      <c r="E1169" s="16">
        <f>IFERROR(__xludf.DUMMYFUNCTION("""COMPUTED_VALUE"""),64.0)</f>
        <v>64</v>
      </c>
      <c r="F1169" s="19" t="str">
        <f>IFERROR(__xludf.DUMMYFUNCTION("""COMPUTED_VALUE"""),"BLACK")</f>
        <v>BLACK</v>
      </c>
      <c r="G1169" s="20" t="str">
        <f>IFERROR(__xludf.DUMMYFUNCTION("""COMPUTED_VALUE"""),"Tap 6 Clone (10/15/2021)")</f>
        <v>Tap 6 Clone (10/15/2021)</v>
      </c>
      <c r="H1169" s="19"/>
    </row>
    <row r="1170">
      <c r="A1170" s="9"/>
      <c r="B1170" s="15"/>
      <c r="C1170" s="9">
        <f>IFERROR(__xludf.DUMMYFUNCTION("""COMPUTED_VALUE"""),44499.5152713194)</f>
        <v>44499.51527</v>
      </c>
      <c r="D1170" s="15">
        <f>IFERROR(__xludf.DUMMYFUNCTION("""COMPUTED_VALUE"""),1.015)</f>
        <v>1.015</v>
      </c>
      <c r="E1170" s="16">
        <f>IFERROR(__xludf.DUMMYFUNCTION("""COMPUTED_VALUE"""),64.0)</f>
        <v>64</v>
      </c>
      <c r="F1170" s="19" t="str">
        <f>IFERROR(__xludf.DUMMYFUNCTION("""COMPUTED_VALUE"""),"BLACK")</f>
        <v>BLACK</v>
      </c>
      <c r="G1170" s="20" t="str">
        <f>IFERROR(__xludf.DUMMYFUNCTION("""COMPUTED_VALUE"""),"Tap 6 Clone (10/15/2021)")</f>
        <v>Tap 6 Clone (10/15/2021)</v>
      </c>
      <c r="H1170" s="19"/>
    </row>
    <row r="1171">
      <c r="A1171" s="9"/>
      <c r="B1171" s="15"/>
      <c r="C1171" s="9">
        <f>IFERROR(__xludf.DUMMYFUNCTION("""COMPUTED_VALUE"""),44499.5048492245)</f>
        <v>44499.50485</v>
      </c>
      <c r="D1171" s="15">
        <f>IFERROR(__xludf.DUMMYFUNCTION("""COMPUTED_VALUE"""),1.015)</f>
        <v>1.015</v>
      </c>
      <c r="E1171" s="16">
        <f>IFERROR(__xludf.DUMMYFUNCTION("""COMPUTED_VALUE"""),64.0)</f>
        <v>64</v>
      </c>
      <c r="F1171" s="19" t="str">
        <f>IFERROR(__xludf.DUMMYFUNCTION("""COMPUTED_VALUE"""),"BLACK")</f>
        <v>BLACK</v>
      </c>
      <c r="G1171" s="20" t="str">
        <f>IFERROR(__xludf.DUMMYFUNCTION("""COMPUTED_VALUE"""),"Tap 6 Clone (10/15/2021)")</f>
        <v>Tap 6 Clone (10/15/2021)</v>
      </c>
      <c r="H1171" s="19"/>
    </row>
    <row r="1172">
      <c r="A1172" s="9"/>
      <c r="B1172" s="15"/>
      <c r="C1172" s="9">
        <f>IFERROR(__xludf.DUMMYFUNCTION("""COMPUTED_VALUE"""),44499.4944281713)</f>
        <v>44499.49443</v>
      </c>
      <c r="D1172" s="15">
        <f>IFERROR(__xludf.DUMMYFUNCTION("""COMPUTED_VALUE"""),1.015)</f>
        <v>1.015</v>
      </c>
      <c r="E1172" s="16">
        <f>IFERROR(__xludf.DUMMYFUNCTION("""COMPUTED_VALUE"""),64.0)</f>
        <v>64</v>
      </c>
      <c r="F1172" s="19" t="str">
        <f>IFERROR(__xludf.DUMMYFUNCTION("""COMPUTED_VALUE"""),"BLACK")</f>
        <v>BLACK</v>
      </c>
      <c r="G1172" s="20" t="str">
        <f>IFERROR(__xludf.DUMMYFUNCTION("""COMPUTED_VALUE"""),"Tap 6 Clone (10/15/2021)")</f>
        <v>Tap 6 Clone (10/15/2021)</v>
      </c>
      <c r="H1172" s="19"/>
    </row>
    <row r="1173">
      <c r="A1173" s="9"/>
      <c r="B1173" s="15"/>
      <c r="C1173" s="9">
        <f>IFERROR(__xludf.DUMMYFUNCTION("""COMPUTED_VALUE"""),44499.4840073958)</f>
        <v>44499.48401</v>
      </c>
      <c r="D1173" s="15">
        <f>IFERROR(__xludf.DUMMYFUNCTION("""COMPUTED_VALUE"""),1.015)</f>
        <v>1.015</v>
      </c>
      <c r="E1173" s="16">
        <f>IFERROR(__xludf.DUMMYFUNCTION("""COMPUTED_VALUE"""),64.0)</f>
        <v>64</v>
      </c>
      <c r="F1173" s="19" t="str">
        <f>IFERROR(__xludf.DUMMYFUNCTION("""COMPUTED_VALUE"""),"BLACK")</f>
        <v>BLACK</v>
      </c>
      <c r="G1173" s="20" t="str">
        <f>IFERROR(__xludf.DUMMYFUNCTION("""COMPUTED_VALUE"""),"Tap 6 Clone (10/15/2021)")</f>
        <v>Tap 6 Clone (10/15/2021)</v>
      </c>
      <c r="H1173" s="19"/>
    </row>
    <row r="1174">
      <c r="A1174" s="9"/>
      <c r="B1174" s="15"/>
      <c r="C1174" s="9">
        <f>IFERROR(__xludf.DUMMYFUNCTION("""COMPUTED_VALUE"""),44499.4735865393)</f>
        <v>44499.47359</v>
      </c>
      <c r="D1174" s="15">
        <f>IFERROR(__xludf.DUMMYFUNCTION("""COMPUTED_VALUE"""),1.015)</f>
        <v>1.015</v>
      </c>
      <c r="E1174" s="16">
        <f>IFERROR(__xludf.DUMMYFUNCTION("""COMPUTED_VALUE"""),64.0)</f>
        <v>64</v>
      </c>
      <c r="F1174" s="19" t="str">
        <f>IFERROR(__xludf.DUMMYFUNCTION("""COMPUTED_VALUE"""),"BLACK")</f>
        <v>BLACK</v>
      </c>
      <c r="G1174" s="20" t="str">
        <f>IFERROR(__xludf.DUMMYFUNCTION("""COMPUTED_VALUE"""),"Tap 6 Clone (10/15/2021)")</f>
        <v>Tap 6 Clone (10/15/2021)</v>
      </c>
      <c r="H1174" s="19"/>
    </row>
    <row r="1175">
      <c r="A1175" s="9"/>
      <c r="B1175" s="15"/>
      <c r="C1175" s="9">
        <f>IFERROR(__xludf.DUMMYFUNCTION("""COMPUTED_VALUE"""),44499.4631665509)</f>
        <v>44499.46317</v>
      </c>
      <c r="D1175" s="15">
        <f>IFERROR(__xludf.DUMMYFUNCTION("""COMPUTED_VALUE"""),1.015)</f>
        <v>1.015</v>
      </c>
      <c r="E1175" s="16">
        <f>IFERROR(__xludf.DUMMYFUNCTION("""COMPUTED_VALUE"""),64.0)</f>
        <v>64</v>
      </c>
      <c r="F1175" s="19" t="str">
        <f>IFERROR(__xludf.DUMMYFUNCTION("""COMPUTED_VALUE"""),"BLACK")</f>
        <v>BLACK</v>
      </c>
      <c r="G1175" s="20" t="str">
        <f>IFERROR(__xludf.DUMMYFUNCTION("""COMPUTED_VALUE"""),"Tap 6 Clone (10/15/2021)")</f>
        <v>Tap 6 Clone (10/15/2021)</v>
      </c>
      <c r="H1175" s="19"/>
    </row>
    <row r="1176">
      <c r="A1176" s="9"/>
      <c r="B1176" s="15"/>
      <c r="C1176" s="9">
        <f>IFERROR(__xludf.DUMMYFUNCTION("""COMPUTED_VALUE"""),44499.4527454513)</f>
        <v>44499.45275</v>
      </c>
      <c r="D1176" s="15">
        <f>IFERROR(__xludf.DUMMYFUNCTION("""COMPUTED_VALUE"""),1.014)</f>
        <v>1.014</v>
      </c>
      <c r="E1176" s="16">
        <f>IFERROR(__xludf.DUMMYFUNCTION("""COMPUTED_VALUE"""),64.0)</f>
        <v>64</v>
      </c>
      <c r="F1176" s="19" t="str">
        <f>IFERROR(__xludf.DUMMYFUNCTION("""COMPUTED_VALUE"""),"BLACK")</f>
        <v>BLACK</v>
      </c>
      <c r="G1176" s="20" t="str">
        <f>IFERROR(__xludf.DUMMYFUNCTION("""COMPUTED_VALUE"""),"Tap 6 Clone (10/15/2021)")</f>
        <v>Tap 6 Clone (10/15/2021)</v>
      </c>
      <c r="H1176" s="19"/>
    </row>
    <row r="1177">
      <c r="A1177" s="9"/>
      <c r="B1177" s="15"/>
      <c r="C1177" s="9">
        <f>IFERROR(__xludf.DUMMYFUNCTION("""COMPUTED_VALUE"""),44499.442325405)</f>
        <v>44499.44233</v>
      </c>
      <c r="D1177" s="15">
        <f>IFERROR(__xludf.DUMMYFUNCTION("""COMPUTED_VALUE"""),1.014)</f>
        <v>1.014</v>
      </c>
      <c r="E1177" s="16">
        <f>IFERROR(__xludf.DUMMYFUNCTION("""COMPUTED_VALUE"""),64.0)</f>
        <v>64</v>
      </c>
      <c r="F1177" s="19" t="str">
        <f>IFERROR(__xludf.DUMMYFUNCTION("""COMPUTED_VALUE"""),"BLACK")</f>
        <v>BLACK</v>
      </c>
      <c r="G1177" s="20" t="str">
        <f>IFERROR(__xludf.DUMMYFUNCTION("""COMPUTED_VALUE"""),"Tap 6 Clone (10/15/2021)")</f>
        <v>Tap 6 Clone (10/15/2021)</v>
      </c>
      <c r="H1177" s="19"/>
    </row>
    <row r="1178">
      <c r="A1178" s="9"/>
      <c r="B1178" s="15"/>
      <c r="C1178" s="9">
        <f>IFERROR(__xludf.DUMMYFUNCTION("""COMPUTED_VALUE"""),44499.4319047569)</f>
        <v>44499.4319</v>
      </c>
      <c r="D1178" s="15">
        <f>IFERROR(__xludf.DUMMYFUNCTION("""COMPUTED_VALUE"""),1.015)</f>
        <v>1.015</v>
      </c>
      <c r="E1178" s="16">
        <f>IFERROR(__xludf.DUMMYFUNCTION("""COMPUTED_VALUE"""),64.0)</f>
        <v>64</v>
      </c>
      <c r="F1178" s="19" t="str">
        <f>IFERROR(__xludf.DUMMYFUNCTION("""COMPUTED_VALUE"""),"BLACK")</f>
        <v>BLACK</v>
      </c>
      <c r="G1178" s="20" t="str">
        <f>IFERROR(__xludf.DUMMYFUNCTION("""COMPUTED_VALUE"""),"Tap 6 Clone (10/15/2021)")</f>
        <v>Tap 6 Clone (10/15/2021)</v>
      </c>
      <c r="H1178" s="19"/>
    </row>
    <row r="1179">
      <c r="A1179" s="9"/>
      <c r="B1179" s="15"/>
      <c r="C1179" s="9">
        <f>IFERROR(__xludf.DUMMYFUNCTION("""COMPUTED_VALUE"""),44499.4214825578)</f>
        <v>44499.42148</v>
      </c>
      <c r="D1179" s="15">
        <f>IFERROR(__xludf.DUMMYFUNCTION("""COMPUTED_VALUE"""),1.016)</f>
        <v>1.016</v>
      </c>
      <c r="E1179" s="16">
        <f>IFERROR(__xludf.DUMMYFUNCTION("""COMPUTED_VALUE"""),64.0)</f>
        <v>64</v>
      </c>
      <c r="F1179" s="19" t="str">
        <f>IFERROR(__xludf.DUMMYFUNCTION("""COMPUTED_VALUE"""),"BLACK")</f>
        <v>BLACK</v>
      </c>
      <c r="G1179" s="20" t="str">
        <f>IFERROR(__xludf.DUMMYFUNCTION("""COMPUTED_VALUE"""),"Tap 6 Clone (10/15/2021)")</f>
        <v>Tap 6 Clone (10/15/2021)</v>
      </c>
      <c r="H1179" s="19"/>
    </row>
    <row r="1180">
      <c r="A1180" s="9"/>
      <c r="B1180" s="15"/>
      <c r="C1180" s="9">
        <f>IFERROR(__xludf.DUMMYFUNCTION("""COMPUTED_VALUE"""),44499.4110619907)</f>
        <v>44499.41106</v>
      </c>
      <c r="D1180" s="15">
        <f>IFERROR(__xludf.DUMMYFUNCTION("""COMPUTED_VALUE"""),1.015)</f>
        <v>1.015</v>
      </c>
      <c r="E1180" s="16">
        <f>IFERROR(__xludf.DUMMYFUNCTION("""COMPUTED_VALUE"""),64.0)</f>
        <v>64</v>
      </c>
      <c r="F1180" s="19" t="str">
        <f>IFERROR(__xludf.DUMMYFUNCTION("""COMPUTED_VALUE"""),"BLACK")</f>
        <v>BLACK</v>
      </c>
      <c r="G1180" s="20" t="str">
        <f>IFERROR(__xludf.DUMMYFUNCTION("""COMPUTED_VALUE"""),"Tap 6 Clone (10/15/2021)")</f>
        <v>Tap 6 Clone (10/15/2021)</v>
      </c>
      <c r="H1180" s="19"/>
    </row>
    <row r="1181">
      <c r="A1181" s="9"/>
      <c r="B1181" s="15"/>
      <c r="C1181" s="9">
        <f>IFERROR(__xludf.DUMMYFUNCTION("""COMPUTED_VALUE"""),44499.4006418865)</f>
        <v>44499.40064</v>
      </c>
      <c r="D1181" s="15">
        <f>IFERROR(__xludf.DUMMYFUNCTION("""COMPUTED_VALUE"""),1.015)</f>
        <v>1.015</v>
      </c>
      <c r="E1181" s="16">
        <f>IFERROR(__xludf.DUMMYFUNCTION("""COMPUTED_VALUE"""),64.0)</f>
        <v>64</v>
      </c>
      <c r="F1181" s="19" t="str">
        <f>IFERROR(__xludf.DUMMYFUNCTION("""COMPUTED_VALUE"""),"BLACK")</f>
        <v>BLACK</v>
      </c>
      <c r="G1181" s="20" t="str">
        <f>IFERROR(__xludf.DUMMYFUNCTION("""COMPUTED_VALUE"""),"Tap 6 Clone (10/15/2021)")</f>
        <v>Tap 6 Clone (10/15/2021)</v>
      </c>
      <c r="H1181" s="19"/>
    </row>
    <row r="1182">
      <c r="A1182" s="9"/>
      <c r="B1182" s="15"/>
      <c r="C1182" s="9">
        <f>IFERROR(__xludf.DUMMYFUNCTION("""COMPUTED_VALUE"""),44499.3902199537)</f>
        <v>44499.39022</v>
      </c>
      <c r="D1182" s="15">
        <f>IFERROR(__xludf.DUMMYFUNCTION("""COMPUTED_VALUE"""),1.015)</f>
        <v>1.015</v>
      </c>
      <c r="E1182" s="16">
        <f>IFERROR(__xludf.DUMMYFUNCTION("""COMPUTED_VALUE"""),64.0)</f>
        <v>64</v>
      </c>
      <c r="F1182" s="19" t="str">
        <f>IFERROR(__xludf.DUMMYFUNCTION("""COMPUTED_VALUE"""),"BLACK")</f>
        <v>BLACK</v>
      </c>
      <c r="G1182" s="20" t="str">
        <f>IFERROR(__xludf.DUMMYFUNCTION("""COMPUTED_VALUE"""),"Tap 6 Clone (10/15/2021)")</f>
        <v>Tap 6 Clone (10/15/2021)</v>
      </c>
      <c r="H1182" s="19"/>
    </row>
    <row r="1183">
      <c r="A1183" s="9"/>
      <c r="B1183" s="15"/>
      <c r="C1183" s="9">
        <f>IFERROR(__xludf.DUMMYFUNCTION("""COMPUTED_VALUE"""),44499.3797982291)</f>
        <v>44499.3798</v>
      </c>
      <c r="D1183" s="15">
        <f>IFERROR(__xludf.DUMMYFUNCTION("""COMPUTED_VALUE"""),1.015)</f>
        <v>1.015</v>
      </c>
      <c r="E1183" s="16">
        <f>IFERROR(__xludf.DUMMYFUNCTION("""COMPUTED_VALUE"""),64.0)</f>
        <v>64</v>
      </c>
      <c r="F1183" s="19" t="str">
        <f>IFERROR(__xludf.DUMMYFUNCTION("""COMPUTED_VALUE"""),"BLACK")</f>
        <v>BLACK</v>
      </c>
      <c r="G1183" s="20" t="str">
        <f>IFERROR(__xludf.DUMMYFUNCTION("""COMPUTED_VALUE"""),"Tap 6 Clone (10/15/2021)")</f>
        <v>Tap 6 Clone (10/15/2021)</v>
      </c>
      <c r="H1183" s="19"/>
    </row>
    <row r="1184">
      <c r="A1184" s="9"/>
      <c r="B1184" s="15"/>
      <c r="C1184" s="9">
        <f>IFERROR(__xludf.DUMMYFUNCTION("""COMPUTED_VALUE"""),44499.3693778125)</f>
        <v>44499.36938</v>
      </c>
      <c r="D1184" s="15">
        <f>IFERROR(__xludf.DUMMYFUNCTION("""COMPUTED_VALUE"""),1.015)</f>
        <v>1.015</v>
      </c>
      <c r="E1184" s="16">
        <f>IFERROR(__xludf.DUMMYFUNCTION("""COMPUTED_VALUE"""),64.0)</f>
        <v>64</v>
      </c>
      <c r="F1184" s="19" t="str">
        <f>IFERROR(__xludf.DUMMYFUNCTION("""COMPUTED_VALUE"""),"BLACK")</f>
        <v>BLACK</v>
      </c>
      <c r="G1184" s="20" t="str">
        <f>IFERROR(__xludf.DUMMYFUNCTION("""COMPUTED_VALUE"""),"Tap 6 Clone (10/15/2021)")</f>
        <v>Tap 6 Clone (10/15/2021)</v>
      </c>
      <c r="H1184" s="19"/>
    </row>
    <row r="1185">
      <c r="A1185" s="9"/>
      <c r="B1185" s="15"/>
      <c r="C1185" s="9">
        <f>IFERROR(__xludf.DUMMYFUNCTION("""COMPUTED_VALUE"""),44499.3589440856)</f>
        <v>44499.35894</v>
      </c>
      <c r="D1185" s="15">
        <f>IFERROR(__xludf.DUMMYFUNCTION("""COMPUTED_VALUE"""),1.015)</f>
        <v>1.015</v>
      </c>
      <c r="E1185" s="16">
        <f>IFERROR(__xludf.DUMMYFUNCTION("""COMPUTED_VALUE"""),64.0)</f>
        <v>64</v>
      </c>
      <c r="F1185" s="19" t="str">
        <f>IFERROR(__xludf.DUMMYFUNCTION("""COMPUTED_VALUE"""),"BLACK")</f>
        <v>BLACK</v>
      </c>
      <c r="G1185" s="20" t="str">
        <f>IFERROR(__xludf.DUMMYFUNCTION("""COMPUTED_VALUE"""),"Tap 6 Clone (10/15/2021)")</f>
        <v>Tap 6 Clone (10/15/2021)</v>
      </c>
      <c r="H1185" s="19"/>
    </row>
    <row r="1186">
      <c r="A1186" s="9"/>
      <c r="B1186" s="15"/>
      <c r="C1186" s="9">
        <f>IFERROR(__xludf.DUMMYFUNCTION("""COMPUTED_VALUE"""),44499.3485220833)</f>
        <v>44499.34852</v>
      </c>
      <c r="D1186" s="15">
        <f>IFERROR(__xludf.DUMMYFUNCTION("""COMPUTED_VALUE"""),1.015)</f>
        <v>1.015</v>
      </c>
      <c r="E1186" s="16">
        <f>IFERROR(__xludf.DUMMYFUNCTION("""COMPUTED_VALUE"""),64.0)</f>
        <v>64</v>
      </c>
      <c r="F1186" s="19" t="str">
        <f>IFERROR(__xludf.DUMMYFUNCTION("""COMPUTED_VALUE"""),"BLACK")</f>
        <v>BLACK</v>
      </c>
      <c r="G1186" s="20" t="str">
        <f>IFERROR(__xludf.DUMMYFUNCTION("""COMPUTED_VALUE"""),"Tap 6 Clone (10/15/2021)")</f>
        <v>Tap 6 Clone (10/15/2021)</v>
      </c>
      <c r="H1186" s="19"/>
    </row>
    <row r="1187">
      <c r="A1187" s="9"/>
      <c r="B1187" s="15"/>
      <c r="C1187" s="9">
        <f>IFERROR(__xludf.DUMMYFUNCTION("""COMPUTED_VALUE"""),44499.3381007407)</f>
        <v>44499.3381</v>
      </c>
      <c r="D1187" s="15">
        <f>IFERROR(__xludf.DUMMYFUNCTION("""COMPUTED_VALUE"""),1.015)</f>
        <v>1.015</v>
      </c>
      <c r="E1187" s="16">
        <f>IFERROR(__xludf.DUMMYFUNCTION("""COMPUTED_VALUE"""),64.0)</f>
        <v>64</v>
      </c>
      <c r="F1187" s="19" t="str">
        <f>IFERROR(__xludf.DUMMYFUNCTION("""COMPUTED_VALUE"""),"BLACK")</f>
        <v>BLACK</v>
      </c>
      <c r="G1187" s="20" t="str">
        <f>IFERROR(__xludf.DUMMYFUNCTION("""COMPUTED_VALUE"""),"Tap 6 Clone (10/15/2021)")</f>
        <v>Tap 6 Clone (10/15/2021)</v>
      </c>
      <c r="H1187" s="19"/>
    </row>
    <row r="1188">
      <c r="A1188" s="9"/>
      <c r="B1188" s="15"/>
      <c r="C1188" s="9">
        <f>IFERROR(__xludf.DUMMYFUNCTION("""COMPUTED_VALUE"""),44499.3276805324)</f>
        <v>44499.32768</v>
      </c>
      <c r="D1188" s="15">
        <f>IFERROR(__xludf.DUMMYFUNCTION("""COMPUTED_VALUE"""),1.014)</f>
        <v>1.014</v>
      </c>
      <c r="E1188" s="16">
        <f>IFERROR(__xludf.DUMMYFUNCTION("""COMPUTED_VALUE"""),64.0)</f>
        <v>64</v>
      </c>
      <c r="F1188" s="19" t="str">
        <f>IFERROR(__xludf.DUMMYFUNCTION("""COMPUTED_VALUE"""),"BLACK")</f>
        <v>BLACK</v>
      </c>
      <c r="G1188" s="20" t="str">
        <f>IFERROR(__xludf.DUMMYFUNCTION("""COMPUTED_VALUE"""),"Tap 6 Clone (10/15/2021)")</f>
        <v>Tap 6 Clone (10/15/2021)</v>
      </c>
      <c r="H1188" s="19"/>
    </row>
    <row r="1189">
      <c r="A1189" s="9"/>
      <c r="B1189" s="15"/>
      <c r="C1189" s="9">
        <f>IFERROR(__xludf.DUMMYFUNCTION("""COMPUTED_VALUE"""),44499.3172600578)</f>
        <v>44499.31726</v>
      </c>
      <c r="D1189" s="15">
        <f>IFERROR(__xludf.DUMMYFUNCTION("""COMPUTED_VALUE"""),1.014)</f>
        <v>1.014</v>
      </c>
      <c r="E1189" s="16">
        <f>IFERROR(__xludf.DUMMYFUNCTION("""COMPUTED_VALUE"""),64.0)</f>
        <v>64</v>
      </c>
      <c r="F1189" s="19" t="str">
        <f>IFERROR(__xludf.DUMMYFUNCTION("""COMPUTED_VALUE"""),"BLACK")</f>
        <v>BLACK</v>
      </c>
      <c r="G1189" s="20" t="str">
        <f>IFERROR(__xludf.DUMMYFUNCTION("""COMPUTED_VALUE"""),"Tap 6 Clone (10/15/2021)")</f>
        <v>Tap 6 Clone (10/15/2021)</v>
      </c>
      <c r="H1189" s="19"/>
    </row>
    <row r="1190">
      <c r="A1190" s="9"/>
      <c r="B1190" s="15"/>
      <c r="C1190" s="9">
        <f>IFERROR(__xludf.DUMMYFUNCTION("""COMPUTED_VALUE"""),44499.3068383564)</f>
        <v>44499.30684</v>
      </c>
      <c r="D1190" s="15">
        <f>IFERROR(__xludf.DUMMYFUNCTION("""COMPUTED_VALUE"""),1.013)</f>
        <v>1.013</v>
      </c>
      <c r="E1190" s="16">
        <f>IFERROR(__xludf.DUMMYFUNCTION("""COMPUTED_VALUE"""),64.0)</f>
        <v>64</v>
      </c>
      <c r="F1190" s="19" t="str">
        <f>IFERROR(__xludf.DUMMYFUNCTION("""COMPUTED_VALUE"""),"BLACK")</f>
        <v>BLACK</v>
      </c>
      <c r="G1190" s="20" t="str">
        <f>IFERROR(__xludf.DUMMYFUNCTION("""COMPUTED_VALUE"""),"Tap 6 Clone (10/15/2021)")</f>
        <v>Tap 6 Clone (10/15/2021)</v>
      </c>
      <c r="H1190" s="19"/>
    </row>
    <row r="1191">
      <c r="A1191" s="9"/>
      <c r="B1191" s="15"/>
      <c r="C1191" s="9">
        <f>IFERROR(__xludf.DUMMYFUNCTION("""COMPUTED_VALUE"""),44499.2964191782)</f>
        <v>44499.29642</v>
      </c>
      <c r="D1191" s="15">
        <f>IFERROR(__xludf.DUMMYFUNCTION("""COMPUTED_VALUE"""),1.013)</f>
        <v>1.013</v>
      </c>
      <c r="E1191" s="16">
        <f>IFERROR(__xludf.DUMMYFUNCTION("""COMPUTED_VALUE"""),64.0)</f>
        <v>64</v>
      </c>
      <c r="F1191" s="19" t="str">
        <f>IFERROR(__xludf.DUMMYFUNCTION("""COMPUTED_VALUE"""),"BLACK")</f>
        <v>BLACK</v>
      </c>
      <c r="G1191" s="20" t="str">
        <f>IFERROR(__xludf.DUMMYFUNCTION("""COMPUTED_VALUE"""),"Tap 6 Clone (10/15/2021)")</f>
        <v>Tap 6 Clone (10/15/2021)</v>
      </c>
      <c r="H1191" s="19"/>
    </row>
    <row r="1192">
      <c r="A1192" s="9"/>
      <c r="B1192" s="15"/>
      <c r="C1192" s="9">
        <f>IFERROR(__xludf.DUMMYFUNCTION("""COMPUTED_VALUE"""),44499.285999155)</f>
        <v>44499.286</v>
      </c>
      <c r="D1192" s="15">
        <f>IFERROR(__xludf.DUMMYFUNCTION("""COMPUTED_VALUE"""),1.014)</f>
        <v>1.014</v>
      </c>
      <c r="E1192" s="16">
        <f>IFERROR(__xludf.DUMMYFUNCTION("""COMPUTED_VALUE"""),64.0)</f>
        <v>64</v>
      </c>
      <c r="F1192" s="19" t="str">
        <f>IFERROR(__xludf.DUMMYFUNCTION("""COMPUTED_VALUE"""),"BLACK")</f>
        <v>BLACK</v>
      </c>
      <c r="G1192" s="20" t="str">
        <f>IFERROR(__xludf.DUMMYFUNCTION("""COMPUTED_VALUE"""),"Tap 6 Clone (10/15/2021)")</f>
        <v>Tap 6 Clone (10/15/2021)</v>
      </c>
      <c r="H1192" s="19"/>
    </row>
    <row r="1193">
      <c r="A1193" s="9"/>
      <c r="B1193" s="15"/>
      <c r="C1193" s="9">
        <f>IFERROR(__xludf.DUMMYFUNCTION("""COMPUTED_VALUE"""),44499.2755787731)</f>
        <v>44499.27558</v>
      </c>
      <c r="D1193" s="15">
        <f>IFERROR(__xludf.DUMMYFUNCTION("""COMPUTED_VALUE"""),1.014)</f>
        <v>1.014</v>
      </c>
      <c r="E1193" s="16">
        <f>IFERROR(__xludf.DUMMYFUNCTION("""COMPUTED_VALUE"""),64.0)</f>
        <v>64</v>
      </c>
      <c r="F1193" s="19" t="str">
        <f>IFERROR(__xludf.DUMMYFUNCTION("""COMPUTED_VALUE"""),"BLACK")</f>
        <v>BLACK</v>
      </c>
      <c r="G1193" s="20" t="str">
        <f>IFERROR(__xludf.DUMMYFUNCTION("""COMPUTED_VALUE"""),"Tap 6 Clone (10/15/2021)")</f>
        <v>Tap 6 Clone (10/15/2021)</v>
      </c>
      <c r="H1193" s="19"/>
    </row>
    <row r="1194">
      <c r="A1194" s="9"/>
      <c r="B1194" s="15"/>
      <c r="C1194" s="9">
        <f>IFERROR(__xludf.DUMMYFUNCTION("""COMPUTED_VALUE"""),44499.2651571296)</f>
        <v>44499.26516</v>
      </c>
      <c r="D1194" s="15">
        <f>IFERROR(__xludf.DUMMYFUNCTION("""COMPUTED_VALUE"""),1.014)</f>
        <v>1.014</v>
      </c>
      <c r="E1194" s="16">
        <f>IFERROR(__xludf.DUMMYFUNCTION("""COMPUTED_VALUE"""),64.0)</f>
        <v>64</v>
      </c>
      <c r="F1194" s="19" t="str">
        <f>IFERROR(__xludf.DUMMYFUNCTION("""COMPUTED_VALUE"""),"BLACK")</f>
        <v>BLACK</v>
      </c>
      <c r="G1194" s="20" t="str">
        <f>IFERROR(__xludf.DUMMYFUNCTION("""COMPUTED_VALUE"""),"Tap 6 Clone (10/15/2021)")</f>
        <v>Tap 6 Clone (10/15/2021)</v>
      </c>
      <c r="H1194" s="19"/>
    </row>
    <row r="1195">
      <c r="A1195" s="9"/>
      <c r="B1195" s="15"/>
      <c r="C1195" s="9">
        <f>IFERROR(__xludf.DUMMYFUNCTION("""COMPUTED_VALUE"""),44499.2547354051)</f>
        <v>44499.25474</v>
      </c>
      <c r="D1195" s="15">
        <f>IFERROR(__xludf.DUMMYFUNCTION("""COMPUTED_VALUE"""),1.014)</f>
        <v>1.014</v>
      </c>
      <c r="E1195" s="16">
        <f>IFERROR(__xludf.DUMMYFUNCTION("""COMPUTED_VALUE"""),64.0)</f>
        <v>64</v>
      </c>
      <c r="F1195" s="19" t="str">
        <f>IFERROR(__xludf.DUMMYFUNCTION("""COMPUTED_VALUE"""),"BLACK")</f>
        <v>BLACK</v>
      </c>
      <c r="G1195" s="20" t="str">
        <f>IFERROR(__xludf.DUMMYFUNCTION("""COMPUTED_VALUE"""),"Tap 6 Clone (10/15/2021)")</f>
        <v>Tap 6 Clone (10/15/2021)</v>
      </c>
      <c r="H1195" s="19"/>
    </row>
    <row r="1196">
      <c r="A1196" s="9"/>
      <c r="B1196" s="15"/>
      <c r="C1196" s="9">
        <f>IFERROR(__xludf.DUMMYFUNCTION("""COMPUTED_VALUE"""),44499.2443134722)</f>
        <v>44499.24431</v>
      </c>
      <c r="D1196" s="15">
        <f>IFERROR(__xludf.DUMMYFUNCTION("""COMPUTED_VALUE"""),1.013)</f>
        <v>1.013</v>
      </c>
      <c r="E1196" s="16">
        <f>IFERROR(__xludf.DUMMYFUNCTION("""COMPUTED_VALUE"""),64.0)</f>
        <v>64</v>
      </c>
      <c r="F1196" s="19" t="str">
        <f>IFERROR(__xludf.DUMMYFUNCTION("""COMPUTED_VALUE"""),"BLACK")</f>
        <v>BLACK</v>
      </c>
      <c r="G1196" s="20" t="str">
        <f>IFERROR(__xludf.DUMMYFUNCTION("""COMPUTED_VALUE"""),"Tap 6 Clone (10/15/2021)")</f>
        <v>Tap 6 Clone (10/15/2021)</v>
      </c>
      <c r="H1196" s="19"/>
    </row>
    <row r="1197">
      <c r="A1197" s="9"/>
      <c r="B1197" s="15"/>
      <c r="C1197" s="9">
        <f>IFERROR(__xludf.DUMMYFUNCTION("""COMPUTED_VALUE"""),44499.2338929051)</f>
        <v>44499.23389</v>
      </c>
      <c r="D1197" s="15">
        <f>IFERROR(__xludf.DUMMYFUNCTION("""COMPUTED_VALUE"""),1.015)</f>
        <v>1.015</v>
      </c>
      <c r="E1197" s="16">
        <f>IFERROR(__xludf.DUMMYFUNCTION("""COMPUTED_VALUE"""),64.0)</f>
        <v>64</v>
      </c>
      <c r="F1197" s="19" t="str">
        <f>IFERROR(__xludf.DUMMYFUNCTION("""COMPUTED_VALUE"""),"BLACK")</f>
        <v>BLACK</v>
      </c>
      <c r="G1197" s="20" t="str">
        <f>IFERROR(__xludf.DUMMYFUNCTION("""COMPUTED_VALUE"""),"Tap 6 Clone (10/15/2021)")</f>
        <v>Tap 6 Clone (10/15/2021)</v>
      </c>
      <c r="H1197" s="19"/>
    </row>
    <row r="1198">
      <c r="A1198" s="9"/>
      <c r="B1198" s="15"/>
      <c r="C1198" s="9">
        <f>IFERROR(__xludf.DUMMYFUNCTION("""COMPUTED_VALUE"""),44499.2234712963)</f>
        <v>44499.22347</v>
      </c>
      <c r="D1198" s="15">
        <f>IFERROR(__xludf.DUMMYFUNCTION("""COMPUTED_VALUE"""),1.015)</f>
        <v>1.015</v>
      </c>
      <c r="E1198" s="16">
        <f>IFERROR(__xludf.DUMMYFUNCTION("""COMPUTED_VALUE"""),64.0)</f>
        <v>64</v>
      </c>
      <c r="F1198" s="19" t="str">
        <f>IFERROR(__xludf.DUMMYFUNCTION("""COMPUTED_VALUE"""),"BLACK")</f>
        <v>BLACK</v>
      </c>
      <c r="G1198" s="20" t="str">
        <f>IFERROR(__xludf.DUMMYFUNCTION("""COMPUTED_VALUE"""),"Tap 6 Clone (10/15/2021)")</f>
        <v>Tap 6 Clone (10/15/2021)</v>
      </c>
      <c r="H1198" s="19"/>
    </row>
    <row r="1199">
      <c r="A1199" s="9"/>
      <c r="B1199" s="15"/>
      <c r="C1199" s="9">
        <f>IFERROR(__xludf.DUMMYFUNCTION("""COMPUTED_VALUE"""),44499.2130504166)</f>
        <v>44499.21305</v>
      </c>
      <c r="D1199" s="15">
        <f>IFERROR(__xludf.DUMMYFUNCTION("""COMPUTED_VALUE"""),1.014)</f>
        <v>1.014</v>
      </c>
      <c r="E1199" s="16">
        <f>IFERROR(__xludf.DUMMYFUNCTION("""COMPUTED_VALUE"""),64.0)</f>
        <v>64</v>
      </c>
      <c r="F1199" s="19" t="str">
        <f>IFERROR(__xludf.DUMMYFUNCTION("""COMPUTED_VALUE"""),"BLACK")</f>
        <v>BLACK</v>
      </c>
      <c r="G1199" s="20" t="str">
        <f>IFERROR(__xludf.DUMMYFUNCTION("""COMPUTED_VALUE"""),"Tap 6 Clone (10/15/2021)")</f>
        <v>Tap 6 Clone (10/15/2021)</v>
      </c>
      <c r="H1199" s="19"/>
    </row>
    <row r="1200">
      <c r="A1200" s="9"/>
      <c r="B1200" s="15"/>
      <c r="C1200" s="9">
        <f>IFERROR(__xludf.DUMMYFUNCTION("""COMPUTED_VALUE"""),44499.2026295254)</f>
        <v>44499.20263</v>
      </c>
      <c r="D1200" s="15">
        <f>IFERROR(__xludf.DUMMYFUNCTION("""COMPUTED_VALUE"""),1.014)</f>
        <v>1.014</v>
      </c>
      <c r="E1200" s="16">
        <f>IFERROR(__xludf.DUMMYFUNCTION("""COMPUTED_VALUE"""),64.0)</f>
        <v>64</v>
      </c>
      <c r="F1200" s="19" t="str">
        <f>IFERROR(__xludf.DUMMYFUNCTION("""COMPUTED_VALUE"""),"BLACK")</f>
        <v>BLACK</v>
      </c>
      <c r="G1200" s="20" t="str">
        <f>IFERROR(__xludf.DUMMYFUNCTION("""COMPUTED_VALUE"""),"Tap 6 Clone (10/15/2021)")</f>
        <v>Tap 6 Clone (10/15/2021)</v>
      </c>
      <c r="H1200" s="19"/>
    </row>
    <row r="1201">
      <c r="A1201" s="9"/>
      <c r="B1201" s="15"/>
      <c r="C1201" s="9">
        <f>IFERROR(__xludf.DUMMYFUNCTION("""COMPUTED_VALUE"""),44499.1922091203)</f>
        <v>44499.19221</v>
      </c>
      <c r="D1201" s="15">
        <f>IFERROR(__xludf.DUMMYFUNCTION("""COMPUTED_VALUE"""),1.014)</f>
        <v>1.014</v>
      </c>
      <c r="E1201" s="16">
        <f>IFERROR(__xludf.DUMMYFUNCTION("""COMPUTED_VALUE"""),64.0)</f>
        <v>64</v>
      </c>
      <c r="F1201" s="19" t="str">
        <f>IFERROR(__xludf.DUMMYFUNCTION("""COMPUTED_VALUE"""),"BLACK")</f>
        <v>BLACK</v>
      </c>
      <c r="G1201" s="20" t="str">
        <f>IFERROR(__xludf.DUMMYFUNCTION("""COMPUTED_VALUE"""),"Tap 6 Clone (10/15/2021)")</f>
        <v>Tap 6 Clone (10/15/2021)</v>
      </c>
      <c r="H1201" s="19"/>
    </row>
    <row r="1202">
      <c r="A1202" s="9"/>
      <c r="B1202" s="15"/>
      <c r="C1202" s="9">
        <f>IFERROR(__xludf.DUMMYFUNCTION("""COMPUTED_VALUE"""),44499.1817639583)</f>
        <v>44499.18176</v>
      </c>
      <c r="D1202" s="15">
        <f>IFERROR(__xludf.DUMMYFUNCTION("""COMPUTED_VALUE"""),1.015)</f>
        <v>1.015</v>
      </c>
      <c r="E1202" s="16">
        <f>IFERROR(__xludf.DUMMYFUNCTION("""COMPUTED_VALUE"""),64.0)</f>
        <v>64</v>
      </c>
      <c r="F1202" s="19" t="str">
        <f>IFERROR(__xludf.DUMMYFUNCTION("""COMPUTED_VALUE"""),"BLACK")</f>
        <v>BLACK</v>
      </c>
      <c r="G1202" s="20" t="str">
        <f>IFERROR(__xludf.DUMMYFUNCTION("""COMPUTED_VALUE"""),"Tap 6 Clone (10/15/2021)")</f>
        <v>Tap 6 Clone (10/15/2021)</v>
      </c>
      <c r="H1202" s="19"/>
    </row>
    <row r="1203">
      <c r="A1203" s="9"/>
      <c r="B1203" s="15"/>
      <c r="C1203" s="9">
        <f>IFERROR(__xludf.DUMMYFUNCTION("""COMPUTED_VALUE"""),44499.1713427777)</f>
        <v>44499.17134</v>
      </c>
      <c r="D1203" s="15">
        <f>IFERROR(__xludf.DUMMYFUNCTION("""COMPUTED_VALUE"""),1.015)</f>
        <v>1.015</v>
      </c>
      <c r="E1203" s="16">
        <f>IFERROR(__xludf.DUMMYFUNCTION("""COMPUTED_VALUE"""),64.0)</f>
        <v>64</v>
      </c>
      <c r="F1203" s="19" t="str">
        <f>IFERROR(__xludf.DUMMYFUNCTION("""COMPUTED_VALUE"""),"BLACK")</f>
        <v>BLACK</v>
      </c>
      <c r="G1203" s="20" t="str">
        <f>IFERROR(__xludf.DUMMYFUNCTION("""COMPUTED_VALUE"""),"Tap 6 Clone (10/15/2021)")</f>
        <v>Tap 6 Clone (10/15/2021)</v>
      </c>
      <c r="H1203" s="19"/>
    </row>
    <row r="1204">
      <c r="A1204" s="9"/>
      <c r="B1204" s="15"/>
      <c r="C1204" s="9">
        <f>IFERROR(__xludf.DUMMYFUNCTION("""COMPUTED_VALUE"""),44499.1609103588)</f>
        <v>44499.16091</v>
      </c>
      <c r="D1204" s="15">
        <f>IFERROR(__xludf.DUMMYFUNCTION("""COMPUTED_VALUE"""),1.016)</f>
        <v>1.016</v>
      </c>
      <c r="E1204" s="16">
        <f>IFERROR(__xludf.DUMMYFUNCTION("""COMPUTED_VALUE"""),64.0)</f>
        <v>64</v>
      </c>
      <c r="F1204" s="19" t="str">
        <f>IFERROR(__xludf.DUMMYFUNCTION("""COMPUTED_VALUE"""),"BLACK")</f>
        <v>BLACK</v>
      </c>
      <c r="G1204" s="20" t="str">
        <f>IFERROR(__xludf.DUMMYFUNCTION("""COMPUTED_VALUE"""),"Tap 6 Clone (10/15/2021)")</f>
        <v>Tap 6 Clone (10/15/2021)</v>
      </c>
      <c r="H1204" s="19"/>
    </row>
    <row r="1205">
      <c r="A1205" s="9"/>
      <c r="B1205" s="15"/>
      <c r="C1205" s="9">
        <f>IFERROR(__xludf.DUMMYFUNCTION("""COMPUTED_VALUE"""),44499.1504898842)</f>
        <v>44499.15049</v>
      </c>
      <c r="D1205" s="15">
        <f>IFERROR(__xludf.DUMMYFUNCTION("""COMPUTED_VALUE"""),1.016)</f>
        <v>1.016</v>
      </c>
      <c r="E1205" s="16">
        <f>IFERROR(__xludf.DUMMYFUNCTION("""COMPUTED_VALUE"""),64.0)</f>
        <v>64</v>
      </c>
      <c r="F1205" s="19" t="str">
        <f>IFERROR(__xludf.DUMMYFUNCTION("""COMPUTED_VALUE"""),"BLACK")</f>
        <v>BLACK</v>
      </c>
      <c r="G1205" s="20" t="str">
        <f>IFERROR(__xludf.DUMMYFUNCTION("""COMPUTED_VALUE"""),"Tap 6 Clone (10/15/2021)")</f>
        <v>Tap 6 Clone (10/15/2021)</v>
      </c>
      <c r="H1205" s="19"/>
    </row>
    <row r="1206">
      <c r="A1206" s="9"/>
      <c r="B1206" s="15"/>
      <c r="C1206" s="9">
        <f>IFERROR(__xludf.DUMMYFUNCTION("""COMPUTED_VALUE"""),44499.1400573726)</f>
        <v>44499.14006</v>
      </c>
      <c r="D1206" s="15">
        <f>IFERROR(__xludf.DUMMYFUNCTION("""COMPUTED_VALUE"""),1.015)</f>
        <v>1.015</v>
      </c>
      <c r="E1206" s="16">
        <f>IFERROR(__xludf.DUMMYFUNCTION("""COMPUTED_VALUE"""),64.0)</f>
        <v>64</v>
      </c>
      <c r="F1206" s="19" t="str">
        <f>IFERROR(__xludf.DUMMYFUNCTION("""COMPUTED_VALUE"""),"BLACK")</f>
        <v>BLACK</v>
      </c>
      <c r="G1206" s="20" t="str">
        <f>IFERROR(__xludf.DUMMYFUNCTION("""COMPUTED_VALUE"""),"Tap 6 Clone (10/15/2021)")</f>
        <v>Tap 6 Clone (10/15/2021)</v>
      </c>
      <c r="H1206" s="19"/>
    </row>
    <row r="1207">
      <c r="A1207" s="9"/>
      <c r="B1207" s="15"/>
      <c r="C1207" s="9">
        <f>IFERROR(__xludf.DUMMYFUNCTION("""COMPUTED_VALUE"""),44499.1296353588)</f>
        <v>44499.12964</v>
      </c>
      <c r="D1207" s="15">
        <f>IFERROR(__xludf.DUMMYFUNCTION("""COMPUTED_VALUE"""),1.015)</f>
        <v>1.015</v>
      </c>
      <c r="E1207" s="16">
        <f>IFERROR(__xludf.DUMMYFUNCTION("""COMPUTED_VALUE"""),64.0)</f>
        <v>64</v>
      </c>
      <c r="F1207" s="19" t="str">
        <f>IFERROR(__xludf.DUMMYFUNCTION("""COMPUTED_VALUE"""),"BLACK")</f>
        <v>BLACK</v>
      </c>
      <c r="G1207" s="20" t="str">
        <f>IFERROR(__xludf.DUMMYFUNCTION("""COMPUTED_VALUE"""),"Tap 6 Clone (10/15/2021)")</f>
        <v>Tap 6 Clone (10/15/2021)</v>
      </c>
      <c r="H1207" s="19"/>
    </row>
    <row r="1208">
      <c r="A1208" s="9"/>
      <c r="B1208" s="15"/>
      <c r="C1208" s="9">
        <f>IFERROR(__xludf.DUMMYFUNCTION("""COMPUTED_VALUE"""),44499.1192024074)</f>
        <v>44499.1192</v>
      </c>
      <c r="D1208" s="15">
        <f>IFERROR(__xludf.DUMMYFUNCTION("""COMPUTED_VALUE"""),1.015)</f>
        <v>1.015</v>
      </c>
      <c r="E1208" s="16">
        <f>IFERROR(__xludf.DUMMYFUNCTION("""COMPUTED_VALUE"""),64.0)</f>
        <v>64</v>
      </c>
      <c r="F1208" s="19" t="str">
        <f>IFERROR(__xludf.DUMMYFUNCTION("""COMPUTED_VALUE"""),"BLACK")</f>
        <v>BLACK</v>
      </c>
      <c r="G1208" s="20" t="str">
        <f>IFERROR(__xludf.DUMMYFUNCTION("""COMPUTED_VALUE"""),"Tap 6 Clone (10/15/2021)")</f>
        <v>Tap 6 Clone (10/15/2021)</v>
      </c>
      <c r="H1208" s="19"/>
    </row>
    <row r="1209">
      <c r="A1209" s="9"/>
      <c r="B1209" s="15"/>
      <c r="C1209" s="9">
        <f>IFERROR(__xludf.DUMMYFUNCTION("""COMPUTED_VALUE"""),44499.1087817708)</f>
        <v>44499.10878</v>
      </c>
      <c r="D1209" s="15">
        <f>IFERROR(__xludf.DUMMYFUNCTION("""COMPUTED_VALUE"""),1.015)</f>
        <v>1.015</v>
      </c>
      <c r="E1209" s="16">
        <f>IFERROR(__xludf.DUMMYFUNCTION("""COMPUTED_VALUE"""),64.0)</f>
        <v>64</v>
      </c>
      <c r="F1209" s="19" t="str">
        <f>IFERROR(__xludf.DUMMYFUNCTION("""COMPUTED_VALUE"""),"BLACK")</f>
        <v>BLACK</v>
      </c>
      <c r="G1209" s="20" t="str">
        <f>IFERROR(__xludf.DUMMYFUNCTION("""COMPUTED_VALUE"""),"Tap 6 Clone (10/15/2021)")</f>
        <v>Tap 6 Clone (10/15/2021)</v>
      </c>
      <c r="H1209" s="19"/>
    </row>
    <row r="1210">
      <c r="A1210" s="9"/>
      <c r="B1210" s="15"/>
      <c r="C1210" s="9">
        <f>IFERROR(__xludf.DUMMYFUNCTION("""COMPUTED_VALUE"""),44499.0983613078)</f>
        <v>44499.09836</v>
      </c>
      <c r="D1210" s="15">
        <f>IFERROR(__xludf.DUMMYFUNCTION("""COMPUTED_VALUE"""),1.016)</f>
        <v>1.016</v>
      </c>
      <c r="E1210" s="16">
        <f>IFERROR(__xludf.DUMMYFUNCTION("""COMPUTED_VALUE"""),64.0)</f>
        <v>64</v>
      </c>
      <c r="F1210" s="19" t="str">
        <f>IFERROR(__xludf.DUMMYFUNCTION("""COMPUTED_VALUE"""),"BLACK")</f>
        <v>BLACK</v>
      </c>
      <c r="G1210" s="20" t="str">
        <f>IFERROR(__xludf.DUMMYFUNCTION("""COMPUTED_VALUE"""),"Tap 6 Clone (10/15/2021)")</f>
        <v>Tap 6 Clone (10/15/2021)</v>
      </c>
      <c r="H1210" s="19"/>
    </row>
    <row r="1211">
      <c r="A1211" s="9"/>
      <c r="B1211" s="15"/>
      <c r="C1211" s="9">
        <f>IFERROR(__xludf.DUMMYFUNCTION("""COMPUTED_VALUE"""),44499.0879407291)</f>
        <v>44499.08794</v>
      </c>
      <c r="D1211" s="15">
        <f>IFERROR(__xludf.DUMMYFUNCTION("""COMPUTED_VALUE"""),1.016)</f>
        <v>1.016</v>
      </c>
      <c r="E1211" s="16">
        <f>IFERROR(__xludf.DUMMYFUNCTION("""COMPUTED_VALUE"""),64.0)</f>
        <v>64</v>
      </c>
      <c r="F1211" s="19" t="str">
        <f>IFERROR(__xludf.DUMMYFUNCTION("""COMPUTED_VALUE"""),"BLACK")</f>
        <v>BLACK</v>
      </c>
      <c r="G1211" s="20" t="str">
        <f>IFERROR(__xludf.DUMMYFUNCTION("""COMPUTED_VALUE"""),"Tap 6 Clone (10/15/2021)")</f>
        <v>Tap 6 Clone (10/15/2021)</v>
      </c>
      <c r="H1211" s="19"/>
    </row>
    <row r="1212">
      <c r="A1212" s="9"/>
      <c r="B1212" s="15"/>
      <c r="C1212" s="9">
        <f>IFERROR(__xludf.DUMMYFUNCTION("""COMPUTED_VALUE"""),44499.0775071064)</f>
        <v>44499.07751</v>
      </c>
      <c r="D1212" s="15">
        <f>IFERROR(__xludf.DUMMYFUNCTION("""COMPUTED_VALUE"""),1.016)</f>
        <v>1.016</v>
      </c>
      <c r="E1212" s="16">
        <f>IFERROR(__xludf.DUMMYFUNCTION("""COMPUTED_VALUE"""),64.0)</f>
        <v>64</v>
      </c>
      <c r="F1212" s="19" t="str">
        <f>IFERROR(__xludf.DUMMYFUNCTION("""COMPUTED_VALUE"""),"BLACK")</f>
        <v>BLACK</v>
      </c>
      <c r="G1212" s="20" t="str">
        <f>IFERROR(__xludf.DUMMYFUNCTION("""COMPUTED_VALUE"""),"Tap 6 Clone (10/15/2021)")</f>
        <v>Tap 6 Clone (10/15/2021)</v>
      </c>
      <c r="H1212" s="19"/>
    </row>
    <row r="1213">
      <c r="A1213" s="9"/>
      <c r="B1213" s="15"/>
      <c r="C1213" s="9">
        <f>IFERROR(__xludf.DUMMYFUNCTION("""COMPUTED_VALUE"""),44499.0670737037)</f>
        <v>44499.06707</v>
      </c>
      <c r="D1213" s="15">
        <f>IFERROR(__xludf.DUMMYFUNCTION("""COMPUTED_VALUE"""),1.016)</f>
        <v>1.016</v>
      </c>
      <c r="E1213" s="16">
        <f>IFERROR(__xludf.DUMMYFUNCTION("""COMPUTED_VALUE"""),64.0)</f>
        <v>64</v>
      </c>
      <c r="F1213" s="19" t="str">
        <f>IFERROR(__xludf.DUMMYFUNCTION("""COMPUTED_VALUE"""),"BLACK")</f>
        <v>BLACK</v>
      </c>
      <c r="G1213" s="20" t="str">
        <f>IFERROR(__xludf.DUMMYFUNCTION("""COMPUTED_VALUE"""),"Tap 6 Clone (10/15/2021)")</f>
        <v>Tap 6 Clone (10/15/2021)</v>
      </c>
      <c r="H1213" s="19"/>
    </row>
    <row r="1214">
      <c r="A1214" s="9"/>
      <c r="B1214" s="15"/>
      <c r="C1214" s="9">
        <f>IFERROR(__xludf.DUMMYFUNCTION("""COMPUTED_VALUE"""),44499.0566543287)</f>
        <v>44499.05665</v>
      </c>
      <c r="D1214" s="15">
        <f>IFERROR(__xludf.DUMMYFUNCTION("""COMPUTED_VALUE"""),1.016)</f>
        <v>1.016</v>
      </c>
      <c r="E1214" s="16">
        <f>IFERROR(__xludf.DUMMYFUNCTION("""COMPUTED_VALUE"""),64.0)</f>
        <v>64</v>
      </c>
      <c r="F1214" s="19" t="str">
        <f>IFERROR(__xludf.DUMMYFUNCTION("""COMPUTED_VALUE"""),"BLACK")</f>
        <v>BLACK</v>
      </c>
      <c r="G1214" s="20" t="str">
        <f>IFERROR(__xludf.DUMMYFUNCTION("""COMPUTED_VALUE"""),"Tap 6 Clone (10/15/2021)")</f>
        <v>Tap 6 Clone (10/15/2021)</v>
      </c>
      <c r="H1214" s="19"/>
    </row>
    <row r="1215">
      <c r="A1215" s="9"/>
      <c r="B1215" s="15"/>
      <c r="C1215" s="9">
        <f>IFERROR(__xludf.DUMMYFUNCTION("""COMPUTED_VALUE"""),44499.0462333217)</f>
        <v>44499.04623</v>
      </c>
      <c r="D1215" s="15">
        <f>IFERROR(__xludf.DUMMYFUNCTION("""COMPUTED_VALUE"""),1.016)</f>
        <v>1.016</v>
      </c>
      <c r="E1215" s="16">
        <f>IFERROR(__xludf.DUMMYFUNCTION("""COMPUTED_VALUE"""),64.0)</f>
        <v>64</v>
      </c>
      <c r="F1215" s="19" t="str">
        <f>IFERROR(__xludf.DUMMYFUNCTION("""COMPUTED_VALUE"""),"BLACK")</f>
        <v>BLACK</v>
      </c>
      <c r="G1215" s="20" t="str">
        <f>IFERROR(__xludf.DUMMYFUNCTION("""COMPUTED_VALUE"""),"Tap 6 Clone (10/15/2021)")</f>
        <v>Tap 6 Clone (10/15/2021)</v>
      </c>
      <c r="H1215" s="19"/>
    </row>
    <row r="1216">
      <c r="A1216" s="9"/>
      <c r="B1216" s="15"/>
      <c r="C1216" s="9">
        <f>IFERROR(__xludf.DUMMYFUNCTION("""COMPUTED_VALUE"""),44499.0358124305)</f>
        <v>44499.03581</v>
      </c>
      <c r="D1216" s="15">
        <f>IFERROR(__xludf.DUMMYFUNCTION("""COMPUTED_VALUE"""),1.015)</f>
        <v>1.015</v>
      </c>
      <c r="E1216" s="16">
        <f>IFERROR(__xludf.DUMMYFUNCTION("""COMPUTED_VALUE"""),64.0)</f>
        <v>64</v>
      </c>
      <c r="F1216" s="19" t="str">
        <f>IFERROR(__xludf.DUMMYFUNCTION("""COMPUTED_VALUE"""),"BLACK")</f>
        <v>BLACK</v>
      </c>
      <c r="G1216" s="20" t="str">
        <f>IFERROR(__xludf.DUMMYFUNCTION("""COMPUTED_VALUE"""),"Tap 6 Clone (10/15/2021)")</f>
        <v>Tap 6 Clone (10/15/2021)</v>
      </c>
      <c r="H1216" s="19"/>
    </row>
    <row r="1217">
      <c r="A1217" s="9"/>
      <c r="B1217" s="15"/>
      <c r="C1217" s="9">
        <f>IFERROR(__xludf.DUMMYFUNCTION("""COMPUTED_VALUE"""),44499.025391493)</f>
        <v>44499.02539</v>
      </c>
      <c r="D1217" s="15">
        <f>IFERROR(__xludf.DUMMYFUNCTION("""COMPUTED_VALUE"""),1.015)</f>
        <v>1.015</v>
      </c>
      <c r="E1217" s="16">
        <f>IFERROR(__xludf.DUMMYFUNCTION("""COMPUTED_VALUE"""),63.0)</f>
        <v>63</v>
      </c>
      <c r="F1217" s="19" t="str">
        <f>IFERROR(__xludf.DUMMYFUNCTION("""COMPUTED_VALUE"""),"BLACK")</f>
        <v>BLACK</v>
      </c>
      <c r="G1217" s="20" t="str">
        <f>IFERROR(__xludf.DUMMYFUNCTION("""COMPUTED_VALUE"""),"Tap 6 Clone (10/15/2021)")</f>
        <v>Tap 6 Clone (10/15/2021)</v>
      </c>
      <c r="H1217" s="19"/>
    </row>
    <row r="1218">
      <c r="A1218" s="9"/>
      <c r="B1218" s="15"/>
      <c r="C1218" s="9">
        <f>IFERROR(__xludf.DUMMYFUNCTION("""COMPUTED_VALUE"""),44499.0149695601)</f>
        <v>44499.01497</v>
      </c>
      <c r="D1218" s="15">
        <f>IFERROR(__xludf.DUMMYFUNCTION("""COMPUTED_VALUE"""),1.015)</f>
        <v>1.015</v>
      </c>
      <c r="E1218" s="16">
        <f>IFERROR(__xludf.DUMMYFUNCTION("""COMPUTED_VALUE"""),64.0)</f>
        <v>64</v>
      </c>
      <c r="F1218" s="19" t="str">
        <f>IFERROR(__xludf.DUMMYFUNCTION("""COMPUTED_VALUE"""),"BLACK")</f>
        <v>BLACK</v>
      </c>
      <c r="G1218" s="20" t="str">
        <f>IFERROR(__xludf.DUMMYFUNCTION("""COMPUTED_VALUE"""),"Tap 6 Clone (10/15/2021)")</f>
        <v>Tap 6 Clone (10/15/2021)</v>
      </c>
      <c r="H1218" s="19"/>
    </row>
    <row r="1219">
      <c r="A1219" s="9"/>
      <c r="B1219" s="15"/>
      <c r="C1219" s="9">
        <f>IFERROR(__xludf.DUMMYFUNCTION("""COMPUTED_VALUE"""),44499.004549074)</f>
        <v>44499.00455</v>
      </c>
      <c r="D1219" s="15">
        <f>IFERROR(__xludf.DUMMYFUNCTION("""COMPUTED_VALUE"""),1.015)</f>
        <v>1.015</v>
      </c>
      <c r="E1219" s="16">
        <f>IFERROR(__xludf.DUMMYFUNCTION("""COMPUTED_VALUE"""),64.0)</f>
        <v>64</v>
      </c>
      <c r="F1219" s="19" t="str">
        <f>IFERROR(__xludf.DUMMYFUNCTION("""COMPUTED_VALUE"""),"BLACK")</f>
        <v>BLACK</v>
      </c>
      <c r="G1219" s="20" t="str">
        <f>IFERROR(__xludf.DUMMYFUNCTION("""COMPUTED_VALUE"""),"Tap 6 Clone (10/15/2021)")</f>
        <v>Tap 6 Clone (10/15/2021)</v>
      </c>
      <c r="H1219" s="19"/>
    </row>
    <row r="1220">
      <c r="A1220" s="9"/>
      <c r="B1220" s="15"/>
      <c r="C1220" s="9">
        <f>IFERROR(__xludf.DUMMYFUNCTION("""COMPUTED_VALUE"""),44498.9941266435)</f>
        <v>44498.99413</v>
      </c>
      <c r="D1220" s="15">
        <f>IFERROR(__xludf.DUMMYFUNCTION("""COMPUTED_VALUE"""),1.015)</f>
        <v>1.015</v>
      </c>
      <c r="E1220" s="16">
        <f>IFERROR(__xludf.DUMMYFUNCTION("""COMPUTED_VALUE"""),63.0)</f>
        <v>63</v>
      </c>
      <c r="F1220" s="19" t="str">
        <f>IFERROR(__xludf.DUMMYFUNCTION("""COMPUTED_VALUE"""),"BLACK")</f>
        <v>BLACK</v>
      </c>
      <c r="G1220" s="20" t="str">
        <f>IFERROR(__xludf.DUMMYFUNCTION("""COMPUTED_VALUE"""),"Tap 6 Clone (10/15/2021)")</f>
        <v>Tap 6 Clone (10/15/2021)</v>
      </c>
      <c r="H1220" s="19"/>
    </row>
    <row r="1221">
      <c r="A1221" s="9"/>
      <c r="B1221" s="15"/>
      <c r="C1221" s="9">
        <f>IFERROR(__xludf.DUMMYFUNCTION("""COMPUTED_VALUE"""),44498.9837052314)</f>
        <v>44498.98371</v>
      </c>
      <c r="D1221" s="15">
        <f>IFERROR(__xludf.DUMMYFUNCTION("""COMPUTED_VALUE"""),1.015)</f>
        <v>1.015</v>
      </c>
      <c r="E1221" s="16">
        <f>IFERROR(__xludf.DUMMYFUNCTION("""COMPUTED_VALUE"""),63.0)</f>
        <v>63</v>
      </c>
      <c r="F1221" s="19" t="str">
        <f>IFERROR(__xludf.DUMMYFUNCTION("""COMPUTED_VALUE"""),"BLACK")</f>
        <v>BLACK</v>
      </c>
      <c r="G1221" s="20" t="str">
        <f>IFERROR(__xludf.DUMMYFUNCTION("""COMPUTED_VALUE"""),"Tap 6 Clone (10/15/2021)")</f>
        <v>Tap 6 Clone (10/15/2021)</v>
      </c>
      <c r="H1221" s="19"/>
    </row>
    <row r="1222">
      <c r="A1222" s="9"/>
      <c r="B1222" s="15"/>
      <c r="C1222" s="9">
        <f>IFERROR(__xludf.DUMMYFUNCTION("""COMPUTED_VALUE"""),44498.9732837268)</f>
        <v>44498.97328</v>
      </c>
      <c r="D1222" s="15">
        <f>IFERROR(__xludf.DUMMYFUNCTION("""COMPUTED_VALUE"""),1.015)</f>
        <v>1.015</v>
      </c>
      <c r="E1222" s="16">
        <f>IFERROR(__xludf.DUMMYFUNCTION("""COMPUTED_VALUE"""),63.0)</f>
        <v>63</v>
      </c>
      <c r="F1222" s="19" t="str">
        <f>IFERROR(__xludf.DUMMYFUNCTION("""COMPUTED_VALUE"""),"BLACK")</f>
        <v>BLACK</v>
      </c>
      <c r="G1222" s="20" t="str">
        <f>IFERROR(__xludf.DUMMYFUNCTION("""COMPUTED_VALUE"""),"Tap 6 Clone (10/15/2021)")</f>
        <v>Tap 6 Clone (10/15/2021)</v>
      </c>
      <c r="H1222" s="19"/>
    </row>
    <row r="1223">
      <c r="A1223" s="9"/>
      <c r="B1223" s="15"/>
      <c r="C1223" s="9">
        <f>IFERROR(__xludf.DUMMYFUNCTION("""COMPUTED_VALUE"""),44498.9628633333)</f>
        <v>44498.96286</v>
      </c>
      <c r="D1223" s="15">
        <f>IFERROR(__xludf.DUMMYFUNCTION("""COMPUTED_VALUE"""),1.014)</f>
        <v>1.014</v>
      </c>
      <c r="E1223" s="16">
        <f>IFERROR(__xludf.DUMMYFUNCTION("""COMPUTED_VALUE"""),63.0)</f>
        <v>63</v>
      </c>
      <c r="F1223" s="19" t="str">
        <f>IFERROR(__xludf.DUMMYFUNCTION("""COMPUTED_VALUE"""),"BLACK")</f>
        <v>BLACK</v>
      </c>
      <c r="G1223" s="20" t="str">
        <f>IFERROR(__xludf.DUMMYFUNCTION("""COMPUTED_VALUE"""),"Tap 6 Clone (10/15/2021)")</f>
        <v>Tap 6 Clone (10/15/2021)</v>
      </c>
      <c r="H1223" s="19"/>
    </row>
    <row r="1224">
      <c r="A1224" s="9"/>
      <c r="B1224" s="15"/>
      <c r="C1224" s="9">
        <f>IFERROR(__xludf.DUMMYFUNCTION("""COMPUTED_VALUE"""),44498.9524423495)</f>
        <v>44498.95244</v>
      </c>
      <c r="D1224" s="15">
        <f>IFERROR(__xludf.DUMMYFUNCTION("""COMPUTED_VALUE"""),1.014)</f>
        <v>1.014</v>
      </c>
      <c r="E1224" s="16">
        <f>IFERROR(__xludf.DUMMYFUNCTION("""COMPUTED_VALUE"""),63.0)</f>
        <v>63</v>
      </c>
      <c r="F1224" s="19" t="str">
        <f>IFERROR(__xludf.DUMMYFUNCTION("""COMPUTED_VALUE"""),"BLACK")</f>
        <v>BLACK</v>
      </c>
      <c r="G1224" s="20" t="str">
        <f>IFERROR(__xludf.DUMMYFUNCTION("""COMPUTED_VALUE"""),"Tap 6 Clone (10/15/2021)")</f>
        <v>Tap 6 Clone (10/15/2021)</v>
      </c>
      <c r="H1224" s="19"/>
    </row>
    <row r="1225">
      <c r="A1225" s="9"/>
      <c r="B1225" s="15"/>
      <c r="C1225" s="9">
        <f>IFERROR(__xludf.DUMMYFUNCTION("""COMPUTED_VALUE"""),44498.9420226041)</f>
        <v>44498.94202</v>
      </c>
      <c r="D1225" s="15">
        <f>IFERROR(__xludf.DUMMYFUNCTION("""COMPUTED_VALUE"""),1.016)</f>
        <v>1.016</v>
      </c>
      <c r="E1225" s="16">
        <f>IFERROR(__xludf.DUMMYFUNCTION("""COMPUTED_VALUE"""),63.0)</f>
        <v>63</v>
      </c>
      <c r="F1225" s="19" t="str">
        <f>IFERROR(__xludf.DUMMYFUNCTION("""COMPUTED_VALUE"""),"BLACK")</f>
        <v>BLACK</v>
      </c>
      <c r="G1225" s="20" t="str">
        <f>IFERROR(__xludf.DUMMYFUNCTION("""COMPUTED_VALUE"""),"Tap 6 Clone (10/15/2021)")</f>
        <v>Tap 6 Clone (10/15/2021)</v>
      </c>
      <c r="H1225" s="19"/>
    </row>
    <row r="1226">
      <c r="A1226" s="9"/>
      <c r="B1226" s="15"/>
      <c r="C1226" s="9">
        <f>IFERROR(__xludf.DUMMYFUNCTION("""COMPUTED_VALUE"""),44498.9316032523)</f>
        <v>44498.9316</v>
      </c>
      <c r="D1226" s="15">
        <f>IFERROR(__xludf.DUMMYFUNCTION("""COMPUTED_VALUE"""),1.015)</f>
        <v>1.015</v>
      </c>
      <c r="E1226" s="16">
        <f>IFERROR(__xludf.DUMMYFUNCTION("""COMPUTED_VALUE"""),63.0)</f>
        <v>63</v>
      </c>
      <c r="F1226" s="19" t="str">
        <f>IFERROR(__xludf.DUMMYFUNCTION("""COMPUTED_VALUE"""),"BLACK")</f>
        <v>BLACK</v>
      </c>
      <c r="G1226" s="20" t="str">
        <f>IFERROR(__xludf.DUMMYFUNCTION("""COMPUTED_VALUE"""),"Tap 6 Clone (10/15/2021)")</f>
        <v>Tap 6 Clone (10/15/2021)</v>
      </c>
      <c r="H1226" s="19"/>
    </row>
    <row r="1227">
      <c r="A1227" s="9"/>
      <c r="B1227" s="15"/>
      <c r="C1227" s="9">
        <f>IFERROR(__xludf.DUMMYFUNCTION("""COMPUTED_VALUE"""),44498.9211692129)</f>
        <v>44498.92117</v>
      </c>
      <c r="D1227" s="15">
        <f>IFERROR(__xludf.DUMMYFUNCTION("""COMPUTED_VALUE"""),1.015)</f>
        <v>1.015</v>
      </c>
      <c r="E1227" s="16">
        <f>IFERROR(__xludf.DUMMYFUNCTION("""COMPUTED_VALUE"""),63.0)</f>
        <v>63</v>
      </c>
      <c r="F1227" s="19" t="str">
        <f>IFERROR(__xludf.DUMMYFUNCTION("""COMPUTED_VALUE"""),"BLACK")</f>
        <v>BLACK</v>
      </c>
      <c r="G1227" s="20" t="str">
        <f>IFERROR(__xludf.DUMMYFUNCTION("""COMPUTED_VALUE"""),"Tap 6 Clone (10/15/2021)")</f>
        <v>Tap 6 Clone (10/15/2021)</v>
      </c>
      <c r="H1227" s="19"/>
    </row>
    <row r="1228">
      <c r="A1228" s="9"/>
      <c r="B1228" s="15"/>
      <c r="C1228" s="9">
        <f>IFERROR(__xludf.DUMMYFUNCTION("""COMPUTED_VALUE"""),44498.9107495486)</f>
        <v>44498.91075</v>
      </c>
      <c r="D1228" s="15">
        <f>IFERROR(__xludf.DUMMYFUNCTION("""COMPUTED_VALUE"""),1.015)</f>
        <v>1.015</v>
      </c>
      <c r="E1228" s="16">
        <f>IFERROR(__xludf.DUMMYFUNCTION("""COMPUTED_VALUE"""),63.0)</f>
        <v>63</v>
      </c>
      <c r="F1228" s="19" t="str">
        <f>IFERROR(__xludf.DUMMYFUNCTION("""COMPUTED_VALUE"""),"BLACK")</f>
        <v>BLACK</v>
      </c>
      <c r="G1228" s="20" t="str">
        <f>IFERROR(__xludf.DUMMYFUNCTION("""COMPUTED_VALUE"""),"Tap 6 Clone (10/15/2021)")</f>
        <v>Tap 6 Clone (10/15/2021)</v>
      </c>
      <c r="H1228" s="19"/>
    </row>
    <row r="1229">
      <c r="A1229" s="9"/>
      <c r="B1229" s="15"/>
      <c r="C1229" s="9">
        <f>IFERROR(__xludf.DUMMYFUNCTION("""COMPUTED_VALUE"""),44498.9003061921)</f>
        <v>44498.90031</v>
      </c>
      <c r="D1229" s="15">
        <f>IFERROR(__xludf.DUMMYFUNCTION("""COMPUTED_VALUE"""),1.015)</f>
        <v>1.015</v>
      </c>
      <c r="E1229" s="16">
        <f>IFERROR(__xludf.DUMMYFUNCTION("""COMPUTED_VALUE"""),63.0)</f>
        <v>63</v>
      </c>
      <c r="F1229" s="19" t="str">
        <f>IFERROR(__xludf.DUMMYFUNCTION("""COMPUTED_VALUE"""),"BLACK")</f>
        <v>BLACK</v>
      </c>
      <c r="G1229" s="20" t="str">
        <f>IFERROR(__xludf.DUMMYFUNCTION("""COMPUTED_VALUE"""),"Tap 6 Clone (10/15/2021)")</f>
        <v>Tap 6 Clone (10/15/2021)</v>
      </c>
      <c r="H1229" s="19"/>
    </row>
    <row r="1230">
      <c r="A1230" s="9"/>
      <c r="B1230" s="15"/>
      <c r="C1230" s="9">
        <f>IFERROR(__xludf.DUMMYFUNCTION("""COMPUTED_VALUE"""),44498.8898857291)</f>
        <v>44498.88989</v>
      </c>
      <c r="D1230" s="15">
        <f>IFERROR(__xludf.DUMMYFUNCTION("""COMPUTED_VALUE"""),1.016)</f>
        <v>1.016</v>
      </c>
      <c r="E1230" s="16">
        <f>IFERROR(__xludf.DUMMYFUNCTION("""COMPUTED_VALUE"""),63.0)</f>
        <v>63</v>
      </c>
      <c r="F1230" s="19" t="str">
        <f>IFERROR(__xludf.DUMMYFUNCTION("""COMPUTED_VALUE"""),"BLACK")</f>
        <v>BLACK</v>
      </c>
      <c r="G1230" s="20" t="str">
        <f>IFERROR(__xludf.DUMMYFUNCTION("""COMPUTED_VALUE"""),"Tap 6 Clone (10/15/2021)")</f>
        <v>Tap 6 Clone (10/15/2021)</v>
      </c>
      <c r="H1230" s="19"/>
    </row>
    <row r="1231">
      <c r="A1231" s="9"/>
      <c r="B1231" s="15"/>
      <c r="C1231" s="9">
        <f>IFERROR(__xludf.DUMMYFUNCTION("""COMPUTED_VALUE"""),44498.8794640046)</f>
        <v>44498.87946</v>
      </c>
      <c r="D1231" s="15">
        <f>IFERROR(__xludf.DUMMYFUNCTION("""COMPUTED_VALUE"""),1.016)</f>
        <v>1.016</v>
      </c>
      <c r="E1231" s="16">
        <f>IFERROR(__xludf.DUMMYFUNCTION("""COMPUTED_VALUE"""),63.0)</f>
        <v>63</v>
      </c>
      <c r="F1231" s="19" t="str">
        <f>IFERROR(__xludf.DUMMYFUNCTION("""COMPUTED_VALUE"""),"BLACK")</f>
        <v>BLACK</v>
      </c>
      <c r="G1231" s="20" t="str">
        <f>IFERROR(__xludf.DUMMYFUNCTION("""COMPUTED_VALUE"""),"Tap 6 Clone (10/15/2021)")</f>
        <v>Tap 6 Clone (10/15/2021)</v>
      </c>
      <c r="H1231" s="19"/>
    </row>
    <row r="1232">
      <c r="A1232" s="9"/>
      <c r="B1232" s="15"/>
      <c r="C1232" s="9">
        <f>IFERROR(__xludf.DUMMYFUNCTION("""COMPUTED_VALUE"""),44498.8690431481)</f>
        <v>44498.86904</v>
      </c>
      <c r="D1232" s="15">
        <f>IFERROR(__xludf.DUMMYFUNCTION("""COMPUTED_VALUE"""),1.016)</f>
        <v>1.016</v>
      </c>
      <c r="E1232" s="16">
        <f>IFERROR(__xludf.DUMMYFUNCTION("""COMPUTED_VALUE"""),63.0)</f>
        <v>63</v>
      </c>
      <c r="F1232" s="19" t="str">
        <f>IFERROR(__xludf.DUMMYFUNCTION("""COMPUTED_VALUE"""),"BLACK")</f>
        <v>BLACK</v>
      </c>
      <c r="G1232" s="20" t="str">
        <f>IFERROR(__xludf.DUMMYFUNCTION("""COMPUTED_VALUE"""),"Tap 6 Clone (10/15/2021)")</f>
        <v>Tap 6 Clone (10/15/2021)</v>
      </c>
      <c r="H1232" s="19"/>
    </row>
    <row r="1233">
      <c r="A1233" s="9"/>
      <c r="B1233" s="15"/>
      <c r="C1233" s="9">
        <f>IFERROR(__xludf.DUMMYFUNCTION("""COMPUTED_VALUE"""),44498.8586209259)</f>
        <v>44498.85862</v>
      </c>
      <c r="D1233" s="15">
        <f>IFERROR(__xludf.DUMMYFUNCTION("""COMPUTED_VALUE"""),1.016)</f>
        <v>1.016</v>
      </c>
      <c r="E1233" s="16">
        <f>IFERROR(__xludf.DUMMYFUNCTION("""COMPUTED_VALUE"""),63.0)</f>
        <v>63</v>
      </c>
      <c r="F1233" s="19" t="str">
        <f>IFERROR(__xludf.DUMMYFUNCTION("""COMPUTED_VALUE"""),"BLACK")</f>
        <v>BLACK</v>
      </c>
      <c r="G1233" s="20" t="str">
        <f>IFERROR(__xludf.DUMMYFUNCTION("""COMPUTED_VALUE"""),"Tap 6 Clone (10/15/2021)")</f>
        <v>Tap 6 Clone (10/15/2021)</v>
      </c>
      <c r="H1233" s="19"/>
    </row>
    <row r="1234">
      <c r="A1234" s="9"/>
      <c r="B1234" s="15"/>
      <c r="C1234" s="9">
        <f>IFERROR(__xludf.DUMMYFUNCTION("""COMPUTED_VALUE"""),44498.8482004051)</f>
        <v>44498.8482</v>
      </c>
      <c r="D1234" s="15">
        <f>IFERROR(__xludf.DUMMYFUNCTION("""COMPUTED_VALUE"""),1.015)</f>
        <v>1.015</v>
      </c>
      <c r="E1234" s="16">
        <f>IFERROR(__xludf.DUMMYFUNCTION("""COMPUTED_VALUE"""),63.0)</f>
        <v>63</v>
      </c>
      <c r="F1234" s="19" t="str">
        <f>IFERROR(__xludf.DUMMYFUNCTION("""COMPUTED_VALUE"""),"BLACK")</f>
        <v>BLACK</v>
      </c>
      <c r="G1234" s="20" t="str">
        <f>IFERROR(__xludf.DUMMYFUNCTION("""COMPUTED_VALUE"""),"Tap 6 Clone (10/15/2021)")</f>
        <v>Tap 6 Clone (10/15/2021)</v>
      </c>
      <c r="H1234" s="19"/>
    </row>
    <row r="1235">
      <c r="A1235" s="9"/>
      <c r="B1235" s="15"/>
      <c r="C1235" s="9">
        <f>IFERROR(__xludf.DUMMYFUNCTION("""COMPUTED_VALUE"""),44498.8377803009)</f>
        <v>44498.83778</v>
      </c>
      <c r="D1235" s="15">
        <f>IFERROR(__xludf.DUMMYFUNCTION("""COMPUTED_VALUE"""),1.015)</f>
        <v>1.015</v>
      </c>
      <c r="E1235" s="16">
        <f>IFERROR(__xludf.DUMMYFUNCTION("""COMPUTED_VALUE"""),63.0)</f>
        <v>63</v>
      </c>
      <c r="F1235" s="19" t="str">
        <f>IFERROR(__xludf.DUMMYFUNCTION("""COMPUTED_VALUE"""),"BLACK")</f>
        <v>BLACK</v>
      </c>
      <c r="G1235" s="20" t="str">
        <f>IFERROR(__xludf.DUMMYFUNCTION("""COMPUTED_VALUE"""),"Tap 6 Clone (10/15/2021)")</f>
        <v>Tap 6 Clone (10/15/2021)</v>
      </c>
      <c r="H1235" s="19"/>
    </row>
    <row r="1236">
      <c r="A1236" s="9"/>
      <c r="B1236" s="15"/>
      <c r="C1236" s="9">
        <f>IFERROR(__xludf.DUMMYFUNCTION("""COMPUTED_VALUE"""),44498.8273600694)</f>
        <v>44498.82736</v>
      </c>
      <c r="D1236" s="15">
        <f>IFERROR(__xludf.DUMMYFUNCTION("""COMPUTED_VALUE"""),1.016)</f>
        <v>1.016</v>
      </c>
      <c r="E1236" s="16">
        <f>IFERROR(__xludf.DUMMYFUNCTION("""COMPUTED_VALUE"""),63.0)</f>
        <v>63</v>
      </c>
      <c r="F1236" s="19" t="str">
        <f>IFERROR(__xludf.DUMMYFUNCTION("""COMPUTED_VALUE"""),"BLACK")</f>
        <v>BLACK</v>
      </c>
      <c r="G1236" s="20" t="str">
        <f>IFERROR(__xludf.DUMMYFUNCTION("""COMPUTED_VALUE"""),"Tap 6 Clone (10/15/2021)")</f>
        <v>Tap 6 Clone (10/15/2021)</v>
      </c>
      <c r="H1236" s="19"/>
    </row>
    <row r="1237">
      <c r="A1237" s="9"/>
      <c r="B1237" s="15"/>
      <c r="C1237" s="9">
        <f>IFERROR(__xludf.DUMMYFUNCTION("""COMPUTED_VALUE"""),44498.8169388541)</f>
        <v>44498.81694</v>
      </c>
      <c r="D1237" s="15">
        <f>IFERROR(__xludf.DUMMYFUNCTION("""COMPUTED_VALUE"""),1.016)</f>
        <v>1.016</v>
      </c>
      <c r="E1237" s="16">
        <f>IFERROR(__xludf.DUMMYFUNCTION("""COMPUTED_VALUE"""),63.0)</f>
        <v>63</v>
      </c>
      <c r="F1237" s="19" t="str">
        <f>IFERROR(__xludf.DUMMYFUNCTION("""COMPUTED_VALUE"""),"BLACK")</f>
        <v>BLACK</v>
      </c>
      <c r="G1237" s="20" t="str">
        <f>IFERROR(__xludf.DUMMYFUNCTION("""COMPUTED_VALUE"""),"Tap 6 Clone (10/15/2021)")</f>
        <v>Tap 6 Clone (10/15/2021)</v>
      </c>
      <c r="H1237" s="19"/>
    </row>
    <row r="1238">
      <c r="A1238" s="9"/>
      <c r="B1238" s="15"/>
      <c r="C1238" s="9">
        <f>IFERROR(__xludf.DUMMYFUNCTION("""COMPUTED_VALUE"""),44498.8065169097)</f>
        <v>44498.80652</v>
      </c>
      <c r="D1238" s="15">
        <f>IFERROR(__xludf.DUMMYFUNCTION("""COMPUTED_VALUE"""),1.016)</f>
        <v>1.016</v>
      </c>
      <c r="E1238" s="16">
        <f>IFERROR(__xludf.DUMMYFUNCTION("""COMPUTED_VALUE"""),63.0)</f>
        <v>63</v>
      </c>
      <c r="F1238" s="19" t="str">
        <f>IFERROR(__xludf.DUMMYFUNCTION("""COMPUTED_VALUE"""),"BLACK")</f>
        <v>BLACK</v>
      </c>
      <c r="G1238" s="20" t="str">
        <f>IFERROR(__xludf.DUMMYFUNCTION("""COMPUTED_VALUE"""),"Tap 6 Clone (10/15/2021)")</f>
        <v>Tap 6 Clone (10/15/2021)</v>
      </c>
      <c r="H1238" s="19"/>
    </row>
    <row r="1239">
      <c r="A1239" s="9"/>
      <c r="B1239" s="15"/>
      <c r="C1239" s="9">
        <f>IFERROR(__xludf.DUMMYFUNCTION("""COMPUTED_VALUE"""),44498.7960965625)</f>
        <v>44498.7961</v>
      </c>
      <c r="D1239" s="15">
        <f>IFERROR(__xludf.DUMMYFUNCTION("""COMPUTED_VALUE"""),1.016)</f>
        <v>1.016</v>
      </c>
      <c r="E1239" s="16">
        <f>IFERROR(__xludf.DUMMYFUNCTION("""COMPUTED_VALUE"""),63.0)</f>
        <v>63</v>
      </c>
      <c r="F1239" s="19" t="str">
        <f>IFERROR(__xludf.DUMMYFUNCTION("""COMPUTED_VALUE"""),"BLACK")</f>
        <v>BLACK</v>
      </c>
      <c r="G1239" s="20" t="str">
        <f>IFERROR(__xludf.DUMMYFUNCTION("""COMPUTED_VALUE"""),"Tap 6 Clone (10/15/2021)")</f>
        <v>Tap 6 Clone (10/15/2021)</v>
      </c>
      <c r="H1239" s="19"/>
    </row>
    <row r="1240">
      <c r="A1240" s="9"/>
      <c r="B1240" s="15"/>
      <c r="C1240" s="9">
        <f>IFERROR(__xludf.DUMMYFUNCTION("""COMPUTED_VALUE"""),44498.7856761805)</f>
        <v>44498.78568</v>
      </c>
      <c r="D1240" s="15">
        <f>IFERROR(__xludf.DUMMYFUNCTION("""COMPUTED_VALUE"""),1.016)</f>
        <v>1.016</v>
      </c>
      <c r="E1240" s="16">
        <f>IFERROR(__xludf.DUMMYFUNCTION("""COMPUTED_VALUE"""),63.0)</f>
        <v>63</v>
      </c>
      <c r="F1240" s="19" t="str">
        <f>IFERROR(__xludf.DUMMYFUNCTION("""COMPUTED_VALUE"""),"BLACK")</f>
        <v>BLACK</v>
      </c>
      <c r="G1240" s="20" t="str">
        <f>IFERROR(__xludf.DUMMYFUNCTION("""COMPUTED_VALUE"""),"Tap 6 Clone (10/15/2021)")</f>
        <v>Tap 6 Clone (10/15/2021)</v>
      </c>
      <c r="H1240" s="19"/>
    </row>
    <row r="1241">
      <c r="A1241" s="9"/>
      <c r="B1241" s="15"/>
      <c r="C1241" s="9">
        <f>IFERROR(__xludf.DUMMYFUNCTION("""COMPUTED_VALUE"""),44498.7752431944)</f>
        <v>44498.77524</v>
      </c>
      <c r="D1241" s="15">
        <f>IFERROR(__xludf.DUMMYFUNCTION("""COMPUTED_VALUE"""),1.016)</f>
        <v>1.016</v>
      </c>
      <c r="E1241" s="16">
        <f>IFERROR(__xludf.DUMMYFUNCTION("""COMPUTED_VALUE"""),63.0)</f>
        <v>63</v>
      </c>
      <c r="F1241" s="19" t="str">
        <f>IFERROR(__xludf.DUMMYFUNCTION("""COMPUTED_VALUE"""),"BLACK")</f>
        <v>BLACK</v>
      </c>
      <c r="G1241" s="20" t="str">
        <f>IFERROR(__xludf.DUMMYFUNCTION("""COMPUTED_VALUE"""),"Tap 6 Clone (10/15/2021)")</f>
        <v>Tap 6 Clone (10/15/2021)</v>
      </c>
      <c r="H1241" s="19"/>
    </row>
    <row r="1242">
      <c r="A1242" s="9"/>
      <c r="B1242" s="15"/>
      <c r="C1242" s="9">
        <f>IFERROR(__xludf.DUMMYFUNCTION("""COMPUTED_VALUE"""),44498.764808912)</f>
        <v>44498.76481</v>
      </c>
      <c r="D1242" s="15">
        <f>IFERROR(__xludf.DUMMYFUNCTION("""COMPUTED_VALUE"""),1.016)</f>
        <v>1.016</v>
      </c>
      <c r="E1242" s="16">
        <f>IFERROR(__xludf.DUMMYFUNCTION("""COMPUTED_VALUE"""),63.0)</f>
        <v>63</v>
      </c>
      <c r="F1242" s="19" t="str">
        <f>IFERROR(__xludf.DUMMYFUNCTION("""COMPUTED_VALUE"""),"BLACK")</f>
        <v>BLACK</v>
      </c>
      <c r="G1242" s="20" t="str">
        <f>IFERROR(__xludf.DUMMYFUNCTION("""COMPUTED_VALUE"""),"Tap 6 Clone (10/15/2021)")</f>
        <v>Tap 6 Clone (10/15/2021)</v>
      </c>
      <c r="H1242" s="19"/>
    </row>
    <row r="1243">
      <c r="A1243" s="9"/>
      <c r="B1243" s="15"/>
      <c r="C1243" s="9">
        <f>IFERROR(__xludf.DUMMYFUNCTION("""COMPUTED_VALUE"""),44498.7543899074)</f>
        <v>44498.75439</v>
      </c>
      <c r="D1243" s="15">
        <f>IFERROR(__xludf.DUMMYFUNCTION("""COMPUTED_VALUE"""),1.016)</f>
        <v>1.016</v>
      </c>
      <c r="E1243" s="16">
        <f>IFERROR(__xludf.DUMMYFUNCTION("""COMPUTED_VALUE"""),63.0)</f>
        <v>63</v>
      </c>
      <c r="F1243" s="19" t="str">
        <f>IFERROR(__xludf.DUMMYFUNCTION("""COMPUTED_VALUE"""),"BLACK")</f>
        <v>BLACK</v>
      </c>
      <c r="G1243" s="20" t="str">
        <f>IFERROR(__xludf.DUMMYFUNCTION("""COMPUTED_VALUE"""),"Tap 6 Clone (10/15/2021)")</f>
        <v>Tap 6 Clone (10/15/2021)</v>
      </c>
      <c r="H1243" s="19"/>
    </row>
    <row r="1244">
      <c r="A1244" s="9"/>
      <c r="B1244" s="15"/>
      <c r="C1244" s="9">
        <f>IFERROR(__xludf.DUMMYFUNCTION("""COMPUTED_VALUE"""),44498.7439584838)</f>
        <v>44498.74396</v>
      </c>
      <c r="D1244" s="15">
        <f>IFERROR(__xludf.DUMMYFUNCTION("""COMPUTED_VALUE"""),1.016)</f>
        <v>1.016</v>
      </c>
      <c r="E1244" s="16">
        <f>IFERROR(__xludf.DUMMYFUNCTION("""COMPUTED_VALUE"""),63.0)</f>
        <v>63</v>
      </c>
      <c r="F1244" s="19" t="str">
        <f>IFERROR(__xludf.DUMMYFUNCTION("""COMPUTED_VALUE"""),"BLACK")</f>
        <v>BLACK</v>
      </c>
      <c r="G1244" s="20" t="str">
        <f>IFERROR(__xludf.DUMMYFUNCTION("""COMPUTED_VALUE"""),"Tap 6 Clone (10/15/2021)")</f>
        <v>Tap 6 Clone (10/15/2021)</v>
      </c>
      <c r="H1244" s="19"/>
    </row>
    <row r="1245">
      <c r="A1245" s="9"/>
      <c r="B1245" s="15"/>
      <c r="C1245" s="9">
        <f>IFERROR(__xludf.DUMMYFUNCTION("""COMPUTED_VALUE"""),44498.7335398032)</f>
        <v>44498.73354</v>
      </c>
      <c r="D1245" s="15">
        <f>IFERROR(__xludf.DUMMYFUNCTION("""COMPUTED_VALUE"""),1.015)</f>
        <v>1.015</v>
      </c>
      <c r="E1245" s="16">
        <f>IFERROR(__xludf.DUMMYFUNCTION("""COMPUTED_VALUE"""),63.0)</f>
        <v>63</v>
      </c>
      <c r="F1245" s="19" t="str">
        <f>IFERROR(__xludf.DUMMYFUNCTION("""COMPUTED_VALUE"""),"BLACK")</f>
        <v>BLACK</v>
      </c>
      <c r="G1245" s="20" t="str">
        <f>IFERROR(__xludf.DUMMYFUNCTION("""COMPUTED_VALUE"""),"Tap 6 Clone (10/15/2021)")</f>
        <v>Tap 6 Clone (10/15/2021)</v>
      </c>
      <c r="H1245" s="19"/>
    </row>
    <row r="1246">
      <c r="A1246" s="9"/>
      <c r="B1246" s="15"/>
      <c r="C1246" s="9">
        <f>IFERROR(__xludf.DUMMYFUNCTION("""COMPUTED_VALUE"""),44498.7231182523)</f>
        <v>44498.72312</v>
      </c>
      <c r="D1246" s="15">
        <f>IFERROR(__xludf.DUMMYFUNCTION("""COMPUTED_VALUE"""),1.015)</f>
        <v>1.015</v>
      </c>
      <c r="E1246" s="16">
        <f>IFERROR(__xludf.DUMMYFUNCTION("""COMPUTED_VALUE"""),63.0)</f>
        <v>63</v>
      </c>
      <c r="F1246" s="19" t="str">
        <f>IFERROR(__xludf.DUMMYFUNCTION("""COMPUTED_VALUE"""),"BLACK")</f>
        <v>BLACK</v>
      </c>
      <c r="G1246" s="20" t="str">
        <f>IFERROR(__xludf.DUMMYFUNCTION("""COMPUTED_VALUE"""),"Tap 6 Clone (10/15/2021)")</f>
        <v>Tap 6 Clone (10/15/2021)</v>
      </c>
      <c r="H1246" s="19"/>
    </row>
    <row r="1247">
      <c r="A1247" s="9"/>
      <c r="B1247" s="15"/>
      <c r="C1247" s="9">
        <f>IFERROR(__xludf.DUMMYFUNCTION("""COMPUTED_VALUE"""),44498.7126971296)</f>
        <v>44498.7127</v>
      </c>
      <c r="D1247" s="15">
        <f>IFERROR(__xludf.DUMMYFUNCTION("""COMPUTED_VALUE"""),1.016)</f>
        <v>1.016</v>
      </c>
      <c r="E1247" s="16">
        <f>IFERROR(__xludf.DUMMYFUNCTION("""COMPUTED_VALUE"""),63.0)</f>
        <v>63</v>
      </c>
      <c r="F1247" s="19" t="str">
        <f>IFERROR(__xludf.DUMMYFUNCTION("""COMPUTED_VALUE"""),"BLACK")</f>
        <v>BLACK</v>
      </c>
      <c r="G1247" s="20" t="str">
        <f>IFERROR(__xludf.DUMMYFUNCTION("""COMPUTED_VALUE"""),"Tap 6 Clone (10/15/2021)")</f>
        <v>Tap 6 Clone (10/15/2021)</v>
      </c>
      <c r="H1247" s="19"/>
    </row>
    <row r="1248">
      <c r="A1248" s="9"/>
      <c r="B1248" s="15"/>
      <c r="C1248" s="9">
        <f>IFERROR(__xludf.DUMMYFUNCTION("""COMPUTED_VALUE"""),44498.7022783564)</f>
        <v>44498.70228</v>
      </c>
      <c r="D1248" s="15">
        <f>IFERROR(__xludf.DUMMYFUNCTION("""COMPUTED_VALUE"""),1.015)</f>
        <v>1.015</v>
      </c>
      <c r="E1248" s="16">
        <f>IFERROR(__xludf.DUMMYFUNCTION("""COMPUTED_VALUE"""),63.0)</f>
        <v>63</v>
      </c>
      <c r="F1248" s="19" t="str">
        <f>IFERROR(__xludf.DUMMYFUNCTION("""COMPUTED_VALUE"""),"BLACK")</f>
        <v>BLACK</v>
      </c>
      <c r="G1248" s="20" t="str">
        <f>IFERROR(__xludf.DUMMYFUNCTION("""COMPUTED_VALUE"""),"Tap 6 Clone (10/15/2021)")</f>
        <v>Tap 6 Clone (10/15/2021)</v>
      </c>
      <c r="H1248" s="19"/>
    </row>
    <row r="1249">
      <c r="A1249" s="9"/>
      <c r="B1249" s="15"/>
      <c r="C1249" s="9">
        <f>IFERROR(__xludf.DUMMYFUNCTION("""COMPUTED_VALUE"""),44498.69185875)</f>
        <v>44498.69186</v>
      </c>
      <c r="D1249" s="15">
        <f>IFERROR(__xludf.DUMMYFUNCTION("""COMPUTED_VALUE"""),1.016)</f>
        <v>1.016</v>
      </c>
      <c r="E1249" s="16">
        <f>IFERROR(__xludf.DUMMYFUNCTION("""COMPUTED_VALUE"""),63.0)</f>
        <v>63</v>
      </c>
      <c r="F1249" s="19" t="str">
        <f>IFERROR(__xludf.DUMMYFUNCTION("""COMPUTED_VALUE"""),"BLACK")</f>
        <v>BLACK</v>
      </c>
      <c r="G1249" s="20" t="str">
        <f>IFERROR(__xludf.DUMMYFUNCTION("""COMPUTED_VALUE"""),"Tap 6 Clone (10/15/2021)")</f>
        <v>Tap 6 Clone (10/15/2021)</v>
      </c>
      <c r="H1249" s="19"/>
    </row>
    <row r="1250">
      <c r="A1250" s="9"/>
      <c r="B1250" s="15"/>
      <c r="C1250" s="9">
        <f>IFERROR(__xludf.DUMMYFUNCTION("""COMPUTED_VALUE"""),44498.6814372453)</f>
        <v>44498.68144</v>
      </c>
      <c r="D1250" s="15">
        <f>IFERROR(__xludf.DUMMYFUNCTION("""COMPUTED_VALUE"""),1.016)</f>
        <v>1.016</v>
      </c>
      <c r="E1250" s="16">
        <f>IFERROR(__xludf.DUMMYFUNCTION("""COMPUTED_VALUE"""),63.0)</f>
        <v>63</v>
      </c>
      <c r="F1250" s="19" t="str">
        <f>IFERROR(__xludf.DUMMYFUNCTION("""COMPUTED_VALUE"""),"BLACK")</f>
        <v>BLACK</v>
      </c>
      <c r="G1250" s="20" t="str">
        <f>IFERROR(__xludf.DUMMYFUNCTION("""COMPUTED_VALUE"""),"Tap 6 Clone (10/15/2021)")</f>
        <v>Tap 6 Clone (10/15/2021)</v>
      </c>
      <c r="H1250" s="19"/>
    </row>
    <row r="1251">
      <c r="A1251" s="9"/>
      <c r="B1251" s="15"/>
      <c r="C1251" s="9">
        <f>IFERROR(__xludf.DUMMYFUNCTION("""COMPUTED_VALUE"""),44498.6710161805)</f>
        <v>44498.67102</v>
      </c>
      <c r="D1251" s="15">
        <f>IFERROR(__xludf.DUMMYFUNCTION("""COMPUTED_VALUE"""),1.016)</f>
        <v>1.016</v>
      </c>
      <c r="E1251" s="16">
        <f>IFERROR(__xludf.DUMMYFUNCTION("""COMPUTED_VALUE"""),63.0)</f>
        <v>63</v>
      </c>
      <c r="F1251" s="19" t="str">
        <f>IFERROR(__xludf.DUMMYFUNCTION("""COMPUTED_VALUE"""),"BLACK")</f>
        <v>BLACK</v>
      </c>
      <c r="G1251" s="20" t="str">
        <f>IFERROR(__xludf.DUMMYFUNCTION("""COMPUTED_VALUE"""),"Tap 6 Clone (10/15/2021)")</f>
        <v>Tap 6 Clone (10/15/2021)</v>
      </c>
      <c r="H1251" s="19"/>
    </row>
    <row r="1252">
      <c r="A1252" s="9"/>
      <c r="B1252" s="15"/>
      <c r="C1252" s="9">
        <f>IFERROR(__xludf.DUMMYFUNCTION("""COMPUTED_VALUE"""),44498.6605953009)</f>
        <v>44498.6606</v>
      </c>
      <c r="D1252" s="15">
        <f>IFERROR(__xludf.DUMMYFUNCTION("""COMPUTED_VALUE"""),1.016)</f>
        <v>1.016</v>
      </c>
      <c r="E1252" s="16">
        <f>IFERROR(__xludf.DUMMYFUNCTION("""COMPUTED_VALUE"""),63.0)</f>
        <v>63</v>
      </c>
      <c r="F1252" s="19" t="str">
        <f>IFERROR(__xludf.DUMMYFUNCTION("""COMPUTED_VALUE"""),"BLACK")</f>
        <v>BLACK</v>
      </c>
      <c r="G1252" s="20" t="str">
        <f>IFERROR(__xludf.DUMMYFUNCTION("""COMPUTED_VALUE"""),"Tap 6 Clone (10/15/2021)")</f>
        <v>Tap 6 Clone (10/15/2021)</v>
      </c>
      <c r="H1252" s="19"/>
    </row>
    <row r="1253">
      <c r="A1253" s="9"/>
      <c r="B1253" s="15"/>
      <c r="C1253" s="9">
        <f>IFERROR(__xludf.DUMMYFUNCTION("""COMPUTED_VALUE"""),44498.6501733101)</f>
        <v>44498.65017</v>
      </c>
      <c r="D1253" s="15">
        <f>IFERROR(__xludf.DUMMYFUNCTION("""COMPUTED_VALUE"""),1.016)</f>
        <v>1.016</v>
      </c>
      <c r="E1253" s="16">
        <f>IFERROR(__xludf.DUMMYFUNCTION("""COMPUTED_VALUE"""),63.0)</f>
        <v>63</v>
      </c>
      <c r="F1253" s="19" t="str">
        <f>IFERROR(__xludf.DUMMYFUNCTION("""COMPUTED_VALUE"""),"BLACK")</f>
        <v>BLACK</v>
      </c>
      <c r="G1253" s="20" t="str">
        <f>IFERROR(__xludf.DUMMYFUNCTION("""COMPUTED_VALUE"""),"Tap 6 Clone (10/15/2021)")</f>
        <v>Tap 6 Clone (10/15/2021)</v>
      </c>
      <c r="H1253" s="19"/>
    </row>
    <row r="1254">
      <c r="A1254" s="9"/>
      <c r="B1254" s="15"/>
      <c r="C1254" s="9">
        <f>IFERROR(__xludf.DUMMYFUNCTION("""COMPUTED_VALUE"""),44498.6397519213)</f>
        <v>44498.63975</v>
      </c>
      <c r="D1254" s="15">
        <f>IFERROR(__xludf.DUMMYFUNCTION("""COMPUTED_VALUE"""),1.015)</f>
        <v>1.015</v>
      </c>
      <c r="E1254" s="16">
        <f>IFERROR(__xludf.DUMMYFUNCTION("""COMPUTED_VALUE"""),63.0)</f>
        <v>63</v>
      </c>
      <c r="F1254" s="19" t="str">
        <f>IFERROR(__xludf.DUMMYFUNCTION("""COMPUTED_VALUE"""),"BLACK")</f>
        <v>BLACK</v>
      </c>
      <c r="G1254" s="20" t="str">
        <f>IFERROR(__xludf.DUMMYFUNCTION("""COMPUTED_VALUE"""),"Tap 6 Clone (10/15/2021)")</f>
        <v>Tap 6 Clone (10/15/2021)</v>
      </c>
      <c r="H1254" s="19"/>
    </row>
    <row r="1255">
      <c r="A1255" s="9"/>
      <c r="B1255" s="15"/>
      <c r="C1255" s="9">
        <f>IFERROR(__xludf.DUMMYFUNCTION("""COMPUTED_VALUE"""),44498.6293301157)</f>
        <v>44498.62933</v>
      </c>
      <c r="D1255" s="15">
        <f>IFERROR(__xludf.DUMMYFUNCTION("""COMPUTED_VALUE"""),1.015)</f>
        <v>1.015</v>
      </c>
      <c r="E1255" s="16">
        <f>IFERROR(__xludf.DUMMYFUNCTION("""COMPUTED_VALUE"""),63.0)</f>
        <v>63</v>
      </c>
      <c r="F1255" s="19" t="str">
        <f>IFERROR(__xludf.DUMMYFUNCTION("""COMPUTED_VALUE"""),"BLACK")</f>
        <v>BLACK</v>
      </c>
      <c r="G1255" s="20" t="str">
        <f>IFERROR(__xludf.DUMMYFUNCTION("""COMPUTED_VALUE"""),"Tap 6 Clone (10/15/2021)")</f>
        <v>Tap 6 Clone (10/15/2021)</v>
      </c>
      <c r="H1255" s="19"/>
    </row>
    <row r="1256">
      <c r="A1256" s="9"/>
      <c r="B1256" s="15"/>
      <c r="C1256" s="9">
        <f>IFERROR(__xludf.DUMMYFUNCTION("""COMPUTED_VALUE"""),44498.6189100694)</f>
        <v>44498.61891</v>
      </c>
      <c r="D1256" s="15">
        <f>IFERROR(__xludf.DUMMYFUNCTION("""COMPUTED_VALUE"""),1.016)</f>
        <v>1.016</v>
      </c>
      <c r="E1256" s="16">
        <f>IFERROR(__xludf.DUMMYFUNCTION("""COMPUTED_VALUE"""),63.0)</f>
        <v>63</v>
      </c>
      <c r="F1256" s="19" t="str">
        <f>IFERROR(__xludf.DUMMYFUNCTION("""COMPUTED_VALUE"""),"BLACK")</f>
        <v>BLACK</v>
      </c>
      <c r="G1256" s="20" t="str">
        <f>IFERROR(__xludf.DUMMYFUNCTION("""COMPUTED_VALUE"""),"Tap 6 Clone (10/15/2021)")</f>
        <v>Tap 6 Clone (10/15/2021)</v>
      </c>
      <c r="H1256" s="19"/>
    </row>
    <row r="1257">
      <c r="A1257" s="9"/>
      <c r="B1257" s="15"/>
      <c r="C1257" s="9">
        <f>IFERROR(__xludf.DUMMYFUNCTION("""COMPUTED_VALUE"""),44498.6084898032)</f>
        <v>44498.60849</v>
      </c>
      <c r="D1257" s="15">
        <f>IFERROR(__xludf.DUMMYFUNCTION("""COMPUTED_VALUE"""),1.015)</f>
        <v>1.015</v>
      </c>
      <c r="E1257" s="16">
        <f>IFERROR(__xludf.DUMMYFUNCTION("""COMPUTED_VALUE"""),63.0)</f>
        <v>63</v>
      </c>
      <c r="F1257" s="19" t="str">
        <f>IFERROR(__xludf.DUMMYFUNCTION("""COMPUTED_VALUE"""),"BLACK")</f>
        <v>BLACK</v>
      </c>
      <c r="G1257" s="20" t="str">
        <f>IFERROR(__xludf.DUMMYFUNCTION("""COMPUTED_VALUE"""),"Tap 6 Clone (10/15/2021)")</f>
        <v>Tap 6 Clone (10/15/2021)</v>
      </c>
      <c r="H1257" s="19"/>
    </row>
    <row r="1258">
      <c r="A1258" s="9"/>
      <c r="B1258" s="15"/>
      <c r="C1258" s="9">
        <f>IFERROR(__xludf.DUMMYFUNCTION("""COMPUTED_VALUE"""),44498.5980677199)</f>
        <v>44498.59807</v>
      </c>
      <c r="D1258" s="15">
        <f>IFERROR(__xludf.DUMMYFUNCTION("""COMPUTED_VALUE"""),1.015)</f>
        <v>1.015</v>
      </c>
      <c r="E1258" s="16">
        <f>IFERROR(__xludf.DUMMYFUNCTION("""COMPUTED_VALUE"""),63.0)</f>
        <v>63</v>
      </c>
      <c r="F1258" s="19" t="str">
        <f>IFERROR(__xludf.DUMMYFUNCTION("""COMPUTED_VALUE"""),"BLACK")</f>
        <v>BLACK</v>
      </c>
      <c r="G1258" s="20" t="str">
        <f>IFERROR(__xludf.DUMMYFUNCTION("""COMPUTED_VALUE"""),"Tap 6 Clone (10/15/2021)")</f>
        <v>Tap 6 Clone (10/15/2021)</v>
      </c>
      <c r="H1258" s="19"/>
    </row>
    <row r="1259">
      <c r="A1259" s="9"/>
      <c r="B1259" s="15"/>
      <c r="C1259" s="9">
        <f>IFERROR(__xludf.DUMMYFUNCTION("""COMPUTED_VALUE"""),44498.5876454861)</f>
        <v>44498.58765</v>
      </c>
      <c r="D1259" s="15">
        <f>IFERROR(__xludf.DUMMYFUNCTION("""COMPUTED_VALUE"""),1.014)</f>
        <v>1.014</v>
      </c>
      <c r="E1259" s="16">
        <f>IFERROR(__xludf.DUMMYFUNCTION("""COMPUTED_VALUE"""),63.0)</f>
        <v>63</v>
      </c>
      <c r="F1259" s="19" t="str">
        <f>IFERROR(__xludf.DUMMYFUNCTION("""COMPUTED_VALUE"""),"BLACK")</f>
        <v>BLACK</v>
      </c>
      <c r="G1259" s="20" t="str">
        <f>IFERROR(__xludf.DUMMYFUNCTION("""COMPUTED_VALUE"""),"Tap 6 Clone (10/15/2021)")</f>
        <v>Tap 6 Clone (10/15/2021)</v>
      </c>
      <c r="H1259" s="19"/>
    </row>
    <row r="1260">
      <c r="A1260" s="9"/>
      <c r="B1260" s="15"/>
      <c r="C1260" s="9">
        <f>IFERROR(__xludf.DUMMYFUNCTION("""COMPUTED_VALUE"""),44498.5772239583)</f>
        <v>44498.57722</v>
      </c>
      <c r="D1260" s="15">
        <f>IFERROR(__xludf.DUMMYFUNCTION("""COMPUTED_VALUE"""),1.014)</f>
        <v>1.014</v>
      </c>
      <c r="E1260" s="16">
        <f>IFERROR(__xludf.DUMMYFUNCTION("""COMPUTED_VALUE"""),63.0)</f>
        <v>63</v>
      </c>
      <c r="F1260" s="19" t="str">
        <f>IFERROR(__xludf.DUMMYFUNCTION("""COMPUTED_VALUE"""),"BLACK")</f>
        <v>BLACK</v>
      </c>
      <c r="G1260" s="20" t="str">
        <f>IFERROR(__xludf.DUMMYFUNCTION("""COMPUTED_VALUE"""),"Tap 6 Clone (10/15/2021)")</f>
        <v>Tap 6 Clone (10/15/2021)</v>
      </c>
      <c r="H1260" s="19"/>
    </row>
    <row r="1261">
      <c r="A1261" s="9"/>
      <c r="B1261" s="15"/>
      <c r="C1261" s="9">
        <f>IFERROR(__xludf.DUMMYFUNCTION("""COMPUTED_VALUE"""),44498.5668026157)</f>
        <v>44498.5668</v>
      </c>
      <c r="D1261" s="15">
        <f>IFERROR(__xludf.DUMMYFUNCTION("""COMPUTED_VALUE"""),1.014)</f>
        <v>1.014</v>
      </c>
      <c r="E1261" s="16">
        <f>IFERROR(__xludf.DUMMYFUNCTION("""COMPUTED_VALUE"""),63.0)</f>
        <v>63</v>
      </c>
      <c r="F1261" s="19" t="str">
        <f>IFERROR(__xludf.DUMMYFUNCTION("""COMPUTED_VALUE"""),"BLACK")</f>
        <v>BLACK</v>
      </c>
      <c r="G1261" s="20" t="str">
        <f>IFERROR(__xludf.DUMMYFUNCTION("""COMPUTED_VALUE"""),"Tap 6 Clone (10/15/2021)")</f>
        <v>Tap 6 Clone (10/15/2021)</v>
      </c>
      <c r="H1261" s="19"/>
    </row>
    <row r="1262">
      <c r="A1262" s="9"/>
      <c r="B1262" s="15"/>
      <c r="C1262" s="9">
        <f>IFERROR(__xludf.DUMMYFUNCTION("""COMPUTED_VALUE"""),44498.5563842129)</f>
        <v>44498.55638</v>
      </c>
      <c r="D1262" s="15">
        <f>IFERROR(__xludf.DUMMYFUNCTION("""COMPUTED_VALUE"""),1.015)</f>
        <v>1.015</v>
      </c>
      <c r="E1262" s="16">
        <f>IFERROR(__xludf.DUMMYFUNCTION("""COMPUTED_VALUE"""),63.0)</f>
        <v>63</v>
      </c>
      <c r="F1262" s="19" t="str">
        <f>IFERROR(__xludf.DUMMYFUNCTION("""COMPUTED_VALUE"""),"BLACK")</f>
        <v>BLACK</v>
      </c>
      <c r="G1262" s="20" t="str">
        <f>IFERROR(__xludf.DUMMYFUNCTION("""COMPUTED_VALUE"""),"Tap 6 Clone (10/15/2021)")</f>
        <v>Tap 6 Clone (10/15/2021)</v>
      </c>
      <c r="H1262" s="19"/>
    </row>
    <row r="1263">
      <c r="A1263" s="9"/>
      <c r="B1263" s="15"/>
      <c r="C1263" s="9">
        <f>IFERROR(__xludf.DUMMYFUNCTION("""COMPUTED_VALUE"""),44498.5459632407)</f>
        <v>44498.54596</v>
      </c>
      <c r="D1263" s="15">
        <f>IFERROR(__xludf.DUMMYFUNCTION("""COMPUTED_VALUE"""),1.015)</f>
        <v>1.015</v>
      </c>
      <c r="E1263" s="16">
        <f>IFERROR(__xludf.DUMMYFUNCTION("""COMPUTED_VALUE"""),63.0)</f>
        <v>63</v>
      </c>
      <c r="F1263" s="19" t="str">
        <f>IFERROR(__xludf.DUMMYFUNCTION("""COMPUTED_VALUE"""),"BLACK")</f>
        <v>BLACK</v>
      </c>
      <c r="G1263" s="20" t="str">
        <f>IFERROR(__xludf.DUMMYFUNCTION("""COMPUTED_VALUE"""),"Tap 6 Clone (10/15/2021)")</f>
        <v>Tap 6 Clone (10/15/2021)</v>
      </c>
      <c r="H1263" s="19"/>
    </row>
    <row r="1264">
      <c r="A1264" s="9"/>
      <c r="B1264" s="15"/>
      <c r="C1264" s="9">
        <f>IFERROR(__xludf.DUMMYFUNCTION("""COMPUTED_VALUE"""),44498.53554125)</f>
        <v>44498.53554</v>
      </c>
      <c r="D1264" s="15">
        <f>IFERROR(__xludf.DUMMYFUNCTION("""COMPUTED_VALUE"""),1.015)</f>
        <v>1.015</v>
      </c>
      <c r="E1264" s="16">
        <f>IFERROR(__xludf.DUMMYFUNCTION("""COMPUTED_VALUE"""),63.0)</f>
        <v>63</v>
      </c>
      <c r="F1264" s="19" t="str">
        <f>IFERROR(__xludf.DUMMYFUNCTION("""COMPUTED_VALUE"""),"BLACK")</f>
        <v>BLACK</v>
      </c>
      <c r="G1264" s="20" t="str">
        <f>IFERROR(__xludf.DUMMYFUNCTION("""COMPUTED_VALUE"""),"Tap 6 Clone (10/15/2021)")</f>
        <v>Tap 6 Clone (10/15/2021)</v>
      </c>
      <c r="H1264" s="19"/>
    </row>
    <row r="1265">
      <c r="A1265" s="9"/>
      <c r="B1265" s="15"/>
      <c r="C1265" s="9">
        <f>IFERROR(__xludf.DUMMYFUNCTION("""COMPUTED_VALUE"""),44498.5251188888)</f>
        <v>44498.52512</v>
      </c>
      <c r="D1265" s="15">
        <f>IFERROR(__xludf.DUMMYFUNCTION("""COMPUTED_VALUE"""),1.014)</f>
        <v>1.014</v>
      </c>
      <c r="E1265" s="16">
        <f>IFERROR(__xludf.DUMMYFUNCTION("""COMPUTED_VALUE"""),63.0)</f>
        <v>63</v>
      </c>
      <c r="F1265" s="19" t="str">
        <f>IFERROR(__xludf.DUMMYFUNCTION("""COMPUTED_VALUE"""),"BLACK")</f>
        <v>BLACK</v>
      </c>
      <c r="G1265" s="20" t="str">
        <f>IFERROR(__xludf.DUMMYFUNCTION("""COMPUTED_VALUE"""),"Tap 6 Clone (10/15/2021)")</f>
        <v>Tap 6 Clone (10/15/2021)</v>
      </c>
      <c r="H1265" s="19"/>
    </row>
    <row r="1266">
      <c r="A1266" s="9"/>
      <c r="B1266" s="15"/>
      <c r="C1266" s="9">
        <f>IFERROR(__xludf.DUMMYFUNCTION("""COMPUTED_VALUE"""),44498.5146858217)</f>
        <v>44498.51469</v>
      </c>
      <c r="D1266" s="15">
        <f>IFERROR(__xludf.DUMMYFUNCTION("""COMPUTED_VALUE"""),1.015)</f>
        <v>1.015</v>
      </c>
      <c r="E1266" s="16">
        <f>IFERROR(__xludf.DUMMYFUNCTION("""COMPUTED_VALUE"""),63.0)</f>
        <v>63</v>
      </c>
      <c r="F1266" s="19" t="str">
        <f>IFERROR(__xludf.DUMMYFUNCTION("""COMPUTED_VALUE"""),"BLACK")</f>
        <v>BLACK</v>
      </c>
      <c r="G1266" s="20" t="str">
        <f>IFERROR(__xludf.DUMMYFUNCTION("""COMPUTED_VALUE"""),"Tap 6 Clone (10/15/2021)")</f>
        <v>Tap 6 Clone (10/15/2021)</v>
      </c>
      <c r="H1266" s="19"/>
    </row>
    <row r="1267">
      <c r="A1267" s="9"/>
      <c r="B1267" s="15"/>
      <c r="C1267" s="9">
        <f>IFERROR(__xludf.DUMMYFUNCTION("""COMPUTED_VALUE"""),44498.5042631018)</f>
        <v>44498.50426</v>
      </c>
      <c r="D1267" s="15">
        <f>IFERROR(__xludf.DUMMYFUNCTION("""COMPUTED_VALUE"""),1.015)</f>
        <v>1.015</v>
      </c>
      <c r="E1267" s="16">
        <f>IFERROR(__xludf.DUMMYFUNCTION("""COMPUTED_VALUE"""),63.0)</f>
        <v>63</v>
      </c>
      <c r="F1267" s="19" t="str">
        <f>IFERROR(__xludf.DUMMYFUNCTION("""COMPUTED_VALUE"""),"BLACK")</f>
        <v>BLACK</v>
      </c>
      <c r="G1267" s="20" t="str">
        <f>IFERROR(__xludf.DUMMYFUNCTION("""COMPUTED_VALUE"""),"Tap 6 Clone (10/15/2021)")</f>
        <v>Tap 6 Clone (10/15/2021)</v>
      </c>
      <c r="H1267" s="19"/>
    </row>
    <row r="1268">
      <c r="A1268" s="9"/>
      <c r="B1268" s="15"/>
      <c r="C1268" s="9">
        <f>IFERROR(__xludf.DUMMYFUNCTION("""COMPUTED_VALUE"""),44498.4938292361)</f>
        <v>44498.49383</v>
      </c>
      <c r="D1268" s="15">
        <f>IFERROR(__xludf.DUMMYFUNCTION("""COMPUTED_VALUE"""),1.015)</f>
        <v>1.015</v>
      </c>
      <c r="E1268" s="16">
        <f>IFERROR(__xludf.DUMMYFUNCTION("""COMPUTED_VALUE"""),63.0)</f>
        <v>63</v>
      </c>
      <c r="F1268" s="19" t="str">
        <f>IFERROR(__xludf.DUMMYFUNCTION("""COMPUTED_VALUE"""),"BLACK")</f>
        <v>BLACK</v>
      </c>
      <c r="G1268" s="20" t="str">
        <f>IFERROR(__xludf.DUMMYFUNCTION("""COMPUTED_VALUE"""),"Tap 6 Clone (10/15/2021)")</f>
        <v>Tap 6 Clone (10/15/2021)</v>
      </c>
      <c r="H1268" s="19"/>
    </row>
    <row r="1269">
      <c r="A1269" s="9"/>
      <c r="B1269" s="15"/>
      <c r="C1269" s="9">
        <f>IFERROR(__xludf.DUMMYFUNCTION("""COMPUTED_VALUE"""),44498.483406875)</f>
        <v>44498.48341</v>
      </c>
      <c r="D1269" s="15">
        <f>IFERROR(__xludf.DUMMYFUNCTION("""COMPUTED_VALUE"""),1.015)</f>
        <v>1.015</v>
      </c>
      <c r="E1269" s="16">
        <f>IFERROR(__xludf.DUMMYFUNCTION("""COMPUTED_VALUE"""),63.0)</f>
        <v>63</v>
      </c>
      <c r="F1269" s="19" t="str">
        <f>IFERROR(__xludf.DUMMYFUNCTION("""COMPUTED_VALUE"""),"BLACK")</f>
        <v>BLACK</v>
      </c>
      <c r="G1269" s="20" t="str">
        <f>IFERROR(__xludf.DUMMYFUNCTION("""COMPUTED_VALUE"""),"Tap 6 Clone (10/15/2021)")</f>
        <v>Tap 6 Clone (10/15/2021)</v>
      </c>
      <c r="H1269" s="19"/>
    </row>
    <row r="1270">
      <c r="A1270" s="9"/>
      <c r="B1270" s="15"/>
      <c r="C1270" s="9">
        <f>IFERROR(__xludf.DUMMYFUNCTION("""COMPUTED_VALUE"""),44498.4729859143)</f>
        <v>44498.47299</v>
      </c>
      <c r="D1270" s="15">
        <f>IFERROR(__xludf.DUMMYFUNCTION("""COMPUTED_VALUE"""),1.016)</f>
        <v>1.016</v>
      </c>
      <c r="E1270" s="16">
        <f>IFERROR(__xludf.DUMMYFUNCTION("""COMPUTED_VALUE"""),63.0)</f>
        <v>63</v>
      </c>
      <c r="F1270" s="19" t="str">
        <f>IFERROR(__xludf.DUMMYFUNCTION("""COMPUTED_VALUE"""),"BLACK")</f>
        <v>BLACK</v>
      </c>
      <c r="G1270" s="20" t="str">
        <f>IFERROR(__xludf.DUMMYFUNCTION("""COMPUTED_VALUE"""),"Tap 6 Clone (10/15/2021)")</f>
        <v>Tap 6 Clone (10/15/2021)</v>
      </c>
      <c r="H1270" s="19"/>
    </row>
    <row r="1271">
      <c r="A1271" s="9"/>
      <c r="B1271" s="15"/>
      <c r="C1271" s="9">
        <f>IFERROR(__xludf.DUMMYFUNCTION("""COMPUTED_VALUE"""),44498.4625648264)</f>
        <v>44498.46256</v>
      </c>
      <c r="D1271" s="15">
        <f>IFERROR(__xludf.DUMMYFUNCTION("""COMPUTED_VALUE"""),1.016)</f>
        <v>1.016</v>
      </c>
      <c r="E1271" s="16">
        <f>IFERROR(__xludf.DUMMYFUNCTION("""COMPUTED_VALUE"""),63.0)</f>
        <v>63</v>
      </c>
      <c r="F1271" s="19" t="str">
        <f>IFERROR(__xludf.DUMMYFUNCTION("""COMPUTED_VALUE"""),"BLACK")</f>
        <v>BLACK</v>
      </c>
      <c r="G1271" s="20" t="str">
        <f>IFERROR(__xludf.DUMMYFUNCTION("""COMPUTED_VALUE"""),"Tap 6 Clone (10/15/2021)")</f>
        <v>Tap 6 Clone (10/15/2021)</v>
      </c>
      <c r="H1271" s="19"/>
    </row>
    <row r="1272">
      <c r="A1272" s="9"/>
      <c r="B1272" s="15"/>
      <c r="C1272" s="9">
        <f>IFERROR(__xludf.DUMMYFUNCTION("""COMPUTED_VALUE"""),44498.4521067708)</f>
        <v>44498.45211</v>
      </c>
      <c r="D1272" s="15">
        <f>IFERROR(__xludf.DUMMYFUNCTION("""COMPUTED_VALUE"""),1.015)</f>
        <v>1.015</v>
      </c>
      <c r="E1272" s="16">
        <f>IFERROR(__xludf.DUMMYFUNCTION("""COMPUTED_VALUE"""),63.0)</f>
        <v>63</v>
      </c>
      <c r="F1272" s="19" t="str">
        <f>IFERROR(__xludf.DUMMYFUNCTION("""COMPUTED_VALUE"""),"BLACK")</f>
        <v>BLACK</v>
      </c>
      <c r="G1272" s="20" t="str">
        <f>IFERROR(__xludf.DUMMYFUNCTION("""COMPUTED_VALUE"""),"Tap 6 Clone (10/15/2021)")</f>
        <v>Tap 6 Clone (10/15/2021)</v>
      </c>
      <c r="H1272" s="19"/>
    </row>
    <row r="1273">
      <c r="A1273" s="9"/>
      <c r="B1273" s="15"/>
      <c r="C1273" s="9">
        <f>IFERROR(__xludf.DUMMYFUNCTION("""COMPUTED_VALUE"""),44498.4416868171)</f>
        <v>44498.44169</v>
      </c>
      <c r="D1273" s="15">
        <f>IFERROR(__xludf.DUMMYFUNCTION("""COMPUTED_VALUE"""),1.015)</f>
        <v>1.015</v>
      </c>
      <c r="E1273" s="16">
        <f>IFERROR(__xludf.DUMMYFUNCTION("""COMPUTED_VALUE"""),63.0)</f>
        <v>63</v>
      </c>
      <c r="F1273" s="19" t="str">
        <f>IFERROR(__xludf.DUMMYFUNCTION("""COMPUTED_VALUE"""),"BLACK")</f>
        <v>BLACK</v>
      </c>
      <c r="G1273" s="20" t="str">
        <f>IFERROR(__xludf.DUMMYFUNCTION("""COMPUTED_VALUE"""),"Tap 6 Clone (10/15/2021)")</f>
        <v>Tap 6 Clone (10/15/2021)</v>
      </c>
      <c r="H1273" s="19"/>
    </row>
    <row r="1274">
      <c r="A1274" s="9"/>
      <c r="B1274" s="15"/>
      <c r="C1274" s="9">
        <f>IFERROR(__xludf.DUMMYFUNCTION("""COMPUTED_VALUE"""),44498.4312657176)</f>
        <v>44498.43127</v>
      </c>
      <c r="D1274" s="15">
        <f>IFERROR(__xludf.DUMMYFUNCTION("""COMPUTED_VALUE"""),1.014)</f>
        <v>1.014</v>
      </c>
      <c r="E1274" s="16">
        <f>IFERROR(__xludf.DUMMYFUNCTION("""COMPUTED_VALUE"""),63.0)</f>
        <v>63</v>
      </c>
      <c r="F1274" s="19" t="str">
        <f>IFERROR(__xludf.DUMMYFUNCTION("""COMPUTED_VALUE"""),"BLACK")</f>
        <v>BLACK</v>
      </c>
      <c r="G1274" s="20" t="str">
        <f>IFERROR(__xludf.DUMMYFUNCTION("""COMPUTED_VALUE"""),"Tap 6 Clone (10/15/2021)")</f>
        <v>Tap 6 Clone (10/15/2021)</v>
      </c>
      <c r="H1274" s="19"/>
    </row>
    <row r="1275">
      <c r="A1275" s="9"/>
      <c r="B1275" s="15"/>
      <c r="C1275" s="9">
        <f>IFERROR(__xludf.DUMMYFUNCTION("""COMPUTED_VALUE"""),44498.4208344791)</f>
        <v>44498.42083</v>
      </c>
      <c r="D1275" s="15">
        <f>IFERROR(__xludf.DUMMYFUNCTION("""COMPUTED_VALUE"""),1.013)</f>
        <v>1.013</v>
      </c>
      <c r="E1275" s="16">
        <f>IFERROR(__xludf.DUMMYFUNCTION("""COMPUTED_VALUE"""),63.0)</f>
        <v>63</v>
      </c>
      <c r="F1275" s="19" t="str">
        <f>IFERROR(__xludf.DUMMYFUNCTION("""COMPUTED_VALUE"""),"BLACK")</f>
        <v>BLACK</v>
      </c>
      <c r="G1275" s="20" t="str">
        <f>IFERROR(__xludf.DUMMYFUNCTION("""COMPUTED_VALUE"""),"Tap 6 Clone (10/15/2021)")</f>
        <v>Tap 6 Clone (10/15/2021)</v>
      </c>
      <c r="H1275" s="19"/>
    </row>
    <row r="1276">
      <c r="A1276" s="9"/>
      <c r="B1276" s="15"/>
      <c r="C1276" s="9">
        <f>IFERROR(__xludf.DUMMYFUNCTION("""COMPUTED_VALUE"""),44498.4104133796)</f>
        <v>44498.41041</v>
      </c>
      <c r="D1276" s="15">
        <f>IFERROR(__xludf.DUMMYFUNCTION("""COMPUTED_VALUE"""),1.013)</f>
        <v>1.013</v>
      </c>
      <c r="E1276" s="16">
        <f>IFERROR(__xludf.DUMMYFUNCTION("""COMPUTED_VALUE"""),63.0)</f>
        <v>63</v>
      </c>
      <c r="F1276" s="19" t="str">
        <f>IFERROR(__xludf.DUMMYFUNCTION("""COMPUTED_VALUE"""),"BLACK")</f>
        <v>BLACK</v>
      </c>
      <c r="G1276" s="20" t="str">
        <f>IFERROR(__xludf.DUMMYFUNCTION("""COMPUTED_VALUE"""),"Tap 6 Clone (10/15/2021)")</f>
        <v>Tap 6 Clone (10/15/2021)</v>
      </c>
      <c r="H1276" s="19"/>
    </row>
    <row r="1277">
      <c r="A1277" s="9"/>
      <c r="B1277" s="15"/>
      <c r="C1277" s="9">
        <f>IFERROR(__xludf.DUMMYFUNCTION("""COMPUTED_VALUE"""),44498.3999916898)</f>
        <v>44498.39999</v>
      </c>
      <c r="D1277" s="15">
        <f>IFERROR(__xludf.DUMMYFUNCTION("""COMPUTED_VALUE"""),1.013)</f>
        <v>1.013</v>
      </c>
      <c r="E1277" s="16">
        <f>IFERROR(__xludf.DUMMYFUNCTION("""COMPUTED_VALUE"""),63.0)</f>
        <v>63</v>
      </c>
      <c r="F1277" s="19" t="str">
        <f>IFERROR(__xludf.DUMMYFUNCTION("""COMPUTED_VALUE"""),"BLACK")</f>
        <v>BLACK</v>
      </c>
      <c r="G1277" s="20" t="str">
        <f>IFERROR(__xludf.DUMMYFUNCTION("""COMPUTED_VALUE"""),"Tap 6 Clone (10/15/2021)")</f>
        <v>Tap 6 Clone (10/15/2021)</v>
      </c>
      <c r="H1277" s="19"/>
    </row>
    <row r="1278">
      <c r="A1278" s="9"/>
      <c r="B1278" s="15"/>
      <c r="C1278" s="9">
        <f>IFERROR(__xludf.DUMMYFUNCTION("""COMPUTED_VALUE"""),44498.3895601967)</f>
        <v>44498.38956</v>
      </c>
      <c r="D1278" s="15">
        <f>IFERROR(__xludf.DUMMYFUNCTION("""COMPUTED_VALUE"""),1.013)</f>
        <v>1.013</v>
      </c>
      <c r="E1278" s="16">
        <f>IFERROR(__xludf.DUMMYFUNCTION("""COMPUTED_VALUE"""),63.0)</f>
        <v>63</v>
      </c>
      <c r="F1278" s="19" t="str">
        <f>IFERROR(__xludf.DUMMYFUNCTION("""COMPUTED_VALUE"""),"BLACK")</f>
        <v>BLACK</v>
      </c>
      <c r="G1278" s="20" t="str">
        <f>IFERROR(__xludf.DUMMYFUNCTION("""COMPUTED_VALUE"""),"Tap 6 Clone (10/15/2021)")</f>
        <v>Tap 6 Clone (10/15/2021)</v>
      </c>
      <c r="H1278" s="19"/>
    </row>
    <row r="1279">
      <c r="A1279" s="9"/>
      <c r="B1279" s="15"/>
      <c r="C1279" s="9">
        <f>IFERROR(__xludf.DUMMYFUNCTION("""COMPUTED_VALUE"""),44498.3791271064)</f>
        <v>44498.37913</v>
      </c>
      <c r="D1279" s="15">
        <f>IFERROR(__xludf.DUMMYFUNCTION("""COMPUTED_VALUE"""),1.013)</f>
        <v>1.013</v>
      </c>
      <c r="E1279" s="16">
        <f>IFERROR(__xludf.DUMMYFUNCTION("""COMPUTED_VALUE"""),63.0)</f>
        <v>63</v>
      </c>
      <c r="F1279" s="19" t="str">
        <f>IFERROR(__xludf.DUMMYFUNCTION("""COMPUTED_VALUE"""),"BLACK")</f>
        <v>BLACK</v>
      </c>
      <c r="G1279" s="20" t="str">
        <f>IFERROR(__xludf.DUMMYFUNCTION("""COMPUTED_VALUE"""),"Tap 6 Clone (10/15/2021)")</f>
        <v>Tap 6 Clone (10/15/2021)</v>
      </c>
      <c r="H1279" s="19"/>
    </row>
    <row r="1280">
      <c r="A1280" s="9"/>
      <c r="B1280" s="15"/>
      <c r="C1280" s="9">
        <f>IFERROR(__xludf.DUMMYFUNCTION("""COMPUTED_VALUE"""),44498.3687053009)</f>
        <v>44498.36871</v>
      </c>
      <c r="D1280" s="15">
        <f>IFERROR(__xludf.DUMMYFUNCTION("""COMPUTED_VALUE"""),1.015)</f>
        <v>1.015</v>
      </c>
      <c r="E1280" s="16">
        <f>IFERROR(__xludf.DUMMYFUNCTION("""COMPUTED_VALUE"""),63.0)</f>
        <v>63</v>
      </c>
      <c r="F1280" s="19" t="str">
        <f>IFERROR(__xludf.DUMMYFUNCTION("""COMPUTED_VALUE"""),"BLACK")</f>
        <v>BLACK</v>
      </c>
      <c r="G1280" s="20" t="str">
        <f>IFERROR(__xludf.DUMMYFUNCTION("""COMPUTED_VALUE"""),"Tap 6 Clone (10/15/2021)")</f>
        <v>Tap 6 Clone (10/15/2021)</v>
      </c>
      <c r="H1280" s="19"/>
    </row>
    <row r="1281">
      <c r="A1281" s="9"/>
      <c r="B1281" s="15"/>
      <c r="C1281" s="9">
        <f>IFERROR(__xludf.DUMMYFUNCTION("""COMPUTED_VALUE"""),44498.3582831134)</f>
        <v>44498.35828</v>
      </c>
      <c r="D1281" s="15">
        <f>IFERROR(__xludf.DUMMYFUNCTION("""COMPUTED_VALUE"""),1.016)</f>
        <v>1.016</v>
      </c>
      <c r="E1281" s="16">
        <f>IFERROR(__xludf.DUMMYFUNCTION("""COMPUTED_VALUE"""),62.0)</f>
        <v>62</v>
      </c>
      <c r="F1281" s="19" t="str">
        <f>IFERROR(__xludf.DUMMYFUNCTION("""COMPUTED_VALUE"""),"BLACK")</f>
        <v>BLACK</v>
      </c>
      <c r="G1281" s="20" t="str">
        <f>IFERROR(__xludf.DUMMYFUNCTION("""COMPUTED_VALUE"""),"Tap 6 Clone (10/15/2021)")</f>
        <v>Tap 6 Clone (10/15/2021)</v>
      </c>
      <c r="H1281" s="19"/>
    </row>
    <row r="1282">
      <c r="A1282" s="9"/>
      <c r="B1282" s="15"/>
      <c r="C1282" s="9">
        <f>IFERROR(__xludf.DUMMYFUNCTION("""COMPUTED_VALUE"""),44498.3478639583)</f>
        <v>44498.34786</v>
      </c>
      <c r="D1282" s="15">
        <f>IFERROR(__xludf.DUMMYFUNCTION("""COMPUTED_VALUE"""),1.015)</f>
        <v>1.015</v>
      </c>
      <c r="E1282" s="16">
        <f>IFERROR(__xludf.DUMMYFUNCTION("""COMPUTED_VALUE"""),62.0)</f>
        <v>62</v>
      </c>
      <c r="F1282" s="19" t="str">
        <f>IFERROR(__xludf.DUMMYFUNCTION("""COMPUTED_VALUE"""),"BLACK")</f>
        <v>BLACK</v>
      </c>
      <c r="G1282" s="20" t="str">
        <f>IFERROR(__xludf.DUMMYFUNCTION("""COMPUTED_VALUE"""),"Tap 6 Clone (10/15/2021)")</f>
        <v>Tap 6 Clone (10/15/2021)</v>
      </c>
      <c r="H1282" s="19"/>
    </row>
    <row r="1283">
      <c r="A1283" s="9"/>
      <c r="B1283" s="15"/>
      <c r="C1283" s="9">
        <f>IFERROR(__xludf.DUMMYFUNCTION("""COMPUTED_VALUE"""),44498.337444699)</f>
        <v>44498.33744</v>
      </c>
      <c r="D1283" s="15">
        <f>IFERROR(__xludf.DUMMYFUNCTION("""COMPUTED_VALUE"""),1.016)</f>
        <v>1.016</v>
      </c>
      <c r="E1283" s="16">
        <f>IFERROR(__xludf.DUMMYFUNCTION("""COMPUTED_VALUE"""),62.0)</f>
        <v>62</v>
      </c>
      <c r="F1283" s="19" t="str">
        <f>IFERROR(__xludf.DUMMYFUNCTION("""COMPUTED_VALUE"""),"BLACK")</f>
        <v>BLACK</v>
      </c>
      <c r="G1283" s="20" t="str">
        <f>IFERROR(__xludf.DUMMYFUNCTION("""COMPUTED_VALUE"""),"Tap 6 Clone (10/15/2021)")</f>
        <v>Tap 6 Clone (10/15/2021)</v>
      </c>
      <c r="H1283" s="19"/>
    </row>
    <row r="1284">
      <c r="A1284" s="9"/>
      <c r="B1284" s="15"/>
      <c r="C1284" s="9">
        <f>IFERROR(__xludf.DUMMYFUNCTION("""COMPUTED_VALUE"""),44498.3270110648)</f>
        <v>44498.32701</v>
      </c>
      <c r="D1284" s="15">
        <f>IFERROR(__xludf.DUMMYFUNCTION("""COMPUTED_VALUE"""),1.016)</f>
        <v>1.016</v>
      </c>
      <c r="E1284" s="16">
        <f>IFERROR(__xludf.DUMMYFUNCTION("""COMPUTED_VALUE"""),62.0)</f>
        <v>62</v>
      </c>
      <c r="F1284" s="19" t="str">
        <f>IFERROR(__xludf.DUMMYFUNCTION("""COMPUTED_VALUE"""),"BLACK")</f>
        <v>BLACK</v>
      </c>
      <c r="G1284" s="20" t="str">
        <f>IFERROR(__xludf.DUMMYFUNCTION("""COMPUTED_VALUE"""),"Tap 6 Clone (10/15/2021)")</f>
        <v>Tap 6 Clone (10/15/2021)</v>
      </c>
      <c r="H1284" s="19"/>
    </row>
    <row r="1285">
      <c r="A1285" s="9"/>
      <c r="B1285" s="15"/>
      <c r="C1285" s="9">
        <f>IFERROR(__xludf.DUMMYFUNCTION("""COMPUTED_VALUE"""),44498.3165906018)</f>
        <v>44498.31659</v>
      </c>
      <c r="D1285" s="15">
        <f>IFERROR(__xludf.DUMMYFUNCTION("""COMPUTED_VALUE"""),1.016)</f>
        <v>1.016</v>
      </c>
      <c r="E1285" s="16">
        <f>IFERROR(__xludf.DUMMYFUNCTION("""COMPUTED_VALUE"""),62.0)</f>
        <v>62</v>
      </c>
      <c r="F1285" s="19" t="str">
        <f>IFERROR(__xludf.DUMMYFUNCTION("""COMPUTED_VALUE"""),"BLACK")</f>
        <v>BLACK</v>
      </c>
      <c r="G1285" s="20" t="str">
        <f>IFERROR(__xludf.DUMMYFUNCTION("""COMPUTED_VALUE"""),"Tap 6 Clone (10/15/2021)")</f>
        <v>Tap 6 Clone (10/15/2021)</v>
      </c>
      <c r="H1285" s="19"/>
    </row>
    <row r="1286">
      <c r="A1286" s="9"/>
      <c r="B1286" s="15"/>
      <c r="C1286" s="9">
        <f>IFERROR(__xludf.DUMMYFUNCTION("""COMPUTED_VALUE"""),44498.3061688541)</f>
        <v>44498.30617</v>
      </c>
      <c r="D1286" s="15">
        <f>IFERROR(__xludf.DUMMYFUNCTION("""COMPUTED_VALUE"""),1.016)</f>
        <v>1.016</v>
      </c>
      <c r="E1286" s="16">
        <f>IFERROR(__xludf.DUMMYFUNCTION("""COMPUTED_VALUE"""),62.0)</f>
        <v>62</v>
      </c>
      <c r="F1286" s="19" t="str">
        <f>IFERROR(__xludf.DUMMYFUNCTION("""COMPUTED_VALUE"""),"BLACK")</f>
        <v>BLACK</v>
      </c>
      <c r="G1286" s="20" t="str">
        <f>IFERROR(__xludf.DUMMYFUNCTION("""COMPUTED_VALUE"""),"Tap 6 Clone (10/15/2021)")</f>
        <v>Tap 6 Clone (10/15/2021)</v>
      </c>
      <c r="H1286" s="19"/>
    </row>
    <row r="1287">
      <c r="A1287" s="9"/>
      <c r="B1287" s="15"/>
      <c r="C1287" s="9">
        <f>IFERROR(__xludf.DUMMYFUNCTION("""COMPUTED_VALUE"""),44498.2957451157)</f>
        <v>44498.29575</v>
      </c>
      <c r="D1287" s="15">
        <f>IFERROR(__xludf.DUMMYFUNCTION("""COMPUTED_VALUE"""),1.016)</f>
        <v>1.016</v>
      </c>
      <c r="E1287" s="16">
        <f>IFERROR(__xludf.DUMMYFUNCTION("""COMPUTED_VALUE"""),62.0)</f>
        <v>62</v>
      </c>
      <c r="F1287" s="19" t="str">
        <f>IFERROR(__xludf.DUMMYFUNCTION("""COMPUTED_VALUE"""),"BLACK")</f>
        <v>BLACK</v>
      </c>
      <c r="G1287" s="20" t="str">
        <f>IFERROR(__xludf.DUMMYFUNCTION("""COMPUTED_VALUE"""),"Tap 6 Clone (10/15/2021)")</f>
        <v>Tap 6 Clone (10/15/2021)</v>
      </c>
      <c r="H1287" s="19"/>
    </row>
    <row r="1288">
      <c r="A1288" s="9"/>
      <c r="B1288" s="15"/>
      <c r="C1288" s="9">
        <f>IFERROR(__xludf.DUMMYFUNCTION("""COMPUTED_VALUE"""),44498.2853231944)</f>
        <v>44498.28532</v>
      </c>
      <c r="D1288" s="15">
        <f>IFERROR(__xludf.DUMMYFUNCTION("""COMPUTED_VALUE"""),1.017)</f>
        <v>1.017</v>
      </c>
      <c r="E1288" s="16">
        <f>IFERROR(__xludf.DUMMYFUNCTION("""COMPUTED_VALUE"""),62.0)</f>
        <v>62</v>
      </c>
      <c r="F1288" s="19" t="str">
        <f>IFERROR(__xludf.DUMMYFUNCTION("""COMPUTED_VALUE"""),"BLACK")</f>
        <v>BLACK</v>
      </c>
      <c r="G1288" s="20" t="str">
        <f>IFERROR(__xludf.DUMMYFUNCTION("""COMPUTED_VALUE"""),"Tap 6 Clone (10/15/2021)")</f>
        <v>Tap 6 Clone (10/15/2021)</v>
      </c>
      <c r="H1288" s="19"/>
    </row>
    <row r="1289">
      <c r="A1289" s="9"/>
      <c r="B1289" s="15"/>
      <c r="C1289" s="9">
        <f>IFERROR(__xludf.DUMMYFUNCTION("""COMPUTED_VALUE"""),44498.2748920023)</f>
        <v>44498.27489</v>
      </c>
      <c r="D1289" s="15">
        <f>IFERROR(__xludf.DUMMYFUNCTION("""COMPUTED_VALUE"""),1.017)</f>
        <v>1.017</v>
      </c>
      <c r="E1289" s="16">
        <f>IFERROR(__xludf.DUMMYFUNCTION("""COMPUTED_VALUE"""),62.0)</f>
        <v>62</v>
      </c>
      <c r="F1289" s="19" t="str">
        <f>IFERROR(__xludf.DUMMYFUNCTION("""COMPUTED_VALUE"""),"BLACK")</f>
        <v>BLACK</v>
      </c>
      <c r="G1289" s="20" t="str">
        <f>IFERROR(__xludf.DUMMYFUNCTION("""COMPUTED_VALUE"""),"Tap 6 Clone (10/15/2021)")</f>
        <v>Tap 6 Clone (10/15/2021)</v>
      </c>
      <c r="H1289" s="19"/>
    </row>
    <row r="1290">
      <c r="A1290" s="9"/>
      <c r="B1290" s="15"/>
      <c r="C1290" s="9">
        <f>IFERROR(__xludf.DUMMYFUNCTION("""COMPUTED_VALUE"""),44498.2644717939)</f>
        <v>44498.26447</v>
      </c>
      <c r="D1290" s="15">
        <f>IFERROR(__xludf.DUMMYFUNCTION("""COMPUTED_VALUE"""),1.016)</f>
        <v>1.016</v>
      </c>
      <c r="E1290" s="16">
        <f>IFERROR(__xludf.DUMMYFUNCTION("""COMPUTED_VALUE"""),62.0)</f>
        <v>62</v>
      </c>
      <c r="F1290" s="19" t="str">
        <f>IFERROR(__xludf.DUMMYFUNCTION("""COMPUTED_VALUE"""),"BLACK")</f>
        <v>BLACK</v>
      </c>
      <c r="G1290" s="20" t="str">
        <f>IFERROR(__xludf.DUMMYFUNCTION("""COMPUTED_VALUE"""),"Tap 6 Clone (10/15/2021)")</f>
        <v>Tap 6 Clone (10/15/2021)</v>
      </c>
      <c r="H1290" s="19"/>
    </row>
    <row r="1291">
      <c r="A1291" s="9"/>
      <c r="B1291" s="15"/>
      <c r="C1291" s="9">
        <f>IFERROR(__xludf.DUMMYFUNCTION("""COMPUTED_VALUE"""),44498.2540508564)</f>
        <v>44498.25405</v>
      </c>
      <c r="D1291" s="15">
        <f>IFERROR(__xludf.DUMMYFUNCTION("""COMPUTED_VALUE"""),1.016)</f>
        <v>1.016</v>
      </c>
      <c r="E1291" s="16">
        <f>IFERROR(__xludf.DUMMYFUNCTION("""COMPUTED_VALUE"""),62.0)</f>
        <v>62</v>
      </c>
      <c r="F1291" s="19" t="str">
        <f>IFERROR(__xludf.DUMMYFUNCTION("""COMPUTED_VALUE"""),"BLACK")</f>
        <v>BLACK</v>
      </c>
      <c r="G1291" s="20" t="str">
        <f>IFERROR(__xludf.DUMMYFUNCTION("""COMPUTED_VALUE"""),"Tap 6 Clone (10/15/2021)")</f>
        <v>Tap 6 Clone (10/15/2021)</v>
      </c>
      <c r="H1291" s="19"/>
    </row>
    <row r="1292">
      <c r="A1292" s="9"/>
      <c r="B1292" s="15"/>
      <c r="C1292" s="9">
        <f>IFERROR(__xludf.DUMMYFUNCTION("""COMPUTED_VALUE"""),44498.2436298032)</f>
        <v>44498.24363</v>
      </c>
      <c r="D1292" s="15">
        <f>IFERROR(__xludf.DUMMYFUNCTION("""COMPUTED_VALUE"""),1.016)</f>
        <v>1.016</v>
      </c>
      <c r="E1292" s="16">
        <f>IFERROR(__xludf.DUMMYFUNCTION("""COMPUTED_VALUE"""),62.0)</f>
        <v>62</v>
      </c>
      <c r="F1292" s="19" t="str">
        <f>IFERROR(__xludf.DUMMYFUNCTION("""COMPUTED_VALUE"""),"BLACK")</f>
        <v>BLACK</v>
      </c>
      <c r="G1292" s="20" t="str">
        <f>IFERROR(__xludf.DUMMYFUNCTION("""COMPUTED_VALUE"""),"Tap 6 Clone (10/15/2021)")</f>
        <v>Tap 6 Clone (10/15/2021)</v>
      </c>
      <c r="H1292" s="19"/>
    </row>
    <row r="1293">
      <c r="A1293" s="9"/>
      <c r="B1293" s="15"/>
      <c r="C1293" s="9">
        <f>IFERROR(__xludf.DUMMYFUNCTION("""COMPUTED_VALUE"""),44498.2332099074)</f>
        <v>44498.23321</v>
      </c>
      <c r="D1293" s="15">
        <f>IFERROR(__xludf.DUMMYFUNCTION("""COMPUTED_VALUE"""),1.016)</f>
        <v>1.016</v>
      </c>
      <c r="E1293" s="16">
        <f>IFERROR(__xludf.DUMMYFUNCTION("""COMPUTED_VALUE"""),62.0)</f>
        <v>62</v>
      </c>
      <c r="F1293" s="19" t="str">
        <f>IFERROR(__xludf.DUMMYFUNCTION("""COMPUTED_VALUE"""),"BLACK")</f>
        <v>BLACK</v>
      </c>
      <c r="G1293" s="20" t="str">
        <f>IFERROR(__xludf.DUMMYFUNCTION("""COMPUTED_VALUE"""),"Tap 6 Clone (10/15/2021)")</f>
        <v>Tap 6 Clone (10/15/2021)</v>
      </c>
      <c r="H1293" s="19"/>
    </row>
    <row r="1294">
      <c r="A1294" s="9"/>
      <c r="B1294" s="15"/>
      <c r="C1294" s="9">
        <f>IFERROR(__xludf.DUMMYFUNCTION("""COMPUTED_VALUE"""),44498.2227892361)</f>
        <v>44498.22279</v>
      </c>
      <c r="D1294" s="15">
        <f>IFERROR(__xludf.DUMMYFUNCTION("""COMPUTED_VALUE"""),1.016)</f>
        <v>1.016</v>
      </c>
      <c r="E1294" s="16">
        <f>IFERROR(__xludf.DUMMYFUNCTION("""COMPUTED_VALUE"""),62.0)</f>
        <v>62</v>
      </c>
      <c r="F1294" s="19" t="str">
        <f>IFERROR(__xludf.DUMMYFUNCTION("""COMPUTED_VALUE"""),"BLACK")</f>
        <v>BLACK</v>
      </c>
      <c r="G1294" s="20" t="str">
        <f>IFERROR(__xludf.DUMMYFUNCTION("""COMPUTED_VALUE"""),"Tap 6 Clone (10/15/2021)")</f>
        <v>Tap 6 Clone (10/15/2021)</v>
      </c>
      <c r="H1294" s="19"/>
    </row>
    <row r="1295">
      <c r="A1295" s="9"/>
      <c r="B1295" s="15"/>
      <c r="C1295" s="9">
        <f>IFERROR(__xludf.DUMMYFUNCTION("""COMPUTED_VALUE"""),44498.212367905)</f>
        <v>44498.21237</v>
      </c>
      <c r="D1295" s="15">
        <f>IFERROR(__xludf.DUMMYFUNCTION("""COMPUTED_VALUE"""),1.016)</f>
        <v>1.016</v>
      </c>
      <c r="E1295" s="16">
        <f>IFERROR(__xludf.DUMMYFUNCTION("""COMPUTED_VALUE"""),62.0)</f>
        <v>62</v>
      </c>
      <c r="F1295" s="19" t="str">
        <f>IFERROR(__xludf.DUMMYFUNCTION("""COMPUTED_VALUE"""),"BLACK")</f>
        <v>BLACK</v>
      </c>
      <c r="G1295" s="20" t="str">
        <f>IFERROR(__xludf.DUMMYFUNCTION("""COMPUTED_VALUE"""),"Tap 6 Clone (10/15/2021)")</f>
        <v>Tap 6 Clone (10/15/2021)</v>
      </c>
      <c r="H1295" s="19"/>
    </row>
    <row r="1296">
      <c r="A1296" s="9"/>
      <c r="B1296" s="15"/>
      <c r="C1296" s="9">
        <f>IFERROR(__xludf.DUMMYFUNCTION("""COMPUTED_VALUE"""),44498.2019343634)</f>
        <v>44498.20193</v>
      </c>
      <c r="D1296" s="15">
        <f>IFERROR(__xludf.DUMMYFUNCTION("""COMPUTED_VALUE"""),1.016)</f>
        <v>1.016</v>
      </c>
      <c r="E1296" s="16">
        <f>IFERROR(__xludf.DUMMYFUNCTION("""COMPUTED_VALUE"""),62.0)</f>
        <v>62</v>
      </c>
      <c r="F1296" s="19" t="str">
        <f>IFERROR(__xludf.DUMMYFUNCTION("""COMPUTED_VALUE"""),"BLACK")</f>
        <v>BLACK</v>
      </c>
      <c r="G1296" s="20" t="str">
        <f>IFERROR(__xludf.DUMMYFUNCTION("""COMPUTED_VALUE"""),"Tap 6 Clone (10/15/2021)")</f>
        <v>Tap 6 Clone (10/15/2021)</v>
      </c>
      <c r="H1296" s="19"/>
    </row>
    <row r="1297">
      <c r="A1297" s="9"/>
      <c r="B1297" s="15"/>
      <c r="C1297" s="9">
        <f>IFERROR(__xludf.DUMMYFUNCTION("""COMPUTED_VALUE"""),44498.1915147685)</f>
        <v>44498.19151</v>
      </c>
      <c r="D1297" s="15">
        <f>IFERROR(__xludf.DUMMYFUNCTION("""COMPUTED_VALUE"""),1.016)</f>
        <v>1.016</v>
      </c>
      <c r="E1297" s="16">
        <f>IFERROR(__xludf.DUMMYFUNCTION("""COMPUTED_VALUE"""),62.0)</f>
        <v>62</v>
      </c>
      <c r="F1297" s="19" t="str">
        <f>IFERROR(__xludf.DUMMYFUNCTION("""COMPUTED_VALUE"""),"BLACK")</f>
        <v>BLACK</v>
      </c>
      <c r="G1297" s="20" t="str">
        <f>IFERROR(__xludf.DUMMYFUNCTION("""COMPUTED_VALUE"""),"Tap 6 Clone (10/15/2021)")</f>
        <v>Tap 6 Clone (10/15/2021)</v>
      </c>
      <c r="H1297" s="19"/>
    </row>
    <row r="1298">
      <c r="A1298" s="9"/>
      <c r="B1298" s="15"/>
      <c r="C1298" s="9">
        <f>IFERROR(__xludf.DUMMYFUNCTION("""COMPUTED_VALUE"""),44498.1810968055)</f>
        <v>44498.1811</v>
      </c>
      <c r="D1298" s="15">
        <f>IFERROR(__xludf.DUMMYFUNCTION("""COMPUTED_VALUE"""),1.016)</f>
        <v>1.016</v>
      </c>
      <c r="E1298" s="16">
        <f>IFERROR(__xludf.DUMMYFUNCTION("""COMPUTED_VALUE"""),62.0)</f>
        <v>62</v>
      </c>
      <c r="F1298" s="19" t="str">
        <f>IFERROR(__xludf.DUMMYFUNCTION("""COMPUTED_VALUE"""),"BLACK")</f>
        <v>BLACK</v>
      </c>
      <c r="G1298" s="20" t="str">
        <f>IFERROR(__xludf.DUMMYFUNCTION("""COMPUTED_VALUE"""),"Tap 6 Clone (10/15/2021)")</f>
        <v>Tap 6 Clone (10/15/2021)</v>
      </c>
      <c r="H1298" s="19"/>
    </row>
    <row r="1299">
      <c r="A1299" s="9"/>
      <c r="B1299" s="15"/>
      <c r="C1299" s="9">
        <f>IFERROR(__xludf.DUMMYFUNCTION("""COMPUTED_VALUE"""),44498.1706743402)</f>
        <v>44498.17067</v>
      </c>
      <c r="D1299" s="15">
        <f>IFERROR(__xludf.DUMMYFUNCTION("""COMPUTED_VALUE"""),1.015)</f>
        <v>1.015</v>
      </c>
      <c r="E1299" s="16">
        <f>IFERROR(__xludf.DUMMYFUNCTION("""COMPUTED_VALUE"""),62.0)</f>
        <v>62</v>
      </c>
      <c r="F1299" s="19" t="str">
        <f>IFERROR(__xludf.DUMMYFUNCTION("""COMPUTED_VALUE"""),"BLACK")</f>
        <v>BLACK</v>
      </c>
      <c r="G1299" s="20" t="str">
        <f>IFERROR(__xludf.DUMMYFUNCTION("""COMPUTED_VALUE"""),"Tap 6 Clone (10/15/2021)")</f>
        <v>Tap 6 Clone (10/15/2021)</v>
      </c>
      <c r="H1299" s="19"/>
    </row>
    <row r="1300">
      <c r="A1300" s="9"/>
      <c r="B1300" s="15"/>
      <c r="C1300" s="9">
        <f>IFERROR(__xludf.DUMMYFUNCTION("""COMPUTED_VALUE"""),44498.1602530555)</f>
        <v>44498.16025</v>
      </c>
      <c r="D1300" s="15">
        <f>IFERROR(__xludf.DUMMYFUNCTION("""COMPUTED_VALUE"""),1.015)</f>
        <v>1.015</v>
      </c>
      <c r="E1300" s="16">
        <f>IFERROR(__xludf.DUMMYFUNCTION("""COMPUTED_VALUE"""),62.0)</f>
        <v>62</v>
      </c>
      <c r="F1300" s="19" t="str">
        <f>IFERROR(__xludf.DUMMYFUNCTION("""COMPUTED_VALUE"""),"BLACK")</f>
        <v>BLACK</v>
      </c>
      <c r="G1300" s="20" t="str">
        <f>IFERROR(__xludf.DUMMYFUNCTION("""COMPUTED_VALUE"""),"Tap 6 Clone (10/15/2021)")</f>
        <v>Tap 6 Clone (10/15/2021)</v>
      </c>
      <c r="H1300" s="19"/>
    </row>
    <row r="1301">
      <c r="A1301" s="9"/>
      <c r="B1301" s="15"/>
      <c r="C1301" s="9">
        <f>IFERROR(__xludf.DUMMYFUNCTION("""COMPUTED_VALUE"""),44498.1498206713)</f>
        <v>44498.14982</v>
      </c>
      <c r="D1301" s="15">
        <f>IFERROR(__xludf.DUMMYFUNCTION("""COMPUTED_VALUE"""),1.016)</f>
        <v>1.016</v>
      </c>
      <c r="E1301" s="16">
        <f>IFERROR(__xludf.DUMMYFUNCTION("""COMPUTED_VALUE"""),62.0)</f>
        <v>62</v>
      </c>
      <c r="F1301" s="19" t="str">
        <f>IFERROR(__xludf.DUMMYFUNCTION("""COMPUTED_VALUE"""),"BLACK")</f>
        <v>BLACK</v>
      </c>
      <c r="G1301" s="20" t="str">
        <f>IFERROR(__xludf.DUMMYFUNCTION("""COMPUTED_VALUE"""),"Tap 6 Clone (10/15/2021)")</f>
        <v>Tap 6 Clone (10/15/2021)</v>
      </c>
      <c r="H1301" s="19"/>
    </row>
    <row r="1302">
      <c r="A1302" s="9"/>
      <c r="B1302" s="15"/>
      <c r="C1302" s="9">
        <f>IFERROR(__xludf.DUMMYFUNCTION("""COMPUTED_VALUE"""),44498.1394016087)</f>
        <v>44498.1394</v>
      </c>
      <c r="D1302" s="15">
        <f>IFERROR(__xludf.DUMMYFUNCTION("""COMPUTED_VALUE"""),1.016)</f>
        <v>1.016</v>
      </c>
      <c r="E1302" s="16">
        <f>IFERROR(__xludf.DUMMYFUNCTION("""COMPUTED_VALUE"""),62.0)</f>
        <v>62</v>
      </c>
      <c r="F1302" s="19" t="str">
        <f>IFERROR(__xludf.DUMMYFUNCTION("""COMPUTED_VALUE"""),"BLACK")</f>
        <v>BLACK</v>
      </c>
      <c r="G1302" s="20" t="str">
        <f>IFERROR(__xludf.DUMMYFUNCTION("""COMPUTED_VALUE"""),"Tap 6 Clone (10/15/2021)")</f>
        <v>Tap 6 Clone (10/15/2021)</v>
      </c>
      <c r="H1302" s="19"/>
    </row>
    <row r="1303">
      <c r="A1303" s="9"/>
      <c r="B1303" s="15"/>
      <c r="C1303" s="9">
        <f>IFERROR(__xludf.DUMMYFUNCTION("""COMPUTED_VALUE"""),44498.1289799537)</f>
        <v>44498.12898</v>
      </c>
      <c r="D1303" s="15">
        <f>IFERROR(__xludf.DUMMYFUNCTION("""COMPUTED_VALUE"""),1.016)</f>
        <v>1.016</v>
      </c>
      <c r="E1303" s="16">
        <f>IFERROR(__xludf.DUMMYFUNCTION("""COMPUTED_VALUE"""),62.0)</f>
        <v>62</v>
      </c>
      <c r="F1303" s="19" t="str">
        <f>IFERROR(__xludf.DUMMYFUNCTION("""COMPUTED_VALUE"""),"BLACK")</f>
        <v>BLACK</v>
      </c>
      <c r="G1303" s="20" t="str">
        <f>IFERROR(__xludf.DUMMYFUNCTION("""COMPUTED_VALUE"""),"Tap 6 Clone (10/15/2021)")</f>
        <v>Tap 6 Clone (10/15/2021)</v>
      </c>
      <c r="H1303" s="19"/>
    </row>
    <row r="1304">
      <c r="A1304" s="9"/>
      <c r="B1304" s="15"/>
      <c r="C1304" s="9">
        <f>IFERROR(__xludf.DUMMYFUNCTION("""COMPUTED_VALUE"""),44498.1185473495)</f>
        <v>44498.11855</v>
      </c>
      <c r="D1304" s="15">
        <f>IFERROR(__xludf.DUMMYFUNCTION("""COMPUTED_VALUE"""),1.016)</f>
        <v>1.016</v>
      </c>
      <c r="E1304" s="16">
        <f>IFERROR(__xludf.DUMMYFUNCTION("""COMPUTED_VALUE"""),62.0)</f>
        <v>62</v>
      </c>
      <c r="F1304" s="19" t="str">
        <f>IFERROR(__xludf.DUMMYFUNCTION("""COMPUTED_VALUE"""),"BLACK")</f>
        <v>BLACK</v>
      </c>
      <c r="G1304" s="20" t="str">
        <f>IFERROR(__xludf.DUMMYFUNCTION("""COMPUTED_VALUE"""),"Tap 6 Clone (10/15/2021)")</f>
        <v>Tap 6 Clone (10/15/2021)</v>
      </c>
      <c r="H1304" s="19"/>
    </row>
    <row r="1305">
      <c r="A1305" s="9"/>
      <c r="B1305" s="15"/>
      <c r="C1305" s="9">
        <f>IFERROR(__xludf.DUMMYFUNCTION("""COMPUTED_VALUE"""),44498.1081162963)</f>
        <v>44498.10812</v>
      </c>
      <c r="D1305" s="15">
        <f>IFERROR(__xludf.DUMMYFUNCTION("""COMPUTED_VALUE"""),1.016)</f>
        <v>1.016</v>
      </c>
      <c r="E1305" s="16">
        <f>IFERROR(__xludf.DUMMYFUNCTION("""COMPUTED_VALUE"""),62.0)</f>
        <v>62</v>
      </c>
      <c r="F1305" s="19" t="str">
        <f>IFERROR(__xludf.DUMMYFUNCTION("""COMPUTED_VALUE"""),"BLACK")</f>
        <v>BLACK</v>
      </c>
      <c r="G1305" s="20" t="str">
        <f>IFERROR(__xludf.DUMMYFUNCTION("""COMPUTED_VALUE"""),"Tap 6 Clone (10/15/2021)")</f>
        <v>Tap 6 Clone (10/15/2021)</v>
      </c>
      <c r="H1305" s="19"/>
    </row>
    <row r="1306">
      <c r="A1306" s="9"/>
      <c r="B1306" s="15"/>
      <c r="C1306" s="9">
        <f>IFERROR(__xludf.DUMMYFUNCTION("""COMPUTED_VALUE"""),44498.0976943865)</f>
        <v>44498.09769</v>
      </c>
      <c r="D1306" s="15">
        <f>IFERROR(__xludf.DUMMYFUNCTION("""COMPUTED_VALUE"""),1.016)</f>
        <v>1.016</v>
      </c>
      <c r="E1306" s="16">
        <f>IFERROR(__xludf.DUMMYFUNCTION("""COMPUTED_VALUE"""),62.0)</f>
        <v>62</v>
      </c>
      <c r="F1306" s="19" t="str">
        <f>IFERROR(__xludf.DUMMYFUNCTION("""COMPUTED_VALUE"""),"BLACK")</f>
        <v>BLACK</v>
      </c>
      <c r="G1306" s="20" t="str">
        <f>IFERROR(__xludf.DUMMYFUNCTION("""COMPUTED_VALUE"""),"Tap 6 Clone (10/15/2021)")</f>
        <v>Tap 6 Clone (10/15/2021)</v>
      </c>
      <c r="H1306" s="19"/>
    </row>
    <row r="1307">
      <c r="A1307" s="9"/>
      <c r="B1307" s="15"/>
      <c r="C1307" s="9">
        <f>IFERROR(__xludf.DUMMYFUNCTION("""COMPUTED_VALUE"""),44498.0872724652)</f>
        <v>44498.08727</v>
      </c>
      <c r="D1307" s="15">
        <f>IFERROR(__xludf.DUMMYFUNCTION("""COMPUTED_VALUE"""),1.016)</f>
        <v>1.016</v>
      </c>
      <c r="E1307" s="16">
        <f>IFERROR(__xludf.DUMMYFUNCTION("""COMPUTED_VALUE"""),62.0)</f>
        <v>62</v>
      </c>
      <c r="F1307" s="19" t="str">
        <f>IFERROR(__xludf.DUMMYFUNCTION("""COMPUTED_VALUE"""),"BLACK")</f>
        <v>BLACK</v>
      </c>
      <c r="G1307" s="20" t="str">
        <f>IFERROR(__xludf.DUMMYFUNCTION("""COMPUTED_VALUE"""),"Tap 6 Clone (10/15/2021)")</f>
        <v>Tap 6 Clone (10/15/2021)</v>
      </c>
      <c r="H1307" s="19"/>
    </row>
    <row r="1308">
      <c r="A1308" s="9"/>
      <c r="B1308" s="15"/>
      <c r="C1308" s="9">
        <f>IFERROR(__xludf.DUMMYFUNCTION("""COMPUTED_VALUE"""),44498.0768508101)</f>
        <v>44498.07685</v>
      </c>
      <c r="D1308" s="15">
        <f>IFERROR(__xludf.DUMMYFUNCTION("""COMPUTED_VALUE"""),1.015)</f>
        <v>1.015</v>
      </c>
      <c r="E1308" s="16">
        <f>IFERROR(__xludf.DUMMYFUNCTION("""COMPUTED_VALUE"""),62.0)</f>
        <v>62</v>
      </c>
      <c r="F1308" s="19" t="str">
        <f>IFERROR(__xludf.DUMMYFUNCTION("""COMPUTED_VALUE"""),"BLACK")</f>
        <v>BLACK</v>
      </c>
      <c r="G1308" s="20" t="str">
        <f>IFERROR(__xludf.DUMMYFUNCTION("""COMPUTED_VALUE"""),"Tap 6 Clone (10/15/2021)")</f>
        <v>Tap 6 Clone (10/15/2021)</v>
      </c>
      <c r="H1308" s="19"/>
    </row>
    <row r="1309">
      <c r="A1309" s="9"/>
      <c r="B1309" s="15"/>
      <c r="C1309" s="9">
        <f>IFERROR(__xludf.DUMMYFUNCTION("""COMPUTED_VALUE"""),44498.066420081)</f>
        <v>44498.06642</v>
      </c>
      <c r="D1309" s="15">
        <f>IFERROR(__xludf.DUMMYFUNCTION("""COMPUTED_VALUE"""),1.016)</f>
        <v>1.016</v>
      </c>
      <c r="E1309" s="16">
        <f>IFERROR(__xludf.DUMMYFUNCTION("""COMPUTED_VALUE"""),62.0)</f>
        <v>62</v>
      </c>
      <c r="F1309" s="19" t="str">
        <f>IFERROR(__xludf.DUMMYFUNCTION("""COMPUTED_VALUE"""),"BLACK")</f>
        <v>BLACK</v>
      </c>
      <c r="G1309" s="20" t="str">
        <f>IFERROR(__xludf.DUMMYFUNCTION("""COMPUTED_VALUE"""),"Tap 6 Clone (10/15/2021)")</f>
        <v>Tap 6 Clone (10/15/2021)</v>
      </c>
      <c r="H1309" s="19"/>
    </row>
    <row r="1310">
      <c r="A1310" s="9"/>
      <c r="B1310" s="15"/>
      <c r="C1310" s="9">
        <f>IFERROR(__xludf.DUMMYFUNCTION("""COMPUTED_VALUE"""),44498.0559992824)</f>
        <v>44498.056</v>
      </c>
      <c r="D1310" s="15">
        <f>IFERROR(__xludf.DUMMYFUNCTION("""COMPUTED_VALUE"""),1.016)</f>
        <v>1.016</v>
      </c>
      <c r="E1310" s="16">
        <f>IFERROR(__xludf.DUMMYFUNCTION("""COMPUTED_VALUE"""),62.0)</f>
        <v>62</v>
      </c>
      <c r="F1310" s="19" t="str">
        <f>IFERROR(__xludf.DUMMYFUNCTION("""COMPUTED_VALUE"""),"BLACK")</f>
        <v>BLACK</v>
      </c>
      <c r="G1310" s="20" t="str">
        <f>IFERROR(__xludf.DUMMYFUNCTION("""COMPUTED_VALUE"""),"Tap 6 Clone (10/15/2021)")</f>
        <v>Tap 6 Clone (10/15/2021)</v>
      </c>
      <c r="H1310" s="19"/>
    </row>
    <row r="1311">
      <c r="A1311" s="9"/>
      <c r="B1311" s="15"/>
      <c r="C1311" s="9">
        <f>IFERROR(__xludf.DUMMYFUNCTION("""COMPUTED_VALUE"""),44498.0455782291)</f>
        <v>44498.04558</v>
      </c>
      <c r="D1311" s="15">
        <f>IFERROR(__xludf.DUMMYFUNCTION("""COMPUTED_VALUE"""),1.016)</f>
        <v>1.016</v>
      </c>
      <c r="E1311" s="16">
        <f>IFERROR(__xludf.DUMMYFUNCTION("""COMPUTED_VALUE"""),62.0)</f>
        <v>62</v>
      </c>
      <c r="F1311" s="19" t="str">
        <f>IFERROR(__xludf.DUMMYFUNCTION("""COMPUTED_VALUE"""),"BLACK")</f>
        <v>BLACK</v>
      </c>
      <c r="G1311" s="20" t="str">
        <f>IFERROR(__xludf.DUMMYFUNCTION("""COMPUTED_VALUE"""),"Tap 6 Clone (10/15/2021)")</f>
        <v>Tap 6 Clone (10/15/2021)</v>
      </c>
      <c r="H1311" s="19"/>
    </row>
    <row r="1312">
      <c r="A1312" s="9"/>
      <c r="B1312" s="15"/>
      <c r="C1312" s="9">
        <f>IFERROR(__xludf.DUMMYFUNCTION("""COMPUTED_VALUE"""),44498.0351453472)</f>
        <v>44498.03515</v>
      </c>
      <c r="D1312" s="15">
        <f>IFERROR(__xludf.DUMMYFUNCTION("""COMPUTED_VALUE"""),1.016)</f>
        <v>1.016</v>
      </c>
      <c r="E1312" s="16">
        <f>IFERROR(__xludf.DUMMYFUNCTION("""COMPUTED_VALUE"""),62.0)</f>
        <v>62</v>
      </c>
      <c r="F1312" s="19" t="str">
        <f>IFERROR(__xludf.DUMMYFUNCTION("""COMPUTED_VALUE"""),"BLACK")</f>
        <v>BLACK</v>
      </c>
      <c r="G1312" s="20" t="str">
        <f>IFERROR(__xludf.DUMMYFUNCTION("""COMPUTED_VALUE"""),"Tap 6 Clone (10/15/2021)")</f>
        <v>Tap 6 Clone (10/15/2021)</v>
      </c>
      <c r="H1312" s="19"/>
    </row>
    <row r="1313">
      <c r="A1313" s="9"/>
      <c r="B1313" s="15"/>
      <c r="C1313" s="9">
        <f>IFERROR(__xludf.DUMMYFUNCTION("""COMPUTED_VALUE"""),44498.0247233449)</f>
        <v>44498.02472</v>
      </c>
      <c r="D1313" s="15">
        <f>IFERROR(__xludf.DUMMYFUNCTION("""COMPUTED_VALUE"""),1.016)</f>
        <v>1.016</v>
      </c>
      <c r="E1313" s="16">
        <f>IFERROR(__xludf.DUMMYFUNCTION("""COMPUTED_VALUE"""),62.0)</f>
        <v>62</v>
      </c>
      <c r="F1313" s="19" t="str">
        <f>IFERROR(__xludf.DUMMYFUNCTION("""COMPUTED_VALUE"""),"BLACK")</f>
        <v>BLACK</v>
      </c>
      <c r="G1313" s="20" t="str">
        <f>IFERROR(__xludf.DUMMYFUNCTION("""COMPUTED_VALUE"""),"Tap 6 Clone (10/15/2021)")</f>
        <v>Tap 6 Clone (10/15/2021)</v>
      </c>
      <c r="H1313" s="19"/>
    </row>
    <row r="1314">
      <c r="A1314" s="9"/>
      <c r="B1314" s="15"/>
      <c r="C1314" s="9">
        <f>IFERROR(__xludf.DUMMYFUNCTION("""COMPUTED_VALUE"""),44498.014305)</f>
        <v>44498.01431</v>
      </c>
      <c r="D1314" s="15">
        <f>IFERROR(__xludf.DUMMYFUNCTION("""COMPUTED_VALUE"""),1.016)</f>
        <v>1.016</v>
      </c>
      <c r="E1314" s="16">
        <f>IFERROR(__xludf.DUMMYFUNCTION("""COMPUTED_VALUE"""),62.0)</f>
        <v>62</v>
      </c>
      <c r="F1314" s="19" t="str">
        <f>IFERROR(__xludf.DUMMYFUNCTION("""COMPUTED_VALUE"""),"BLACK")</f>
        <v>BLACK</v>
      </c>
      <c r="G1314" s="20" t="str">
        <f>IFERROR(__xludf.DUMMYFUNCTION("""COMPUTED_VALUE"""),"Tap 6 Clone (10/15/2021)")</f>
        <v>Tap 6 Clone (10/15/2021)</v>
      </c>
      <c r="H1314" s="19"/>
    </row>
    <row r="1315">
      <c r="A1315" s="9"/>
      <c r="B1315" s="15"/>
      <c r="C1315" s="9">
        <f>IFERROR(__xludf.DUMMYFUNCTION("""COMPUTED_VALUE"""),44498.0038841435)</f>
        <v>44498.00388</v>
      </c>
      <c r="D1315" s="15">
        <f>IFERROR(__xludf.DUMMYFUNCTION("""COMPUTED_VALUE"""),1.016)</f>
        <v>1.016</v>
      </c>
      <c r="E1315" s="16">
        <f>IFERROR(__xludf.DUMMYFUNCTION("""COMPUTED_VALUE"""),62.0)</f>
        <v>62</v>
      </c>
      <c r="F1315" s="19" t="str">
        <f>IFERROR(__xludf.DUMMYFUNCTION("""COMPUTED_VALUE"""),"BLACK")</f>
        <v>BLACK</v>
      </c>
      <c r="G1315" s="20" t="str">
        <f>IFERROR(__xludf.DUMMYFUNCTION("""COMPUTED_VALUE"""),"Tap 6 Clone (10/15/2021)")</f>
        <v>Tap 6 Clone (10/15/2021)</v>
      </c>
      <c r="H1315" s="19"/>
    </row>
    <row r="1316">
      <c r="A1316" s="9"/>
      <c r="B1316" s="15"/>
      <c r="C1316" s="9">
        <f>IFERROR(__xludf.DUMMYFUNCTION("""COMPUTED_VALUE"""),44497.9934617708)</f>
        <v>44497.99346</v>
      </c>
      <c r="D1316" s="15">
        <f>IFERROR(__xludf.DUMMYFUNCTION("""COMPUTED_VALUE"""),1.016)</f>
        <v>1.016</v>
      </c>
      <c r="E1316" s="16">
        <f>IFERROR(__xludf.DUMMYFUNCTION("""COMPUTED_VALUE"""),62.0)</f>
        <v>62</v>
      </c>
      <c r="F1316" s="19" t="str">
        <f>IFERROR(__xludf.DUMMYFUNCTION("""COMPUTED_VALUE"""),"BLACK")</f>
        <v>BLACK</v>
      </c>
      <c r="G1316" s="20" t="str">
        <f>IFERROR(__xludf.DUMMYFUNCTION("""COMPUTED_VALUE"""),"Tap 6 Clone (10/15/2021)")</f>
        <v>Tap 6 Clone (10/15/2021)</v>
      </c>
      <c r="H1316" s="19"/>
    </row>
    <row r="1317">
      <c r="A1317" s="9"/>
      <c r="B1317" s="15"/>
      <c r="C1317" s="9">
        <f>IFERROR(__xludf.DUMMYFUNCTION("""COMPUTED_VALUE"""),44497.9830412847)</f>
        <v>44497.98304</v>
      </c>
      <c r="D1317" s="15">
        <f>IFERROR(__xludf.DUMMYFUNCTION("""COMPUTED_VALUE"""),1.016)</f>
        <v>1.016</v>
      </c>
      <c r="E1317" s="16">
        <f>IFERROR(__xludf.DUMMYFUNCTION("""COMPUTED_VALUE"""),62.0)</f>
        <v>62</v>
      </c>
      <c r="F1317" s="19" t="str">
        <f>IFERROR(__xludf.DUMMYFUNCTION("""COMPUTED_VALUE"""),"BLACK")</f>
        <v>BLACK</v>
      </c>
      <c r="G1317" s="20" t="str">
        <f>IFERROR(__xludf.DUMMYFUNCTION("""COMPUTED_VALUE"""),"Tap 6 Clone (10/15/2021)")</f>
        <v>Tap 6 Clone (10/15/2021)</v>
      </c>
      <c r="H1317" s="19"/>
    </row>
    <row r="1318">
      <c r="A1318" s="9"/>
      <c r="B1318" s="15"/>
      <c r="C1318" s="9">
        <f>IFERROR(__xludf.DUMMYFUNCTION("""COMPUTED_VALUE"""),44497.972620324)</f>
        <v>44497.97262</v>
      </c>
      <c r="D1318" s="15">
        <f>IFERROR(__xludf.DUMMYFUNCTION("""COMPUTED_VALUE"""),1.016)</f>
        <v>1.016</v>
      </c>
      <c r="E1318" s="16">
        <f>IFERROR(__xludf.DUMMYFUNCTION("""COMPUTED_VALUE"""),62.0)</f>
        <v>62</v>
      </c>
      <c r="F1318" s="19" t="str">
        <f>IFERROR(__xludf.DUMMYFUNCTION("""COMPUTED_VALUE"""),"BLACK")</f>
        <v>BLACK</v>
      </c>
      <c r="G1318" s="20" t="str">
        <f>IFERROR(__xludf.DUMMYFUNCTION("""COMPUTED_VALUE"""),"Tap 6 Clone (10/15/2021)")</f>
        <v>Tap 6 Clone (10/15/2021)</v>
      </c>
      <c r="H1318" s="19"/>
    </row>
    <row r="1319">
      <c r="A1319" s="9"/>
      <c r="B1319" s="15"/>
      <c r="C1319" s="9">
        <f>IFERROR(__xludf.DUMMYFUNCTION("""COMPUTED_VALUE"""),44497.9622012731)</f>
        <v>44497.9622</v>
      </c>
      <c r="D1319" s="15">
        <f>IFERROR(__xludf.DUMMYFUNCTION("""COMPUTED_VALUE"""),1.016)</f>
        <v>1.016</v>
      </c>
      <c r="E1319" s="16">
        <f>IFERROR(__xludf.DUMMYFUNCTION("""COMPUTED_VALUE"""),62.0)</f>
        <v>62</v>
      </c>
      <c r="F1319" s="19" t="str">
        <f>IFERROR(__xludf.DUMMYFUNCTION("""COMPUTED_VALUE"""),"BLACK")</f>
        <v>BLACK</v>
      </c>
      <c r="G1319" s="20" t="str">
        <f>IFERROR(__xludf.DUMMYFUNCTION("""COMPUTED_VALUE"""),"Tap 6 Clone (10/15/2021)")</f>
        <v>Tap 6 Clone (10/15/2021)</v>
      </c>
      <c r="H1319" s="19"/>
    </row>
    <row r="1320">
      <c r="A1320" s="9"/>
      <c r="B1320" s="15"/>
      <c r="C1320" s="9">
        <f>IFERROR(__xludf.DUMMYFUNCTION("""COMPUTED_VALUE"""),44497.9517798495)</f>
        <v>44497.95178</v>
      </c>
      <c r="D1320" s="15">
        <f>IFERROR(__xludf.DUMMYFUNCTION("""COMPUTED_VALUE"""),1.017)</f>
        <v>1.017</v>
      </c>
      <c r="E1320" s="16">
        <f>IFERROR(__xludf.DUMMYFUNCTION("""COMPUTED_VALUE"""),62.0)</f>
        <v>62</v>
      </c>
      <c r="F1320" s="19" t="str">
        <f>IFERROR(__xludf.DUMMYFUNCTION("""COMPUTED_VALUE"""),"BLACK")</f>
        <v>BLACK</v>
      </c>
      <c r="G1320" s="20" t="str">
        <f>IFERROR(__xludf.DUMMYFUNCTION("""COMPUTED_VALUE"""),"Tap 6 Clone (10/15/2021)")</f>
        <v>Tap 6 Clone (10/15/2021)</v>
      </c>
      <c r="H1320" s="19"/>
    </row>
    <row r="1321">
      <c r="A1321" s="9"/>
      <c r="B1321" s="15"/>
      <c r="C1321" s="9">
        <f>IFERROR(__xludf.DUMMYFUNCTION("""COMPUTED_VALUE"""),44497.9413595949)</f>
        <v>44497.94136</v>
      </c>
      <c r="D1321" s="15">
        <f>IFERROR(__xludf.DUMMYFUNCTION("""COMPUTED_VALUE"""),1.016)</f>
        <v>1.016</v>
      </c>
      <c r="E1321" s="16">
        <f>IFERROR(__xludf.DUMMYFUNCTION("""COMPUTED_VALUE"""),61.0)</f>
        <v>61</v>
      </c>
      <c r="F1321" s="19" t="str">
        <f>IFERROR(__xludf.DUMMYFUNCTION("""COMPUTED_VALUE"""),"BLACK")</f>
        <v>BLACK</v>
      </c>
      <c r="G1321" s="20" t="str">
        <f>IFERROR(__xludf.DUMMYFUNCTION("""COMPUTED_VALUE"""),"Tap 6 Clone (10/15/2021)")</f>
        <v>Tap 6 Clone (10/15/2021)</v>
      </c>
      <c r="H1321" s="19"/>
    </row>
    <row r="1322">
      <c r="A1322" s="9"/>
      <c r="B1322" s="15"/>
      <c r="C1322" s="9">
        <f>IFERROR(__xludf.DUMMYFUNCTION("""COMPUTED_VALUE"""),44497.9309373379)</f>
        <v>44497.93094</v>
      </c>
      <c r="D1322" s="15">
        <f>IFERROR(__xludf.DUMMYFUNCTION("""COMPUTED_VALUE"""),1.016)</f>
        <v>1.016</v>
      </c>
      <c r="E1322" s="16">
        <f>IFERROR(__xludf.DUMMYFUNCTION("""COMPUTED_VALUE"""),61.0)</f>
        <v>61</v>
      </c>
      <c r="F1322" s="19" t="str">
        <f>IFERROR(__xludf.DUMMYFUNCTION("""COMPUTED_VALUE"""),"BLACK")</f>
        <v>BLACK</v>
      </c>
      <c r="G1322" s="20" t="str">
        <f>IFERROR(__xludf.DUMMYFUNCTION("""COMPUTED_VALUE"""),"Tap 6 Clone (10/15/2021)")</f>
        <v>Tap 6 Clone (10/15/2021)</v>
      </c>
      <c r="H1322" s="19"/>
    </row>
    <row r="1323">
      <c r="A1323" s="9"/>
      <c r="B1323" s="15"/>
      <c r="C1323" s="9">
        <f>IFERROR(__xludf.DUMMYFUNCTION("""COMPUTED_VALUE"""),44497.9205034722)</f>
        <v>44497.9205</v>
      </c>
      <c r="D1323" s="15">
        <f>IFERROR(__xludf.DUMMYFUNCTION("""COMPUTED_VALUE"""),1.016)</f>
        <v>1.016</v>
      </c>
      <c r="E1323" s="16">
        <f>IFERROR(__xludf.DUMMYFUNCTION("""COMPUTED_VALUE"""),61.0)</f>
        <v>61</v>
      </c>
      <c r="F1323" s="19" t="str">
        <f>IFERROR(__xludf.DUMMYFUNCTION("""COMPUTED_VALUE"""),"BLACK")</f>
        <v>BLACK</v>
      </c>
      <c r="G1323" s="20" t="str">
        <f>IFERROR(__xludf.DUMMYFUNCTION("""COMPUTED_VALUE"""),"Tap 6 Clone (10/15/2021)")</f>
        <v>Tap 6 Clone (10/15/2021)</v>
      </c>
      <c r="H1323" s="19"/>
    </row>
    <row r="1324">
      <c r="A1324" s="9"/>
      <c r="B1324" s="15"/>
      <c r="C1324" s="9">
        <f>IFERROR(__xludf.DUMMYFUNCTION("""COMPUTED_VALUE"""),44497.9100829282)</f>
        <v>44497.91008</v>
      </c>
      <c r="D1324" s="15">
        <f>IFERROR(__xludf.DUMMYFUNCTION("""COMPUTED_VALUE"""),1.016)</f>
        <v>1.016</v>
      </c>
      <c r="E1324" s="16">
        <f>IFERROR(__xludf.DUMMYFUNCTION("""COMPUTED_VALUE"""),61.0)</f>
        <v>61</v>
      </c>
      <c r="F1324" s="19" t="str">
        <f>IFERROR(__xludf.DUMMYFUNCTION("""COMPUTED_VALUE"""),"BLACK")</f>
        <v>BLACK</v>
      </c>
      <c r="G1324" s="20" t="str">
        <f>IFERROR(__xludf.DUMMYFUNCTION("""COMPUTED_VALUE"""),"Tap 6 Clone (10/15/2021)")</f>
        <v>Tap 6 Clone (10/15/2021)</v>
      </c>
      <c r="H1324" s="19"/>
    </row>
    <row r="1325">
      <c r="A1325" s="9"/>
      <c r="B1325" s="15"/>
      <c r="C1325" s="9">
        <f>IFERROR(__xludf.DUMMYFUNCTION("""COMPUTED_VALUE"""),44497.8996616088)</f>
        <v>44497.89966</v>
      </c>
      <c r="D1325" s="15">
        <f>IFERROR(__xludf.DUMMYFUNCTION("""COMPUTED_VALUE"""),1.016)</f>
        <v>1.016</v>
      </c>
      <c r="E1325" s="16">
        <f>IFERROR(__xludf.DUMMYFUNCTION("""COMPUTED_VALUE"""),61.0)</f>
        <v>61</v>
      </c>
      <c r="F1325" s="19" t="str">
        <f>IFERROR(__xludf.DUMMYFUNCTION("""COMPUTED_VALUE"""),"BLACK")</f>
        <v>BLACK</v>
      </c>
      <c r="G1325" s="20" t="str">
        <f>IFERROR(__xludf.DUMMYFUNCTION("""COMPUTED_VALUE"""),"Tap 6 Clone (10/15/2021)")</f>
        <v>Tap 6 Clone (10/15/2021)</v>
      </c>
      <c r="H1325" s="19"/>
    </row>
    <row r="1326">
      <c r="A1326" s="9"/>
      <c r="B1326" s="15"/>
      <c r="C1326" s="9">
        <f>IFERROR(__xludf.DUMMYFUNCTION("""COMPUTED_VALUE"""),44497.8892418402)</f>
        <v>44497.88924</v>
      </c>
      <c r="D1326" s="15">
        <f>IFERROR(__xludf.DUMMYFUNCTION("""COMPUTED_VALUE"""),1.016)</f>
        <v>1.016</v>
      </c>
      <c r="E1326" s="16">
        <f>IFERROR(__xludf.DUMMYFUNCTION("""COMPUTED_VALUE"""),61.0)</f>
        <v>61</v>
      </c>
      <c r="F1326" s="19" t="str">
        <f>IFERROR(__xludf.DUMMYFUNCTION("""COMPUTED_VALUE"""),"BLACK")</f>
        <v>BLACK</v>
      </c>
      <c r="G1326" s="20" t="str">
        <f>IFERROR(__xludf.DUMMYFUNCTION("""COMPUTED_VALUE"""),"Tap 6 Clone (10/15/2021)")</f>
        <v>Tap 6 Clone (10/15/2021)</v>
      </c>
      <c r="H1326" s="19"/>
    </row>
    <row r="1327">
      <c r="A1327" s="9"/>
      <c r="B1327" s="15"/>
      <c r="C1327" s="9">
        <f>IFERROR(__xludf.DUMMYFUNCTION("""COMPUTED_VALUE"""),44497.8788194907)</f>
        <v>44497.87882</v>
      </c>
      <c r="D1327" s="15">
        <f>IFERROR(__xludf.DUMMYFUNCTION("""COMPUTED_VALUE"""),1.016)</f>
        <v>1.016</v>
      </c>
      <c r="E1327" s="16">
        <f>IFERROR(__xludf.DUMMYFUNCTION("""COMPUTED_VALUE"""),61.0)</f>
        <v>61</v>
      </c>
      <c r="F1327" s="19" t="str">
        <f>IFERROR(__xludf.DUMMYFUNCTION("""COMPUTED_VALUE"""),"BLACK")</f>
        <v>BLACK</v>
      </c>
      <c r="G1327" s="20" t="str">
        <f>IFERROR(__xludf.DUMMYFUNCTION("""COMPUTED_VALUE"""),"Tap 6 Clone (10/15/2021)")</f>
        <v>Tap 6 Clone (10/15/2021)</v>
      </c>
      <c r="H1327" s="19"/>
    </row>
    <row r="1328">
      <c r="A1328" s="9"/>
      <c r="B1328" s="15"/>
      <c r="C1328" s="9">
        <f>IFERROR(__xludf.DUMMYFUNCTION("""COMPUTED_VALUE"""),44497.8683985416)</f>
        <v>44497.8684</v>
      </c>
      <c r="D1328" s="15">
        <f>IFERROR(__xludf.DUMMYFUNCTION("""COMPUTED_VALUE"""),1.016)</f>
        <v>1.016</v>
      </c>
      <c r="E1328" s="16">
        <f>IFERROR(__xludf.DUMMYFUNCTION("""COMPUTED_VALUE"""),61.0)</f>
        <v>61</v>
      </c>
      <c r="F1328" s="19" t="str">
        <f>IFERROR(__xludf.DUMMYFUNCTION("""COMPUTED_VALUE"""),"BLACK")</f>
        <v>BLACK</v>
      </c>
      <c r="G1328" s="20" t="str">
        <f>IFERROR(__xludf.DUMMYFUNCTION("""COMPUTED_VALUE"""),"Tap 6 Clone (10/15/2021)")</f>
        <v>Tap 6 Clone (10/15/2021)</v>
      </c>
      <c r="H1328" s="19"/>
    </row>
    <row r="1329">
      <c r="A1329" s="9"/>
      <c r="B1329" s="15"/>
      <c r="C1329" s="9">
        <f>IFERROR(__xludf.DUMMYFUNCTION("""COMPUTED_VALUE"""),44497.8579772453)</f>
        <v>44497.85798</v>
      </c>
      <c r="D1329" s="15">
        <f>IFERROR(__xludf.DUMMYFUNCTION("""COMPUTED_VALUE"""),1.016)</f>
        <v>1.016</v>
      </c>
      <c r="E1329" s="16">
        <f>IFERROR(__xludf.DUMMYFUNCTION("""COMPUTED_VALUE"""),62.0)</f>
        <v>62</v>
      </c>
      <c r="F1329" s="19" t="str">
        <f>IFERROR(__xludf.DUMMYFUNCTION("""COMPUTED_VALUE"""),"BLACK")</f>
        <v>BLACK</v>
      </c>
      <c r="G1329" s="20" t="str">
        <f>IFERROR(__xludf.DUMMYFUNCTION("""COMPUTED_VALUE"""),"Tap 6 Clone (10/15/2021)")</f>
        <v>Tap 6 Clone (10/15/2021)</v>
      </c>
      <c r="H1329" s="19"/>
    </row>
    <row r="1330">
      <c r="A1330" s="9"/>
      <c r="B1330" s="15"/>
      <c r="C1330" s="9">
        <f>IFERROR(__xludf.DUMMYFUNCTION("""COMPUTED_VALUE"""),44497.84755603)</f>
        <v>44497.84756</v>
      </c>
      <c r="D1330" s="15">
        <f>IFERROR(__xludf.DUMMYFUNCTION("""COMPUTED_VALUE"""),1.016)</f>
        <v>1.016</v>
      </c>
      <c r="E1330" s="16">
        <f>IFERROR(__xludf.DUMMYFUNCTION("""COMPUTED_VALUE"""),62.0)</f>
        <v>62</v>
      </c>
      <c r="F1330" s="19" t="str">
        <f>IFERROR(__xludf.DUMMYFUNCTION("""COMPUTED_VALUE"""),"BLACK")</f>
        <v>BLACK</v>
      </c>
      <c r="G1330" s="20" t="str">
        <f>IFERROR(__xludf.DUMMYFUNCTION("""COMPUTED_VALUE"""),"Tap 6 Clone (10/15/2021)")</f>
        <v>Tap 6 Clone (10/15/2021)</v>
      </c>
      <c r="H1330" s="19"/>
    </row>
    <row r="1331">
      <c r="A1331" s="9"/>
      <c r="B1331" s="15"/>
      <c r="C1331" s="9">
        <f>IFERROR(__xludf.DUMMYFUNCTION("""COMPUTED_VALUE"""),44497.8371360879)</f>
        <v>44497.83714</v>
      </c>
      <c r="D1331" s="15">
        <f>IFERROR(__xludf.DUMMYFUNCTION("""COMPUTED_VALUE"""),1.015)</f>
        <v>1.015</v>
      </c>
      <c r="E1331" s="16">
        <f>IFERROR(__xludf.DUMMYFUNCTION("""COMPUTED_VALUE"""),62.0)</f>
        <v>62</v>
      </c>
      <c r="F1331" s="19" t="str">
        <f>IFERROR(__xludf.DUMMYFUNCTION("""COMPUTED_VALUE"""),"BLACK")</f>
        <v>BLACK</v>
      </c>
      <c r="G1331" s="20" t="str">
        <f>IFERROR(__xludf.DUMMYFUNCTION("""COMPUTED_VALUE"""),"Tap 6 Clone (10/15/2021)")</f>
        <v>Tap 6 Clone (10/15/2021)</v>
      </c>
      <c r="H1331" s="19"/>
    </row>
    <row r="1332">
      <c r="A1332" s="9"/>
      <c r="B1332" s="15"/>
      <c r="C1332" s="9">
        <f>IFERROR(__xludf.DUMMYFUNCTION("""COMPUTED_VALUE"""),44497.8267126157)</f>
        <v>44497.82671</v>
      </c>
      <c r="D1332" s="15">
        <f>IFERROR(__xludf.DUMMYFUNCTION("""COMPUTED_VALUE"""),1.015)</f>
        <v>1.015</v>
      </c>
      <c r="E1332" s="16">
        <f>IFERROR(__xludf.DUMMYFUNCTION("""COMPUTED_VALUE"""),61.0)</f>
        <v>61</v>
      </c>
      <c r="F1332" s="19" t="str">
        <f>IFERROR(__xludf.DUMMYFUNCTION("""COMPUTED_VALUE"""),"BLACK")</f>
        <v>BLACK</v>
      </c>
      <c r="G1332" s="20" t="str">
        <f>IFERROR(__xludf.DUMMYFUNCTION("""COMPUTED_VALUE"""),"Tap 6 Clone (10/15/2021)")</f>
        <v>Tap 6 Clone (10/15/2021)</v>
      </c>
      <c r="H1332" s="19"/>
    </row>
    <row r="1333">
      <c r="A1333" s="9"/>
      <c r="B1333" s="15"/>
      <c r="C1333" s="9">
        <f>IFERROR(__xludf.DUMMYFUNCTION("""COMPUTED_VALUE"""),44497.8162907523)</f>
        <v>44497.81629</v>
      </c>
      <c r="D1333" s="15">
        <f>IFERROR(__xludf.DUMMYFUNCTION("""COMPUTED_VALUE"""),1.015)</f>
        <v>1.015</v>
      </c>
      <c r="E1333" s="16">
        <f>IFERROR(__xludf.DUMMYFUNCTION("""COMPUTED_VALUE"""),62.0)</f>
        <v>62</v>
      </c>
      <c r="F1333" s="19" t="str">
        <f>IFERROR(__xludf.DUMMYFUNCTION("""COMPUTED_VALUE"""),"BLACK")</f>
        <v>BLACK</v>
      </c>
      <c r="G1333" s="20" t="str">
        <f>IFERROR(__xludf.DUMMYFUNCTION("""COMPUTED_VALUE"""),"Tap 6 Clone (10/15/2021)")</f>
        <v>Tap 6 Clone (10/15/2021)</v>
      </c>
      <c r="H1333" s="19"/>
    </row>
    <row r="1334">
      <c r="A1334" s="9"/>
      <c r="B1334" s="15"/>
      <c r="C1334" s="9">
        <f>IFERROR(__xludf.DUMMYFUNCTION("""COMPUTED_VALUE"""),44497.80586875)</f>
        <v>44497.80587</v>
      </c>
      <c r="D1334" s="15">
        <f>IFERROR(__xludf.DUMMYFUNCTION("""COMPUTED_VALUE"""),1.015)</f>
        <v>1.015</v>
      </c>
      <c r="E1334" s="16">
        <f>IFERROR(__xludf.DUMMYFUNCTION("""COMPUTED_VALUE"""),62.0)</f>
        <v>62</v>
      </c>
      <c r="F1334" s="19" t="str">
        <f>IFERROR(__xludf.DUMMYFUNCTION("""COMPUTED_VALUE"""),"BLACK")</f>
        <v>BLACK</v>
      </c>
      <c r="G1334" s="20" t="str">
        <f>IFERROR(__xludf.DUMMYFUNCTION("""COMPUTED_VALUE"""),"Tap 6 Clone (10/15/2021)")</f>
        <v>Tap 6 Clone (10/15/2021)</v>
      </c>
      <c r="H1334" s="19"/>
    </row>
    <row r="1335">
      <c r="A1335" s="9"/>
      <c r="B1335" s="15"/>
      <c r="C1335" s="9">
        <f>IFERROR(__xludf.DUMMYFUNCTION("""COMPUTED_VALUE"""),44497.7954473958)</f>
        <v>44497.79545</v>
      </c>
      <c r="D1335" s="15">
        <f>IFERROR(__xludf.DUMMYFUNCTION("""COMPUTED_VALUE"""),1.015)</f>
        <v>1.015</v>
      </c>
      <c r="E1335" s="16">
        <f>IFERROR(__xludf.DUMMYFUNCTION("""COMPUTED_VALUE"""),62.0)</f>
        <v>62</v>
      </c>
      <c r="F1335" s="19" t="str">
        <f>IFERROR(__xludf.DUMMYFUNCTION("""COMPUTED_VALUE"""),"BLACK")</f>
        <v>BLACK</v>
      </c>
      <c r="G1335" s="20" t="str">
        <f>IFERROR(__xludf.DUMMYFUNCTION("""COMPUTED_VALUE"""),"Tap 6 Clone (10/15/2021)")</f>
        <v>Tap 6 Clone (10/15/2021)</v>
      </c>
      <c r="H1335" s="19"/>
    </row>
    <row r="1336">
      <c r="A1336" s="9"/>
      <c r="B1336" s="15"/>
      <c r="C1336" s="9">
        <f>IFERROR(__xludf.DUMMYFUNCTION("""COMPUTED_VALUE"""),44497.7850255787)</f>
        <v>44497.78503</v>
      </c>
      <c r="D1336" s="15">
        <f>IFERROR(__xludf.DUMMYFUNCTION("""COMPUTED_VALUE"""),1.014)</f>
        <v>1.014</v>
      </c>
      <c r="E1336" s="16">
        <f>IFERROR(__xludf.DUMMYFUNCTION("""COMPUTED_VALUE"""),62.0)</f>
        <v>62</v>
      </c>
      <c r="F1336" s="19" t="str">
        <f>IFERROR(__xludf.DUMMYFUNCTION("""COMPUTED_VALUE"""),"BLACK")</f>
        <v>BLACK</v>
      </c>
      <c r="G1336" s="20" t="str">
        <f>IFERROR(__xludf.DUMMYFUNCTION("""COMPUTED_VALUE"""),"Tap 6 Clone (10/15/2021)")</f>
        <v>Tap 6 Clone (10/15/2021)</v>
      </c>
      <c r="H1336" s="19"/>
    </row>
    <row r="1337">
      <c r="A1337" s="9"/>
      <c r="B1337" s="15"/>
      <c r="C1337" s="9">
        <f>IFERROR(__xludf.DUMMYFUNCTION("""COMPUTED_VALUE"""),44497.7745916203)</f>
        <v>44497.77459</v>
      </c>
      <c r="D1337" s="15">
        <f>IFERROR(__xludf.DUMMYFUNCTION("""COMPUTED_VALUE"""),1.014)</f>
        <v>1.014</v>
      </c>
      <c r="E1337" s="16">
        <f>IFERROR(__xludf.DUMMYFUNCTION("""COMPUTED_VALUE"""),62.0)</f>
        <v>62</v>
      </c>
      <c r="F1337" s="19" t="str">
        <f>IFERROR(__xludf.DUMMYFUNCTION("""COMPUTED_VALUE"""),"BLACK")</f>
        <v>BLACK</v>
      </c>
      <c r="G1337" s="20" t="str">
        <f>IFERROR(__xludf.DUMMYFUNCTION("""COMPUTED_VALUE"""),"Tap 6 Clone (10/15/2021)")</f>
        <v>Tap 6 Clone (10/15/2021)</v>
      </c>
      <c r="H1337" s="19"/>
    </row>
    <row r="1338">
      <c r="A1338" s="9"/>
      <c r="B1338" s="15"/>
      <c r="C1338" s="9">
        <f>IFERROR(__xludf.DUMMYFUNCTION("""COMPUTED_VALUE"""),44497.7641703356)</f>
        <v>44497.76417</v>
      </c>
      <c r="D1338" s="15">
        <f>IFERROR(__xludf.DUMMYFUNCTION("""COMPUTED_VALUE"""),1.014)</f>
        <v>1.014</v>
      </c>
      <c r="E1338" s="16">
        <f>IFERROR(__xludf.DUMMYFUNCTION("""COMPUTED_VALUE"""),62.0)</f>
        <v>62</v>
      </c>
      <c r="F1338" s="19" t="str">
        <f>IFERROR(__xludf.DUMMYFUNCTION("""COMPUTED_VALUE"""),"BLACK")</f>
        <v>BLACK</v>
      </c>
      <c r="G1338" s="20" t="str">
        <f>IFERROR(__xludf.DUMMYFUNCTION("""COMPUTED_VALUE"""),"Tap 6 Clone (10/15/2021)")</f>
        <v>Tap 6 Clone (10/15/2021)</v>
      </c>
      <c r="H1338" s="19"/>
    </row>
    <row r="1339">
      <c r="A1339" s="9"/>
      <c r="B1339" s="15"/>
      <c r="C1339" s="9">
        <f>IFERROR(__xludf.DUMMYFUNCTION("""COMPUTED_VALUE"""),44497.7537255787)</f>
        <v>44497.75373</v>
      </c>
      <c r="D1339" s="15">
        <f>IFERROR(__xludf.DUMMYFUNCTION("""COMPUTED_VALUE"""),1.014)</f>
        <v>1.014</v>
      </c>
      <c r="E1339" s="16">
        <f>IFERROR(__xludf.DUMMYFUNCTION("""COMPUTED_VALUE"""),62.0)</f>
        <v>62</v>
      </c>
      <c r="F1339" s="19" t="str">
        <f>IFERROR(__xludf.DUMMYFUNCTION("""COMPUTED_VALUE"""),"BLACK")</f>
        <v>BLACK</v>
      </c>
      <c r="G1339" s="20" t="str">
        <f>IFERROR(__xludf.DUMMYFUNCTION("""COMPUTED_VALUE"""),"Tap 6 Clone (10/15/2021)")</f>
        <v>Tap 6 Clone (10/15/2021)</v>
      </c>
      <c r="H1339" s="19"/>
    </row>
    <row r="1340">
      <c r="A1340" s="9"/>
      <c r="B1340" s="15"/>
      <c r="C1340" s="9">
        <f>IFERROR(__xludf.DUMMYFUNCTION("""COMPUTED_VALUE"""),44497.7432701851)</f>
        <v>44497.74327</v>
      </c>
      <c r="D1340" s="15">
        <f>IFERROR(__xludf.DUMMYFUNCTION("""COMPUTED_VALUE"""),1.014)</f>
        <v>1.014</v>
      </c>
      <c r="E1340" s="16">
        <f>IFERROR(__xludf.DUMMYFUNCTION("""COMPUTED_VALUE"""),62.0)</f>
        <v>62</v>
      </c>
      <c r="F1340" s="19" t="str">
        <f>IFERROR(__xludf.DUMMYFUNCTION("""COMPUTED_VALUE"""),"BLACK")</f>
        <v>BLACK</v>
      </c>
      <c r="G1340" s="20" t="str">
        <f>IFERROR(__xludf.DUMMYFUNCTION("""COMPUTED_VALUE"""),"Tap 6 Clone (10/15/2021)")</f>
        <v>Tap 6 Clone (10/15/2021)</v>
      </c>
      <c r="H1340" s="19"/>
    </row>
    <row r="1341">
      <c r="A1341" s="9"/>
      <c r="B1341" s="15"/>
      <c r="C1341" s="9">
        <f>IFERROR(__xludf.DUMMYFUNCTION("""COMPUTED_VALUE"""),44497.7328492129)</f>
        <v>44497.73285</v>
      </c>
      <c r="D1341" s="15">
        <f>IFERROR(__xludf.DUMMYFUNCTION("""COMPUTED_VALUE"""),1.014)</f>
        <v>1.014</v>
      </c>
      <c r="E1341" s="16">
        <f>IFERROR(__xludf.DUMMYFUNCTION("""COMPUTED_VALUE"""),62.0)</f>
        <v>62</v>
      </c>
      <c r="F1341" s="19" t="str">
        <f>IFERROR(__xludf.DUMMYFUNCTION("""COMPUTED_VALUE"""),"BLACK")</f>
        <v>BLACK</v>
      </c>
      <c r="G1341" s="20" t="str">
        <f>IFERROR(__xludf.DUMMYFUNCTION("""COMPUTED_VALUE"""),"Tap 6 Clone (10/15/2021)")</f>
        <v>Tap 6 Clone (10/15/2021)</v>
      </c>
      <c r="H1341" s="19"/>
    </row>
    <row r="1342">
      <c r="A1342" s="9"/>
      <c r="B1342" s="15"/>
      <c r="C1342" s="9">
        <f>IFERROR(__xludf.DUMMYFUNCTION("""COMPUTED_VALUE"""),44497.7224282291)</f>
        <v>44497.72243</v>
      </c>
      <c r="D1342" s="15">
        <f>IFERROR(__xludf.DUMMYFUNCTION("""COMPUTED_VALUE"""),1.014)</f>
        <v>1.014</v>
      </c>
      <c r="E1342" s="16">
        <f>IFERROR(__xludf.DUMMYFUNCTION("""COMPUTED_VALUE"""),62.0)</f>
        <v>62</v>
      </c>
      <c r="F1342" s="19" t="str">
        <f>IFERROR(__xludf.DUMMYFUNCTION("""COMPUTED_VALUE"""),"BLACK")</f>
        <v>BLACK</v>
      </c>
      <c r="G1342" s="20" t="str">
        <f>IFERROR(__xludf.DUMMYFUNCTION("""COMPUTED_VALUE"""),"Tap 6 Clone (10/15/2021)")</f>
        <v>Tap 6 Clone (10/15/2021)</v>
      </c>
      <c r="H1342" s="19"/>
    </row>
    <row r="1343">
      <c r="A1343" s="9"/>
      <c r="B1343" s="15"/>
      <c r="C1343" s="9">
        <f>IFERROR(__xludf.DUMMYFUNCTION("""COMPUTED_VALUE"""),44497.7120051967)</f>
        <v>44497.71201</v>
      </c>
      <c r="D1343" s="15">
        <f>IFERROR(__xludf.DUMMYFUNCTION("""COMPUTED_VALUE"""),1.014)</f>
        <v>1.014</v>
      </c>
      <c r="E1343" s="16">
        <f>IFERROR(__xludf.DUMMYFUNCTION("""COMPUTED_VALUE"""),62.0)</f>
        <v>62</v>
      </c>
      <c r="F1343" s="19" t="str">
        <f>IFERROR(__xludf.DUMMYFUNCTION("""COMPUTED_VALUE"""),"BLACK")</f>
        <v>BLACK</v>
      </c>
      <c r="G1343" s="20" t="str">
        <f>IFERROR(__xludf.DUMMYFUNCTION("""COMPUTED_VALUE"""),"Tap 6 Clone (10/15/2021)")</f>
        <v>Tap 6 Clone (10/15/2021)</v>
      </c>
      <c r="H1343" s="19"/>
    </row>
    <row r="1344">
      <c r="A1344" s="9"/>
      <c r="B1344" s="15"/>
      <c r="C1344" s="9">
        <f>IFERROR(__xludf.DUMMYFUNCTION("""COMPUTED_VALUE"""),44497.7015836921)</f>
        <v>44497.70158</v>
      </c>
      <c r="D1344" s="15">
        <f>IFERROR(__xludf.DUMMYFUNCTION("""COMPUTED_VALUE"""),1.014)</f>
        <v>1.014</v>
      </c>
      <c r="E1344" s="16">
        <f>IFERROR(__xludf.DUMMYFUNCTION("""COMPUTED_VALUE"""),62.0)</f>
        <v>62</v>
      </c>
      <c r="F1344" s="19" t="str">
        <f>IFERROR(__xludf.DUMMYFUNCTION("""COMPUTED_VALUE"""),"BLACK")</f>
        <v>BLACK</v>
      </c>
      <c r="G1344" s="20" t="str">
        <f>IFERROR(__xludf.DUMMYFUNCTION("""COMPUTED_VALUE"""),"Tap 6 Clone (10/15/2021)")</f>
        <v>Tap 6 Clone (10/15/2021)</v>
      </c>
      <c r="H1344" s="19"/>
    </row>
    <row r="1345">
      <c r="A1345" s="9"/>
      <c r="B1345" s="15"/>
      <c r="C1345" s="9">
        <f>IFERROR(__xludf.DUMMYFUNCTION("""COMPUTED_VALUE"""),44497.6911616203)</f>
        <v>44497.69116</v>
      </c>
      <c r="D1345" s="15">
        <f>IFERROR(__xludf.DUMMYFUNCTION("""COMPUTED_VALUE"""),1.014)</f>
        <v>1.014</v>
      </c>
      <c r="E1345" s="16">
        <f>IFERROR(__xludf.DUMMYFUNCTION("""COMPUTED_VALUE"""),62.0)</f>
        <v>62</v>
      </c>
      <c r="F1345" s="19" t="str">
        <f>IFERROR(__xludf.DUMMYFUNCTION("""COMPUTED_VALUE"""),"BLACK")</f>
        <v>BLACK</v>
      </c>
      <c r="G1345" s="20" t="str">
        <f>IFERROR(__xludf.DUMMYFUNCTION("""COMPUTED_VALUE"""),"Tap 6 Clone (10/15/2021)")</f>
        <v>Tap 6 Clone (10/15/2021)</v>
      </c>
      <c r="H1345" s="19"/>
    </row>
    <row r="1346">
      <c r="A1346" s="9"/>
      <c r="B1346" s="15"/>
      <c r="C1346" s="9">
        <f>IFERROR(__xludf.DUMMYFUNCTION("""COMPUTED_VALUE"""),44497.6807411921)</f>
        <v>44497.68074</v>
      </c>
      <c r="D1346" s="15">
        <f>IFERROR(__xludf.DUMMYFUNCTION("""COMPUTED_VALUE"""),1.014)</f>
        <v>1.014</v>
      </c>
      <c r="E1346" s="16">
        <f>IFERROR(__xludf.DUMMYFUNCTION("""COMPUTED_VALUE"""),62.0)</f>
        <v>62</v>
      </c>
      <c r="F1346" s="19" t="str">
        <f>IFERROR(__xludf.DUMMYFUNCTION("""COMPUTED_VALUE"""),"BLACK")</f>
        <v>BLACK</v>
      </c>
      <c r="G1346" s="20" t="str">
        <f>IFERROR(__xludf.DUMMYFUNCTION("""COMPUTED_VALUE"""),"Tap 6 Clone (10/15/2021)")</f>
        <v>Tap 6 Clone (10/15/2021)</v>
      </c>
      <c r="H1346" s="19"/>
    </row>
    <row r="1347">
      <c r="A1347" s="9"/>
      <c r="B1347" s="15"/>
      <c r="C1347" s="9">
        <f>IFERROR(__xludf.DUMMYFUNCTION("""COMPUTED_VALUE"""),44497.6703215972)</f>
        <v>44497.67032</v>
      </c>
      <c r="D1347" s="15">
        <f>IFERROR(__xludf.DUMMYFUNCTION("""COMPUTED_VALUE"""),1.014)</f>
        <v>1.014</v>
      </c>
      <c r="E1347" s="16">
        <f>IFERROR(__xludf.DUMMYFUNCTION("""COMPUTED_VALUE"""),62.0)</f>
        <v>62</v>
      </c>
      <c r="F1347" s="19" t="str">
        <f>IFERROR(__xludf.DUMMYFUNCTION("""COMPUTED_VALUE"""),"BLACK")</f>
        <v>BLACK</v>
      </c>
      <c r="G1347" s="20" t="str">
        <f>IFERROR(__xludf.DUMMYFUNCTION("""COMPUTED_VALUE"""),"Tap 6 Clone (10/15/2021)")</f>
        <v>Tap 6 Clone (10/15/2021)</v>
      </c>
      <c r="H1347" s="19"/>
    </row>
    <row r="1348">
      <c r="A1348" s="9"/>
      <c r="B1348" s="15"/>
      <c r="C1348" s="9">
        <f>IFERROR(__xludf.DUMMYFUNCTION("""COMPUTED_VALUE"""),44497.6599010764)</f>
        <v>44497.6599</v>
      </c>
      <c r="D1348" s="15">
        <f>IFERROR(__xludf.DUMMYFUNCTION("""COMPUTED_VALUE"""),1.014)</f>
        <v>1.014</v>
      </c>
      <c r="E1348" s="16">
        <f>IFERROR(__xludf.DUMMYFUNCTION("""COMPUTED_VALUE"""),62.0)</f>
        <v>62</v>
      </c>
      <c r="F1348" s="19" t="str">
        <f>IFERROR(__xludf.DUMMYFUNCTION("""COMPUTED_VALUE"""),"BLACK")</f>
        <v>BLACK</v>
      </c>
      <c r="G1348" s="20" t="str">
        <f>IFERROR(__xludf.DUMMYFUNCTION("""COMPUTED_VALUE"""),"Tap 6 Clone (10/15/2021)")</f>
        <v>Tap 6 Clone (10/15/2021)</v>
      </c>
      <c r="H1348" s="19"/>
    </row>
    <row r="1349">
      <c r="A1349" s="9"/>
      <c r="B1349" s="15"/>
      <c r="C1349" s="9">
        <f>IFERROR(__xludf.DUMMYFUNCTION("""COMPUTED_VALUE"""),44497.6494797685)</f>
        <v>44497.64948</v>
      </c>
      <c r="D1349" s="15">
        <f>IFERROR(__xludf.DUMMYFUNCTION("""COMPUTED_VALUE"""),1.013)</f>
        <v>1.013</v>
      </c>
      <c r="E1349" s="16">
        <f>IFERROR(__xludf.DUMMYFUNCTION("""COMPUTED_VALUE"""),62.0)</f>
        <v>62</v>
      </c>
      <c r="F1349" s="19" t="str">
        <f>IFERROR(__xludf.DUMMYFUNCTION("""COMPUTED_VALUE"""),"BLACK")</f>
        <v>BLACK</v>
      </c>
      <c r="G1349" s="20" t="str">
        <f>IFERROR(__xludf.DUMMYFUNCTION("""COMPUTED_VALUE"""),"Tap 6 Clone (10/15/2021)")</f>
        <v>Tap 6 Clone (10/15/2021)</v>
      </c>
      <c r="H1349" s="19"/>
    </row>
    <row r="1350">
      <c r="A1350" s="9"/>
      <c r="B1350" s="15"/>
      <c r="C1350" s="9">
        <f>IFERROR(__xludf.DUMMYFUNCTION("""COMPUTED_VALUE"""),44497.6390595949)</f>
        <v>44497.63906</v>
      </c>
      <c r="D1350" s="15">
        <f>IFERROR(__xludf.DUMMYFUNCTION("""COMPUTED_VALUE"""),1.014)</f>
        <v>1.014</v>
      </c>
      <c r="E1350" s="16">
        <f>IFERROR(__xludf.DUMMYFUNCTION("""COMPUTED_VALUE"""),62.0)</f>
        <v>62</v>
      </c>
      <c r="F1350" s="19" t="str">
        <f>IFERROR(__xludf.DUMMYFUNCTION("""COMPUTED_VALUE"""),"BLACK")</f>
        <v>BLACK</v>
      </c>
      <c r="G1350" s="20" t="str">
        <f>IFERROR(__xludf.DUMMYFUNCTION("""COMPUTED_VALUE"""),"Tap 6 Clone (10/15/2021)")</f>
        <v>Tap 6 Clone (10/15/2021)</v>
      </c>
      <c r="H1350" s="19"/>
    </row>
    <row r="1351">
      <c r="A1351" s="9"/>
      <c r="B1351" s="15"/>
      <c r="C1351" s="9">
        <f>IFERROR(__xludf.DUMMYFUNCTION("""COMPUTED_VALUE"""),44497.6286382754)</f>
        <v>44497.62864</v>
      </c>
      <c r="D1351" s="15">
        <f>IFERROR(__xludf.DUMMYFUNCTION("""COMPUTED_VALUE"""),1.014)</f>
        <v>1.014</v>
      </c>
      <c r="E1351" s="16">
        <f>IFERROR(__xludf.DUMMYFUNCTION("""COMPUTED_VALUE"""),62.0)</f>
        <v>62</v>
      </c>
      <c r="F1351" s="19" t="str">
        <f>IFERROR(__xludf.DUMMYFUNCTION("""COMPUTED_VALUE"""),"BLACK")</f>
        <v>BLACK</v>
      </c>
      <c r="G1351" s="20" t="str">
        <f>IFERROR(__xludf.DUMMYFUNCTION("""COMPUTED_VALUE"""),"Tap 6 Clone (10/15/2021)")</f>
        <v>Tap 6 Clone (10/15/2021)</v>
      </c>
      <c r="H1351" s="19"/>
    </row>
    <row r="1352">
      <c r="A1352" s="9"/>
      <c r="B1352" s="15"/>
      <c r="C1352" s="9">
        <f>IFERROR(__xludf.DUMMYFUNCTION("""COMPUTED_VALUE"""),44497.6182059837)</f>
        <v>44497.61821</v>
      </c>
      <c r="D1352" s="15">
        <f>IFERROR(__xludf.DUMMYFUNCTION("""COMPUTED_VALUE"""),1.013)</f>
        <v>1.013</v>
      </c>
      <c r="E1352" s="16">
        <f>IFERROR(__xludf.DUMMYFUNCTION("""COMPUTED_VALUE"""),62.0)</f>
        <v>62</v>
      </c>
      <c r="F1352" s="19" t="str">
        <f>IFERROR(__xludf.DUMMYFUNCTION("""COMPUTED_VALUE"""),"BLACK")</f>
        <v>BLACK</v>
      </c>
      <c r="G1352" s="20" t="str">
        <f>IFERROR(__xludf.DUMMYFUNCTION("""COMPUTED_VALUE"""),"Tap 6 Clone (10/15/2021)")</f>
        <v>Tap 6 Clone (10/15/2021)</v>
      </c>
      <c r="H1352" s="19"/>
    </row>
    <row r="1353">
      <c r="A1353" s="9"/>
      <c r="B1353" s="15"/>
      <c r="C1353" s="9">
        <f>IFERROR(__xludf.DUMMYFUNCTION("""COMPUTED_VALUE"""),44497.6077837731)</f>
        <v>44497.60778</v>
      </c>
      <c r="D1353" s="15">
        <f>IFERROR(__xludf.DUMMYFUNCTION("""COMPUTED_VALUE"""),1.013)</f>
        <v>1.013</v>
      </c>
      <c r="E1353" s="16">
        <f>IFERROR(__xludf.DUMMYFUNCTION("""COMPUTED_VALUE"""),62.0)</f>
        <v>62</v>
      </c>
      <c r="F1353" s="19" t="str">
        <f>IFERROR(__xludf.DUMMYFUNCTION("""COMPUTED_VALUE"""),"BLACK")</f>
        <v>BLACK</v>
      </c>
      <c r="G1353" s="20" t="str">
        <f>IFERROR(__xludf.DUMMYFUNCTION("""COMPUTED_VALUE"""),"Tap 6 Clone (10/15/2021)")</f>
        <v>Tap 6 Clone (10/15/2021)</v>
      </c>
      <c r="H1353" s="19"/>
    </row>
    <row r="1354">
      <c r="A1354" s="9"/>
      <c r="B1354" s="15"/>
      <c r="C1354" s="9">
        <f>IFERROR(__xludf.DUMMYFUNCTION("""COMPUTED_VALUE"""),44497.5973630208)</f>
        <v>44497.59736</v>
      </c>
      <c r="D1354" s="15">
        <f>IFERROR(__xludf.DUMMYFUNCTION("""COMPUTED_VALUE"""),1.013)</f>
        <v>1.013</v>
      </c>
      <c r="E1354" s="16">
        <f>IFERROR(__xludf.DUMMYFUNCTION("""COMPUTED_VALUE"""),62.0)</f>
        <v>62</v>
      </c>
      <c r="F1354" s="19" t="str">
        <f>IFERROR(__xludf.DUMMYFUNCTION("""COMPUTED_VALUE"""),"BLACK")</f>
        <v>BLACK</v>
      </c>
      <c r="G1354" s="20" t="str">
        <f>IFERROR(__xludf.DUMMYFUNCTION("""COMPUTED_VALUE"""),"Tap 6 Clone (10/15/2021)")</f>
        <v>Tap 6 Clone (10/15/2021)</v>
      </c>
      <c r="H1354" s="19"/>
    </row>
    <row r="1355">
      <c r="A1355" s="9"/>
      <c r="B1355" s="15"/>
      <c r="C1355" s="9">
        <f>IFERROR(__xludf.DUMMYFUNCTION("""COMPUTED_VALUE"""),44497.5869410879)</f>
        <v>44497.58694</v>
      </c>
      <c r="D1355" s="15">
        <f>IFERROR(__xludf.DUMMYFUNCTION("""COMPUTED_VALUE"""),1.013)</f>
        <v>1.013</v>
      </c>
      <c r="E1355" s="16">
        <f>IFERROR(__xludf.DUMMYFUNCTION("""COMPUTED_VALUE"""),62.0)</f>
        <v>62</v>
      </c>
      <c r="F1355" s="19" t="str">
        <f>IFERROR(__xludf.DUMMYFUNCTION("""COMPUTED_VALUE"""),"BLACK")</f>
        <v>BLACK</v>
      </c>
      <c r="G1355" s="20" t="str">
        <f>IFERROR(__xludf.DUMMYFUNCTION("""COMPUTED_VALUE"""),"Tap 6 Clone (10/15/2021)")</f>
        <v>Tap 6 Clone (10/15/2021)</v>
      </c>
      <c r="H1355" s="19"/>
    </row>
    <row r="1356">
      <c r="A1356" s="9"/>
      <c r="B1356" s="15"/>
      <c r="C1356" s="9">
        <f>IFERROR(__xludf.DUMMYFUNCTION("""COMPUTED_VALUE"""),44497.5765195254)</f>
        <v>44497.57652</v>
      </c>
      <c r="D1356" s="15">
        <f>IFERROR(__xludf.DUMMYFUNCTION("""COMPUTED_VALUE"""),1.013)</f>
        <v>1.013</v>
      </c>
      <c r="E1356" s="16">
        <f>IFERROR(__xludf.DUMMYFUNCTION("""COMPUTED_VALUE"""),62.0)</f>
        <v>62</v>
      </c>
      <c r="F1356" s="19" t="str">
        <f>IFERROR(__xludf.DUMMYFUNCTION("""COMPUTED_VALUE"""),"BLACK")</f>
        <v>BLACK</v>
      </c>
      <c r="G1356" s="20" t="str">
        <f>IFERROR(__xludf.DUMMYFUNCTION("""COMPUTED_VALUE"""),"Tap 6 Clone (10/15/2021)")</f>
        <v>Tap 6 Clone (10/15/2021)</v>
      </c>
      <c r="H1356" s="19"/>
    </row>
    <row r="1357">
      <c r="A1357" s="9"/>
      <c r="B1357" s="15"/>
      <c r="C1357" s="9">
        <f>IFERROR(__xludf.DUMMYFUNCTION("""COMPUTED_VALUE"""),44497.5660982638)</f>
        <v>44497.5661</v>
      </c>
      <c r="D1357" s="15">
        <f>IFERROR(__xludf.DUMMYFUNCTION("""COMPUTED_VALUE"""),1.013)</f>
        <v>1.013</v>
      </c>
      <c r="E1357" s="16">
        <f>IFERROR(__xludf.DUMMYFUNCTION("""COMPUTED_VALUE"""),63.0)</f>
        <v>63</v>
      </c>
      <c r="F1357" s="19" t="str">
        <f>IFERROR(__xludf.DUMMYFUNCTION("""COMPUTED_VALUE"""),"BLACK")</f>
        <v>BLACK</v>
      </c>
      <c r="G1357" s="20" t="str">
        <f>IFERROR(__xludf.DUMMYFUNCTION("""COMPUTED_VALUE"""),"Tap 6 Clone (10/15/2021)")</f>
        <v>Tap 6 Clone (10/15/2021)</v>
      </c>
      <c r="H1357" s="19"/>
    </row>
    <row r="1358">
      <c r="A1358" s="9"/>
      <c r="B1358" s="15"/>
      <c r="C1358" s="9">
        <f>IFERROR(__xludf.DUMMYFUNCTION("""COMPUTED_VALUE"""),44497.5556769907)</f>
        <v>44497.55568</v>
      </c>
      <c r="D1358" s="15">
        <f>IFERROR(__xludf.DUMMYFUNCTION("""COMPUTED_VALUE"""),1.013)</f>
        <v>1.013</v>
      </c>
      <c r="E1358" s="16">
        <f>IFERROR(__xludf.DUMMYFUNCTION("""COMPUTED_VALUE"""),64.0)</f>
        <v>64</v>
      </c>
      <c r="F1358" s="19" t="str">
        <f>IFERROR(__xludf.DUMMYFUNCTION("""COMPUTED_VALUE"""),"BLACK")</f>
        <v>BLACK</v>
      </c>
      <c r="G1358" s="20" t="str">
        <f>IFERROR(__xludf.DUMMYFUNCTION("""COMPUTED_VALUE"""),"Tap 6 Clone (10/15/2021)")</f>
        <v>Tap 6 Clone (10/15/2021)</v>
      </c>
      <c r="H1358" s="19"/>
    </row>
    <row r="1359">
      <c r="A1359" s="9"/>
      <c r="B1359" s="15"/>
      <c r="C1359" s="9">
        <f>IFERROR(__xludf.DUMMYFUNCTION("""COMPUTED_VALUE"""),44497.5452558564)</f>
        <v>44497.54526</v>
      </c>
      <c r="D1359" s="15">
        <f>IFERROR(__xludf.DUMMYFUNCTION("""COMPUTED_VALUE"""),1.013)</f>
        <v>1.013</v>
      </c>
      <c r="E1359" s="16">
        <f>IFERROR(__xludf.DUMMYFUNCTION("""COMPUTED_VALUE"""),65.0)</f>
        <v>65</v>
      </c>
      <c r="F1359" s="19" t="str">
        <f>IFERROR(__xludf.DUMMYFUNCTION("""COMPUTED_VALUE"""),"BLACK")</f>
        <v>BLACK</v>
      </c>
      <c r="G1359" s="20" t="str">
        <f>IFERROR(__xludf.DUMMYFUNCTION("""COMPUTED_VALUE"""),"Tap 6 Clone (10/15/2021)")</f>
        <v>Tap 6 Clone (10/15/2021)</v>
      </c>
      <c r="H1359" s="19"/>
    </row>
    <row r="1360">
      <c r="A1360" s="9"/>
      <c r="B1360" s="15"/>
      <c r="C1360" s="9">
        <f>IFERROR(__xludf.DUMMYFUNCTION("""COMPUTED_VALUE"""),44497.5348344675)</f>
        <v>44497.53483</v>
      </c>
      <c r="D1360" s="15">
        <f>IFERROR(__xludf.DUMMYFUNCTION("""COMPUTED_VALUE"""),1.013)</f>
        <v>1.013</v>
      </c>
      <c r="E1360" s="16">
        <f>IFERROR(__xludf.DUMMYFUNCTION("""COMPUTED_VALUE"""),65.0)</f>
        <v>65</v>
      </c>
      <c r="F1360" s="19" t="str">
        <f>IFERROR(__xludf.DUMMYFUNCTION("""COMPUTED_VALUE"""),"BLACK")</f>
        <v>BLACK</v>
      </c>
      <c r="G1360" s="20" t="str">
        <f>IFERROR(__xludf.DUMMYFUNCTION("""COMPUTED_VALUE"""),"Tap 6 Clone (10/15/2021)")</f>
        <v>Tap 6 Clone (10/15/2021)</v>
      </c>
      <c r="H1360" s="19"/>
    </row>
    <row r="1361">
      <c r="A1361" s="9"/>
      <c r="B1361" s="15"/>
      <c r="C1361" s="9">
        <f>IFERROR(__xludf.DUMMYFUNCTION("""COMPUTED_VALUE"""),44497.5244128009)</f>
        <v>44497.52441</v>
      </c>
      <c r="D1361" s="15">
        <f>IFERROR(__xludf.DUMMYFUNCTION("""COMPUTED_VALUE"""),1.013)</f>
        <v>1.013</v>
      </c>
      <c r="E1361" s="16">
        <f>IFERROR(__xludf.DUMMYFUNCTION("""COMPUTED_VALUE"""),66.0)</f>
        <v>66</v>
      </c>
      <c r="F1361" s="19" t="str">
        <f>IFERROR(__xludf.DUMMYFUNCTION("""COMPUTED_VALUE"""),"BLACK")</f>
        <v>BLACK</v>
      </c>
      <c r="G1361" s="20" t="str">
        <f>IFERROR(__xludf.DUMMYFUNCTION("""COMPUTED_VALUE"""),"Tap 6 Clone (10/15/2021)")</f>
        <v>Tap 6 Clone (10/15/2021)</v>
      </c>
      <c r="H1361" s="19"/>
    </row>
    <row r="1362">
      <c r="A1362" s="9"/>
      <c r="B1362" s="15"/>
      <c r="C1362" s="9">
        <f>IFERROR(__xludf.DUMMYFUNCTION("""COMPUTED_VALUE"""),44497.5139909027)</f>
        <v>44497.51399</v>
      </c>
      <c r="D1362" s="15">
        <f>IFERROR(__xludf.DUMMYFUNCTION("""COMPUTED_VALUE"""),1.013)</f>
        <v>1.013</v>
      </c>
      <c r="E1362" s="16">
        <f>IFERROR(__xludf.DUMMYFUNCTION("""COMPUTED_VALUE"""),66.0)</f>
        <v>66</v>
      </c>
      <c r="F1362" s="19" t="str">
        <f>IFERROR(__xludf.DUMMYFUNCTION("""COMPUTED_VALUE"""),"BLACK")</f>
        <v>BLACK</v>
      </c>
      <c r="G1362" s="20" t="str">
        <f>IFERROR(__xludf.DUMMYFUNCTION("""COMPUTED_VALUE"""),"Tap 6 Clone (10/15/2021)")</f>
        <v>Tap 6 Clone (10/15/2021)</v>
      </c>
      <c r="H1362" s="19"/>
    </row>
    <row r="1363">
      <c r="A1363" s="9"/>
      <c r="B1363" s="15"/>
      <c r="C1363" s="9">
        <f>IFERROR(__xludf.DUMMYFUNCTION("""COMPUTED_VALUE"""),44497.5035576851)</f>
        <v>44497.50356</v>
      </c>
      <c r="D1363" s="15">
        <f>IFERROR(__xludf.DUMMYFUNCTION("""COMPUTED_VALUE"""),1.013)</f>
        <v>1.013</v>
      </c>
      <c r="E1363" s="16">
        <f>IFERROR(__xludf.DUMMYFUNCTION("""COMPUTED_VALUE"""),66.0)</f>
        <v>66</v>
      </c>
      <c r="F1363" s="19" t="str">
        <f>IFERROR(__xludf.DUMMYFUNCTION("""COMPUTED_VALUE"""),"BLACK")</f>
        <v>BLACK</v>
      </c>
      <c r="G1363" s="20" t="str">
        <f>IFERROR(__xludf.DUMMYFUNCTION("""COMPUTED_VALUE"""),"Tap 6 Clone (10/15/2021)")</f>
        <v>Tap 6 Clone (10/15/2021)</v>
      </c>
      <c r="H1363" s="19"/>
    </row>
    <row r="1364">
      <c r="A1364" s="9"/>
      <c r="B1364" s="15"/>
      <c r="C1364" s="9">
        <f>IFERROR(__xludf.DUMMYFUNCTION("""COMPUTED_VALUE"""),44497.4931364351)</f>
        <v>44497.49314</v>
      </c>
      <c r="D1364" s="15">
        <f>IFERROR(__xludf.DUMMYFUNCTION("""COMPUTED_VALUE"""),1.013)</f>
        <v>1.013</v>
      </c>
      <c r="E1364" s="16">
        <f>IFERROR(__xludf.DUMMYFUNCTION("""COMPUTED_VALUE"""),66.0)</f>
        <v>66</v>
      </c>
      <c r="F1364" s="19" t="str">
        <f>IFERROR(__xludf.DUMMYFUNCTION("""COMPUTED_VALUE"""),"BLACK")</f>
        <v>BLACK</v>
      </c>
      <c r="G1364" s="20" t="str">
        <f>IFERROR(__xludf.DUMMYFUNCTION("""COMPUTED_VALUE"""),"Tap 6 Clone (10/15/2021)")</f>
        <v>Tap 6 Clone (10/15/2021)</v>
      </c>
      <c r="H1364" s="19"/>
    </row>
    <row r="1365">
      <c r="A1365" s="9"/>
      <c r="B1365" s="15"/>
      <c r="C1365" s="9">
        <f>IFERROR(__xludf.DUMMYFUNCTION("""COMPUTED_VALUE"""),44497.4827152777)</f>
        <v>44497.48272</v>
      </c>
      <c r="D1365" s="15">
        <f>IFERROR(__xludf.DUMMYFUNCTION("""COMPUTED_VALUE"""),1.014)</f>
        <v>1.014</v>
      </c>
      <c r="E1365" s="16">
        <f>IFERROR(__xludf.DUMMYFUNCTION("""COMPUTED_VALUE"""),66.0)</f>
        <v>66</v>
      </c>
      <c r="F1365" s="19" t="str">
        <f>IFERROR(__xludf.DUMMYFUNCTION("""COMPUTED_VALUE"""),"BLACK")</f>
        <v>BLACK</v>
      </c>
      <c r="G1365" s="20" t="str">
        <f>IFERROR(__xludf.DUMMYFUNCTION("""COMPUTED_VALUE"""),"Tap 6 Clone (10/15/2021)")</f>
        <v>Tap 6 Clone (10/15/2021)</v>
      </c>
      <c r="H1365" s="19"/>
    </row>
    <row r="1366">
      <c r="A1366" s="9"/>
      <c r="B1366" s="15"/>
      <c r="C1366" s="9">
        <f>IFERROR(__xludf.DUMMYFUNCTION("""COMPUTED_VALUE"""),44497.4722828009)</f>
        <v>44497.47228</v>
      </c>
      <c r="D1366" s="15">
        <f>IFERROR(__xludf.DUMMYFUNCTION("""COMPUTED_VALUE"""),1.015)</f>
        <v>1.015</v>
      </c>
      <c r="E1366" s="16">
        <f>IFERROR(__xludf.DUMMYFUNCTION("""COMPUTED_VALUE"""),66.0)</f>
        <v>66</v>
      </c>
      <c r="F1366" s="19" t="str">
        <f>IFERROR(__xludf.DUMMYFUNCTION("""COMPUTED_VALUE"""),"BLACK")</f>
        <v>BLACK</v>
      </c>
      <c r="G1366" s="20" t="str">
        <f>IFERROR(__xludf.DUMMYFUNCTION("""COMPUTED_VALUE"""),"Tap 6 Clone (10/15/2021)")</f>
        <v>Tap 6 Clone (10/15/2021)</v>
      </c>
      <c r="H1366" s="19"/>
    </row>
    <row r="1367">
      <c r="A1367" s="9"/>
      <c r="B1367" s="15"/>
      <c r="C1367" s="9">
        <f>IFERROR(__xludf.DUMMYFUNCTION("""COMPUTED_VALUE"""),44497.4618621064)</f>
        <v>44497.46186</v>
      </c>
      <c r="D1367" s="15">
        <f>IFERROR(__xludf.DUMMYFUNCTION("""COMPUTED_VALUE"""),1.015)</f>
        <v>1.015</v>
      </c>
      <c r="E1367" s="16">
        <f>IFERROR(__xludf.DUMMYFUNCTION("""COMPUTED_VALUE"""),66.0)</f>
        <v>66</v>
      </c>
      <c r="F1367" s="19" t="str">
        <f>IFERROR(__xludf.DUMMYFUNCTION("""COMPUTED_VALUE"""),"BLACK")</f>
        <v>BLACK</v>
      </c>
      <c r="G1367" s="20" t="str">
        <f>IFERROR(__xludf.DUMMYFUNCTION("""COMPUTED_VALUE"""),"Tap 6 Clone (10/15/2021)")</f>
        <v>Tap 6 Clone (10/15/2021)</v>
      </c>
      <c r="H1367" s="19"/>
    </row>
    <row r="1368">
      <c r="A1368" s="9"/>
      <c r="B1368" s="15"/>
      <c r="C1368" s="9">
        <f>IFERROR(__xludf.DUMMYFUNCTION("""COMPUTED_VALUE"""),44497.4514418865)</f>
        <v>44497.45144</v>
      </c>
      <c r="D1368" s="15">
        <f>IFERROR(__xludf.DUMMYFUNCTION("""COMPUTED_VALUE"""),1.016)</f>
        <v>1.016</v>
      </c>
      <c r="E1368" s="16">
        <f>IFERROR(__xludf.DUMMYFUNCTION("""COMPUTED_VALUE"""),66.0)</f>
        <v>66</v>
      </c>
      <c r="F1368" s="19" t="str">
        <f>IFERROR(__xludf.DUMMYFUNCTION("""COMPUTED_VALUE"""),"BLACK")</f>
        <v>BLACK</v>
      </c>
      <c r="G1368" s="20" t="str">
        <f>IFERROR(__xludf.DUMMYFUNCTION("""COMPUTED_VALUE"""),"Tap 6 Clone (10/15/2021)")</f>
        <v>Tap 6 Clone (10/15/2021)</v>
      </c>
      <c r="H1368" s="19"/>
    </row>
    <row r="1369">
      <c r="A1369" s="9"/>
      <c r="B1369" s="15"/>
      <c r="C1369" s="9">
        <f>IFERROR(__xludf.DUMMYFUNCTION("""COMPUTED_VALUE"""),44497.4409973958)</f>
        <v>44497.441</v>
      </c>
      <c r="D1369" s="15">
        <f>IFERROR(__xludf.DUMMYFUNCTION("""COMPUTED_VALUE"""),1.017)</f>
        <v>1.017</v>
      </c>
      <c r="E1369" s="16">
        <f>IFERROR(__xludf.DUMMYFUNCTION("""COMPUTED_VALUE"""),66.0)</f>
        <v>66</v>
      </c>
      <c r="F1369" s="19" t="str">
        <f>IFERROR(__xludf.DUMMYFUNCTION("""COMPUTED_VALUE"""),"BLACK")</f>
        <v>BLACK</v>
      </c>
      <c r="G1369" s="20" t="str">
        <f>IFERROR(__xludf.DUMMYFUNCTION("""COMPUTED_VALUE"""),"Tap 6 Clone (10/15/2021)")</f>
        <v>Tap 6 Clone (10/15/2021)</v>
      </c>
      <c r="H1369" s="19"/>
    </row>
    <row r="1370">
      <c r="A1370" s="9"/>
      <c r="B1370" s="15"/>
      <c r="C1370" s="9">
        <f>IFERROR(__xludf.DUMMYFUNCTION("""COMPUTED_VALUE"""),44497.4305629282)</f>
        <v>44497.43056</v>
      </c>
      <c r="D1370" s="15">
        <f>IFERROR(__xludf.DUMMYFUNCTION("""COMPUTED_VALUE"""),1.016)</f>
        <v>1.016</v>
      </c>
      <c r="E1370" s="16">
        <f>IFERROR(__xludf.DUMMYFUNCTION("""COMPUTED_VALUE"""),66.0)</f>
        <v>66</v>
      </c>
      <c r="F1370" s="19" t="str">
        <f>IFERROR(__xludf.DUMMYFUNCTION("""COMPUTED_VALUE"""),"BLACK")</f>
        <v>BLACK</v>
      </c>
      <c r="G1370" s="20" t="str">
        <f>IFERROR(__xludf.DUMMYFUNCTION("""COMPUTED_VALUE"""),"Tap 6 Clone (10/15/2021)")</f>
        <v>Tap 6 Clone (10/15/2021)</v>
      </c>
      <c r="H1370" s="19"/>
    </row>
    <row r="1371">
      <c r="A1371" s="9"/>
      <c r="B1371" s="15"/>
      <c r="C1371" s="9">
        <f>IFERROR(__xludf.DUMMYFUNCTION("""COMPUTED_VALUE"""),44497.4201417129)</f>
        <v>44497.42014</v>
      </c>
      <c r="D1371" s="15">
        <f>IFERROR(__xludf.DUMMYFUNCTION("""COMPUTED_VALUE"""),1.016)</f>
        <v>1.016</v>
      </c>
      <c r="E1371" s="16">
        <f>IFERROR(__xludf.DUMMYFUNCTION("""COMPUTED_VALUE"""),66.0)</f>
        <v>66</v>
      </c>
      <c r="F1371" s="19" t="str">
        <f>IFERROR(__xludf.DUMMYFUNCTION("""COMPUTED_VALUE"""),"BLACK")</f>
        <v>BLACK</v>
      </c>
      <c r="G1371" s="20" t="str">
        <f>IFERROR(__xludf.DUMMYFUNCTION("""COMPUTED_VALUE"""),"Tap 6 Clone (10/15/2021)")</f>
        <v>Tap 6 Clone (10/15/2021)</v>
      </c>
      <c r="H1371" s="19"/>
    </row>
    <row r="1372">
      <c r="A1372" s="9"/>
      <c r="B1372" s="15"/>
      <c r="C1372" s="9">
        <f>IFERROR(__xludf.DUMMYFUNCTION("""COMPUTED_VALUE"""),44497.4097192361)</f>
        <v>44497.40972</v>
      </c>
      <c r="D1372" s="15">
        <f>IFERROR(__xludf.DUMMYFUNCTION("""COMPUTED_VALUE"""),1.016)</f>
        <v>1.016</v>
      </c>
      <c r="E1372" s="16">
        <f>IFERROR(__xludf.DUMMYFUNCTION("""COMPUTED_VALUE"""),66.0)</f>
        <v>66</v>
      </c>
      <c r="F1372" s="19" t="str">
        <f>IFERROR(__xludf.DUMMYFUNCTION("""COMPUTED_VALUE"""),"BLACK")</f>
        <v>BLACK</v>
      </c>
      <c r="G1372" s="20" t="str">
        <f>IFERROR(__xludf.DUMMYFUNCTION("""COMPUTED_VALUE"""),"Tap 6 Clone (10/15/2021)")</f>
        <v>Tap 6 Clone (10/15/2021)</v>
      </c>
      <c r="H1372" s="19"/>
    </row>
    <row r="1373">
      <c r="A1373" s="9"/>
      <c r="B1373" s="15"/>
      <c r="C1373" s="9">
        <f>IFERROR(__xludf.DUMMYFUNCTION("""COMPUTED_VALUE"""),44497.3992978703)</f>
        <v>44497.3993</v>
      </c>
      <c r="D1373" s="15">
        <f>IFERROR(__xludf.DUMMYFUNCTION("""COMPUTED_VALUE"""),1.016)</f>
        <v>1.016</v>
      </c>
      <c r="E1373" s="16">
        <f>IFERROR(__xludf.DUMMYFUNCTION("""COMPUTED_VALUE"""),66.0)</f>
        <v>66</v>
      </c>
      <c r="F1373" s="19" t="str">
        <f>IFERROR(__xludf.DUMMYFUNCTION("""COMPUTED_VALUE"""),"BLACK")</f>
        <v>BLACK</v>
      </c>
      <c r="G1373" s="20" t="str">
        <f>IFERROR(__xludf.DUMMYFUNCTION("""COMPUTED_VALUE"""),"Tap 6 Clone (10/15/2021)")</f>
        <v>Tap 6 Clone (10/15/2021)</v>
      </c>
      <c r="H1373" s="19"/>
    </row>
    <row r="1374">
      <c r="A1374" s="9"/>
      <c r="B1374" s="15"/>
      <c r="C1374" s="9">
        <f>IFERROR(__xludf.DUMMYFUNCTION("""COMPUTED_VALUE"""),44497.3888771875)</f>
        <v>44497.38888</v>
      </c>
      <c r="D1374" s="15">
        <f>IFERROR(__xludf.DUMMYFUNCTION("""COMPUTED_VALUE"""),1.016)</f>
        <v>1.016</v>
      </c>
      <c r="E1374" s="16">
        <f>IFERROR(__xludf.DUMMYFUNCTION("""COMPUTED_VALUE"""),66.0)</f>
        <v>66</v>
      </c>
      <c r="F1374" s="19" t="str">
        <f>IFERROR(__xludf.DUMMYFUNCTION("""COMPUTED_VALUE"""),"BLACK")</f>
        <v>BLACK</v>
      </c>
      <c r="G1374" s="20" t="str">
        <f>IFERROR(__xludf.DUMMYFUNCTION("""COMPUTED_VALUE"""),"Tap 6 Clone (10/15/2021)")</f>
        <v>Tap 6 Clone (10/15/2021)</v>
      </c>
      <c r="H1374" s="19"/>
    </row>
    <row r="1375">
      <c r="A1375" s="9"/>
      <c r="B1375" s="15"/>
      <c r="C1375" s="9">
        <f>IFERROR(__xludf.DUMMYFUNCTION("""COMPUTED_VALUE"""),44497.3784549652)</f>
        <v>44497.37845</v>
      </c>
      <c r="D1375" s="15">
        <f>IFERROR(__xludf.DUMMYFUNCTION("""COMPUTED_VALUE"""),1.015)</f>
        <v>1.015</v>
      </c>
      <c r="E1375" s="16">
        <f>IFERROR(__xludf.DUMMYFUNCTION("""COMPUTED_VALUE"""),66.0)</f>
        <v>66</v>
      </c>
      <c r="F1375" s="19" t="str">
        <f>IFERROR(__xludf.DUMMYFUNCTION("""COMPUTED_VALUE"""),"BLACK")</f>
        <v>BLACK</v>
      </c>
      <c r="G1375" s="20" t="str">
        <f>IFERROR(__xludf.DUMMYFUNCTION("""COMPUTED_VALUE"""),"Tap 6 Clone (10/15/2021)")</f>
        <v>Tap 6 Clone (10/15/2021)</v>
      </c>
      <c r="H1375" s="19"/>
    </row>
    <row r="1376">
      <c r="A1376" s="9"/>
      <c r="B1376" s="15"/>
      <c r="C1376" s="9">
        <f>IFERROR(__xludf.DUMMYFUNCTION("""COMPUTED_VALUE"""),44497.3680326504)</f>
        <v>44497.36803</v>
      </c>
      <c r="D1376" s="15">
        <f>IFERROR(__xludf.DUMMYFUNCTION("""COMPUTED_VALUE"""),1.015)</f>
        <v>1.015</v>
      </c>
      <c r="E1376" s="16">
        <f>IFERROR(__xludf.DUMMYFUNCTION("""COMPUTED_VALUE"""),66.0)</f>
        <v>66</v>
      </c>
      <c r="F1376" s="19" t="str">
        <f>IFERROR(__xludf.DUMMYFUNCTION("""COMPUTED_VALUE"""),"BLACK")</f>
        <v>BLACK</v>
      </c>
      <c r="G1376" s="20" t="str">
        <f>IFERROR(__xludf.DUMMYFUNCTION("""COMPUTED_VALUE"""),"Tap 6 Clone (10/15/2021)")</f>
        <v>Tap 6 Clone (10/15/2021)</v>
      </c>
      <c r="H1376" s="19"/>
    </row>
    <row r="1377">
      <c r="A1377" s="9"/>
      <c r="B1377" s="15"/>
      <c r="C1377" s="9">
        <f>IFERROR(__xludf.DUMMYFUNCTION("""COMPUTED_VALUE"""),44497.3575883796)</f>
        <v>44497.35759</v>
      </c>
      <c r="D1377" s="15">
        <f>IFERROR(__xludf.DUMMYFUNCTION("""COMPUTED_VALUE"""),1.015)</f>
        <v>1.015</v>
      </c>
      <c r="E1377" s="16">
        <f>IFERROR(__xludf.DUMMYFUNCTION("""COMPUTED_VALUE"""),66.0)</f>
        <v>66</v>
      </c>
      <c r="F1377" s="19" t="str">
        <f>IFERROR(__xludf.DUMMYFUNCTION("""COMPUTED_VALUE"""),"BLACK")</f>
        <v>BLACK</v>
      </c>
      <c r="G1377" s="20" t="str">
        <f>IFERROR(__xludf.DUMMYFUNCTION("""COMPUTED_VALUE"""),"Tap 6 Clone (10/15/2021)")</f>
        <v>Tap 6 Clone (10/15/2021)</v>
      </c>
      <c r="H1377" s="19"/>
    </row>
    <row r="1378">
      <c r="A1378" s="9"/>
      <c r="B1378" s="15"/>
      <c r="C1378" s="9">
        <f>IFERROR(__xludf.DUMMYFUNCTION("""COMPUTED_VALUE"""),44497.3471665972)</f>
        <v>44497.34717</v>
      </c>
      <c r="D1378" s="15">
        <f>IFERROR(__xludf.DUMMYFUNCTION("""COMPUTED_VALUE"""),1.015)</f>
        <v>1.015</v>
      </c>
      <c r="E1378" s="16">
        <f>IFERROR(__xludf.DUMMYFUNCTION("""COMPUTED_VALUE"""),66.0)</f>
        <v>66</v>
      </c>
      <c r="F1378" s="19" t="str">
        <f>IFERROR(__xludf.DUMMYFUNCTION("""COMPUTED_VALUE"""),"BLACK")</f>
        <v>BLACK</v>
      </c>
      <c r="G1378" s="20" t="str">
        <f>IFERROR(__xludf.DUMMYFUNCTION("""COMPUTED_VALUE"""),"Tap 6 Clone (10/15/2021)")</f>
        <v>Tap 6 Clone (10/15/2021)</v>
      </c>
      <c r="H1378" s="19"/>
    </row>
    <row r="1379">
      <c r="A1379" s="9"/>
      <c r="B1379" s="15"/>
      <c r="C1379" s="9">
        <f>IFERROR(__xludf.DUMMYFUNCTION("""COMPUTED_VALUE"""),44497.3367458217)</f>
        <v>44497.33675</v>
      </c>
      <c r="D1379" s="15">
        <f>IFERROR(__xludf.DUMMYFUNCTION("""COMPUTED_VALUE"""),1.015)</f>
        <v>1.015</v>
      </c>
      <c r="E1379" s="16">
        <f>IFERROR(__xludf.DUMMYFUNCTION("""COMPUTED_VALUE"""),66.0)</f>
        <v>66</v>
      </c>
      <c r="F1379" s="19" t="str">
        <f>IFERROR(__xludf.DUMMYFUNCTION("""COMPUTED_VALUE"""),"BLACK")</f>
        <v>BLACK</v>
      </c>
      <c r="G1379" s="20" t="str">
        <f>IFERROR(__xludf.DUMMYFUNCTION("""COMPUTED_VALUE"""),"Tap 6 Clone (10/15/2021)")</f>
        <v>Tap 6 Clone (10/15/2021)</v>
      </c>
      <c r="H1379" s="19"/>
    </row>
    <row r="1380">
      <c r="A1380" s="9"/>
      <c r="B1380" s="15"/>
      <c r="C1380" s="9">
        <f>IFERROR(__xludf.DUMMYFUNCTION("""COMPUTED_VALUE"""),44497.3263257638)</f>
        <v>44497.32633</v>
      </c>
      <c r="D1380" s="15">
        <f>IFERROR(__xludf.DUMMYFUNCTION("""COMPUTED_VALUE"""),1.015)</f>
        <v>1.015</v>
      </c>
      <c r="E1380" s="16">
        <f>IFERROR(__xludf.DUMMYFUNCTION("""COMPUTED_VALUE"""),66.0)</f>
        <v>66</v>
      </c>
      <c r="F1380" s="19" t="str">
        <f>IFERROR(__xludf.DUMMYFUNCTION("""COMPUTED_VALUE"""),"BLACK")</f>
        <v>BLACK</v>
      </c>
      <c r="G1380" s="20" t="str">
        <f>IFERROR(__xludf.DUMMYFUNCTION("""COMPUTED_VALUE"""),"Tap 6 Clone (10/15/2021)")</f>
        <v>Tap 6 Clone (10/15/2021)</v>
      </c>
      <c r="H1380" s="19"/>
    </row>
    <row r="1381">
      <c r="A1381" s="9"/>
      <c r="B1381" s="15"/>
      <c r="C1381" s="9">
        <f>IFERROR(__xludf.DUMMYFUNCTION("""COMPUTED_VALUE"""),44497.3158921064)</f>
        <v>44497.31589</v>
      </c>
      <c r="D1381" s="15">
        <f>IFERROR(__xludf.DUMMYFUNCTION("""COMPUTED_VALUE"""),1.016)</f>
        <v>1.016</v>
      </c>
      <c r="E1381" s="16">
        <f>IFERROR(__xludf.DUMMYFUNCTION("""COMPUTED_VALUE"""),66.0)</f>
        <v>66</v>
      </c>
      <c r="F1381" s="19" t="str">
        <f>IFERROR(__xludf.DUMMYFUNCTION("""COMPUTED_VALUE"""),"BLACK")</f>
        <v>BLACK</v>
      </c>
      <c r="G1381" s="20" t="str">
        <f>IFERROR(__xludf.DUMMYFUNCTION("""COMPUTED_VALUE"""),"Tap 6 Clone (10/15/2021)")</f>
        <v>Tap 6 Clone (10/15/2021)</v>
      </c>
      <c r="H1381" s="19"/>
    </row>
    <row r="1382">
      <c r="A1382" s="9"/>
      <c r="B1382" s="15"/>
      <c r="C1382" s="9">
        <f>IFERROR(__xludf.DUMMYFUNCTION("""COMPUTED_VALUE"""),44497.3054724537)</f>
        <v>44497.30547</v>
      </c>
      <c r="D1382" s="15">
        <f>IFERROR(__xludf.DUMMYFUNCTION("""COMPUTED_VALUE"""),1.015)</f>
        <v>1.015</v>
      </c>
      <c r="E1382" s="16">
        <f>IFERROR(__xludf.DUMMYFUNCTION("""COMPUTED_VALUE"""),66.0)</f>
        <v>66</v>
      </c>
      <c r="F1382" s="19" t="str">
        <f>IFERROR(__xludf.DUMMYFUNCTION("""COMPUTED_VALUE"""),"BLACK")</f>
        <v>BLACK</v>
      </c>
      <c r="G1382" s="20" t="str">
        <f>IFERROR(__xludf.DUMMYFUNCTION("""COMPUTED_VALUE"""),"Tap 6 Clone (10/15/2021)")</f>
        <v>Tap 6 Clone (10/15/2021)</v>
      </c>
      <c r="H1382" s="19"/>
    </row>
    <row r="1383">
      <c r="A1383" s="9"/>
      <c r="B1383" s="15"/>
      <c r="C1383" s="9">
        <f>IFERROR(__xludf.DUMMYFUNCTION("""COMPUTED_VALUE"""),44497.2950389236)</f>
        <v>44497.29504</v>
      </c>
      <c r="D1383" s="15">
        <f>IFERROR(__xludf.DUMMYFUNCTION("""COMPUTED_VALUE"""),1.015)</f>
        <v>1.015</v>
      </c>
      <c r="E1383" s="16">
        <f>IFERROR(__xludf.DUMMYFUNCTION("""COMPUTED_VALUE"""),66.0)</f>
        <v>66</v>
      </c>
      <c r="F1383" s="19" t="str">
        <f>IFERROR(__xludf.DUMMYFUNCTION("""COMPUTED_VALUE"""),"BLACK")</f>
        <v>BLACK</v>
      </c>
      <c r="G1383" s="20" t="str">
        <f>IFERROR(__xludf.DUMMYFUNCTION("""COMPUTED_VALUE"""),"Tap 6 Clone (10/15/2021)")</f>
        <v>Tap 6 Clone (10/15/2021)</v>
      </c>
      <c r="H1383" s="19"/>
    </row>
    <row r="1384">
      <c r="A1384" s="9"/>
      <c r="B1384" s="15"/>
      <c r="C1384" s="9">
        <f>IFERROR(__xludf.DUMMYFUNCTION("""COMPUTED_VALUE"""),44497.2846174189)</f>
        <v>44497.28462</v>
      </c>
      <c r="D1384" s="15">
        <f>IFERROR(__xludf.DUMMYFUNCTION("""COMPUTED_VALUE"""),1.015)</f>
        <v>1.015</v>
      </c>
      <c r="E1384" s="16">
        <f>IFERROR(__xludf.DUMMYFUNCTION("""COMPUTED_VALUE"""),66.0)</f>
        <v>66</v>
      </c>
      <c r="F1384" s="19" t="str">
        <f>IFERROR(__xludf.DUMMYFUNCTION("""COMPUTED_VALUE"""),"BLACK")</f>
        <v>BLACK</v>
      </c>
      <c r="G1384" s="20" t="str">
        <f>IFERROR(__xludf.DUMMYFUNCTION("""COMPUTED_VALUE"""),"Tap 6 Clone (10/15/2021)")</f>
        <v>Tap 6 Clone (10/15/2021)</v>
      </c>
      <c r="H1384" s="19"/>
    </row>
    <row r="1385">
      <c r="A1385" s="9"/>
      <c r="B1385" s="15"/>
      <c r="C1385" s="9">
        <f>IFERROR(__xludf.DUMMYFUNCTION("""COMPUTED_VALUE"""),44497.2741957638)</f>
        <v>44497.2742</v>
      </c>
      <c r="D1385" s="15">
        <f>IFERROR(__xludf.DUMMYFUNCTION("""COMPUTED_VALUE"""),1.014)</f>
        <v>1.014</v>
      </c>
      <c r="E1385" s="16">
        <f>IFERROR(__xludf.DUMMYFUNCTION("""COMPUTED_VALUE"""),66.0)</f>
        <v>66</v>
      </c>
      <c r="F1385" s="19" t="str">
        <f>IFERROR(__xludf.DUMMYFUNCTION("""COMPUTED_VALUE"""),"BLACK")</f>
        <v>BLACK</v>
      </c>
      <c r="G1385" s="20" t="str">
        <f>IFERROR(__xludf.DUMMYFUNCTION("""COMPUTED_VALUE"""),"Tap 6 Clone (10/15/2021)")</f>
        <v>Tap 6 Clone (10/15/2021)</v>
      </c>
      <c r="H1385" s="19"/>
    </row>
    <row r="1386">
      <c r="A1386" s="9"/>
      <c r="B1386" s="15"/>
      <c r="C1386" s="9">
        <f>IFERROR(__xludf.DUMMYFUNCTION("""COMPUTED_VALUE"""),44497.26377625)</f>
        <v>44497.26378</v>
      </c>
      <c r="D1386" s="15">
        <f>IFERROR(__xludf.DUMMYFUNCTION("""COMPUTED_VALUE"""),1.014)</f>
        <v>1.014</v>
      </c>
      <c r="E1386" s="16">
        <f>IFERROR(__xludf.DUMMYFUNCTION("""COMPUTED_VALUE"""),66.0)</f>
        <v>66</v>
      </c>
      <c r="F1386" s="19" t="str">
        <f>IFERROR(__xludf.DUMMYFUNCTION("""COMPUTED_VALUE"""),"BLACK")</f>
        <v>BLACK</v>
      </c>
      <c r="G1386" s="20" t="str">
        <f>IFERROR(__xludf.DUMMYFUNCTION("""COMPUTED_VALUE"""),"Tap 6 Clone (10/15/2021)")</f>
        <v>Tap 6 Clone (10/15/2021)</v>
      </c>
      <c r="H1386" s="19"/>
    </row>
    <row r="1387">
      <c r="A1387" s="9"/>
      <c r="B1387" s="15"/>
      <c r="C1387" s="9">
        <f>IFERROR(__xludf.DUMMYFUNCTION("""COMPUTED_VALUE"""),44497.2533549189)</f>
        <v>44497.25335</v>
      </c>
      <c r="D1387" s="15">
        <f>IFERROR(__xludf.DUMMYFUNCTION("""COMPUTED_VALUE"""),1.014)</f>
        <v>1.014</v>
      </c>
      <c r="E1387" s="16">
        <f>IFERROR(__xludf.DUMMYFUNCTION("""COMPUTED_VALUE"""),66.0)</f>
        <v>66</v>
      </c>
      <c r="F1387" s="19" t="str">
        <f>IFERROR(__xludf.DUMMYFUNCTION("""COMPUTED_VALUE"""),"BLACK")</f>
        <v>BLACK</v>
      </c>
      <c r="G1387" s="20" t="str">
        <f>IFERROR(__xludf.DUMMYFUNCTION("""COMPUTED_VALUE"""),"Tap 6 Clone (10/15/2021)")</f>
        <v>Tap 6 Clone (10/15/2021)</v>
      </c>
      <c r="H1387" s="19"/>
    </row>
    <row r="1388">
      <c r="A1388" s="9"/>
      <c r="B1388" s="15"/>
      <c r="C1388" s="9">
        <f>IFERROR(__xludf.DUMMYFUNCTION("""COMPUTED_VALUE"""),44497.2429330902)</f>
        <v>44497.24293</v>
      </c>
      <c r="D1388" s="15">
        <f>IFERROR(__xludf.DUMMYFUNCTION("""COMPUTED_VALUE"""),1.017)</f>
        <v>1.017</v>
      </c>
      <c r="E1388" s="16">
        <f>IFERROR(__xludf.DUMMYFUNCTION("""COMPUTED_VALUE"""),66.0)</f>
        <v>66</v>
      </c>
      <c r="F1388" s="19" t="str">
        <f>IFERROR(__xludf.DUMMYFUNCTION("""COMPUTED_VALUE"""),"BLACK")</f>
        <v>BLACK</v>
      </c>
      <c r="G1388" s="20" t="str">
        <f>IFERROR(__xludf.DUMMYFUNCTION("""COMPUTED_VALUE"""),"Tap 6 Clone (10/15/2021)")</f>
        <v>Tap 6 Clone (10/15/2021)</v>
      </c>
      <c r="H1388" s="19"/>
    </row>
    <row r="1389">
      <c r="A1389" s="9"/>
      <c r="B1389" s="15"/>
      <c r="C1389" s="9">
        <f>IFERROR(__xludf.DUMMYFUNCTION("""COMPUTED_VALUE"""),44497.2325126041)</f>
        <v>44497.23251</v>
      </c>
      <c r="D1389" s="15">
        <f>IFERROR(__xludf.DUMMYFUNCTION("""COMPUTED_VALUE"""),1.017)</f>
        <v>1.017</v>
      </c>
      <c r="E1389" s="16">
        <f>IFERROR(__xludf.DUMMYFUNCTION("""COMPUTED_VALUE"""),66.0)</f>
        <v>66</v>
      </c>
      <c r="F1389" s="19" t="str">
        <f>IFERROR(__xludf.DUMMYFUNCTION("""COMPUTED_VALUE"""),"BLACK")</f>
        <v>BLACK</v>
      </c>
      <c r="G1389" s="20" t="str">
        <f>IFERROR(__xludf.DUMMYFUNCTION("""COMPUTED_VALUE"""),"Tap 6 Clone (10/15/2021)")</f>
        <v>Tap 6 Clone (10/15/2021)</v>
      </c>
      <c r="H1389" s="19"/>
    </row>
    <row r="1390">
      <c r="A1390" s="9"/>
      <c r="B1390" s="15"/>
      <c r="C1390" s="9">
        <f>IFERROR(__xludf.DUMMYFUNCTION("""COMPUTED_VALUE"""),44497.2220794907)</f>
        <v>44497.22208</v>
      </c>
      <c r="D1390" s="15">
        <f>IFERROR(__xludf.DUMMYFUNCTION("""COMPUTED_VALUE"""),1.017)</f>
        <v>1.017</v>
      </c>
      <c r="E1390" s="16">
        <f>IFERROR(__xludf.DUMMYFUNCTION("""COMPUTED_VALUE"""),66.0)</f>
        <v>66</v>
      </c>
      <c r="F1390" s="19" t="str">
        <f>IFERROR(__xludf.DUMMYFUNCTION("""COMPUTED_VALUE"""),"BLACK")</f>
        <v>BLACK</v>
      </c>
      <c r="G1390" s="20" t="str">
        <f>IFERROR(__xludf.DUMMYFUNCTION("""COMPUTED_VALUE"""),"Tap 6 Clone (10/15/2021)")</f>
        <v>Tap 6 Clone (10/15/2021)</v>
      </c>
      <c r="H1390" s="19"/>
    </row>
    <row r="1391">
      <c r="A1391" s="9"/>
      <c r="B1391" s="15"/>
      <c r="C1391" s="9">
        <f>IFERROR(__xludf.DUMMYFUNCTION("""COMPUTED_VALUE"""),44497.2116580555)</f>
        <v>44497.21166</v>
      </c>
      <c r="D1391" s="15">
        <f>IFERROR(__xludf.DUMMYFUNCTION("""COMPUTED_VALUE"""),1.016)</f>
        <v>1.016</v>
      </c>
      <c r="E1391" s="16">
        <f>IFERROR(__xludf.DUMMYFUNCTION("""COMPUTED_VALUE"""),66.0)</f>
        <v>66</v>
      </c>
      <c r="F1391" s="19" t="str">
        <f>IFERROR(__xludf.DUMMYFUNCTION("""COMPUTED_VALUE"""),"BLACK")</f>
        <v>BLACK</v>
      </c>
      <c r="G1391" s="20" t="str">
        <f>IFERROR(__xludf.DUMMYFUNCTION("""COMPUTED_VALUE"""),"Tap 6 Clone (10/15/2021)")</f>
        <v>Tap 6 Clone (10/15/2021)</v>
      </c>
      <c r="H1391" s="19"/>
    </row>
    <row r="1392">
      <c r="A1392" s="9"/>
      <c r="B1392" s="15"/>
      <c r="C1392" s="9">
        <f>IFERROR(__xludf.DUMMYFUNCTION("""COMPUTED_VALUE"""),44497.2012376967)</f>
        <v>44497.20124</v>
      </c>
      <c r="D1392" s="15">
        <f>IFERROR(__xludf.DUMMYFUNCTION("""COMPUTED_VALUE"""),1.016)</f>
        <v>1.016</v>
      </c>
      <c r="E1392" s="16">
        <f>IFERROR(__xludf.DUMMYFUNCTION("""COMPUTED_VALUE"""),66.0)</f>
        <v>66</v>
      </c>
      <c r="F1392" s="19" t="str">
        <f>IFERROR(__xludf.DUMMYFUNCTION("""COMPUTED_VALUE"""),"BLACK")</f>
        <v>BLACK</v>
      </c>
      <c r="G1392" s="20" t="str">
        <f>IFERROR(__xludf.DUMMYFUNCTION("""COMPUTED_VALUE"""),"Tap 6 Clone (10/15/2021)")</f>
        <v>Tap 6 Clone (10/15/2021)</v>
      </c>
      <c r="H1392" s="19"/>
    </row>
    <row r="1393">
      <c r="A1393" s="9"/>
      <c r="B1393" s="15"/>
      <c r="C1393" s="9">
        <f>IFERROR(__xludf.DUMMYFUNCTION("""COMPUTED_VALUE"""),44497.1908158217)</f>
        <v>44497.19082</v>
      </c>
      <c r="D1393" s="15">
        <f>IFERROR(__xludf.DUMMYFUNCTION("""COMPUTED_VALUE"""),1.016)</f>
        <v>1.016</v>
      </c>
      <c r="E1393" s="16">
        <f>IFERROR(__xludf.DUMMYFUNCTION("""COMPUTED_VALUE"""),66.0)</f>
        <v>66</v>
      </c>
      <c r="F1393" s="19" t="str">
        <f>IFERROR(__xludf.DUMMYFUNCTION("""COMPUTED_VALUE"""),"BLACK")</f>
        <v>BLACK</v>
      </c>
      <c r="G1393" s="20" t="str">
        <f>IFERROR(__xludf.DUMMYFUNCTION("""COMPUTED_VALUE"""),"Tap 6 Clone (10/15/2021)")</f>
        <v>Tap 6 Clone (10/15/2021)</v>
      </c>
      <c r="H1393" s="19"/>
    </row>
    <row r="1394">
      <c r="A1394" s="9"/>
      <c r="B1394" s="15"/>
      <c r="C1394" s="9">
        <f>IFERROR(__xludf.DUMMYFUNCTION("""COMPUTED_VALUE"""),44497.1803930208)</f>
        <v>44497.18039</v>
      </c>
      <c r="D1394" s="15">
        <f>IFERROR(__xludf.DUMMYFUNCTION("""COMPUTED_VALUE"""),1.017)</f>
        <v>1.017</v>
      </c>
      <c r="E1394" s="16">
        <f>IFERROR(__xludf.DUMMYFUNCTION("""COMPUTED_VALUE"""),66.0)</f>
        <v>66</v>
      </c>
      <c r="F1394" s="19" t="str">
        <f>IFERROR(__xludf.DUMMYFUNCTION("""COMPUTED_VALUE"""),"BLACK")</f>
        <v>BLACK</v>
      </c>
      <c r="G1394" s="20" t="str">
        <f>IFERROR(__xludf.DUMMYFUNCTION("""COMPUTED_VALUE"""),"Tap 6 Clone (10/15/2021)")</f>
        <v>Tap 6 Clone (10/15/2021)</v>
      </c>
      <c r="H1394" s="19"/>
    </row>
    <row r="1395">
      <c r="A1395" s="9"/>
      <c r="B1395" s="15"/>
      <c r="C1395" s="9">
        <f>IFERROR(__xludf.DUMMYFUNCTION("""COMPUTED_VALUE"""),44497.1699711111)</f>
        <v>44497.16997</v>
      </c>
      <c r="D1395" s="15">
        <f>IFERROR(__xludf.DUMMYFUNCTION("""COMPUTED_VALUE"""),1.016)</f>
        <v>1.016</v>
      </c>
      <c r="E1395" s="16">
        <f>IFERROR(__xludf.DUMMYFUNCTION("""COMPUTED_VALUE"""),66.0)</f>
        <v>66</v>
      </c>
      <c r="F1395" s="19" t="str">
        <f>IFERROR(__xludf.DUMMYFUNCTION("""COMPUTED_VALUE"""),"BLACK")</f>
        <v>BLACK</v>
      </c>
      <c r="G1395" s="20" t="str">
        <f>IFERROR(__xludf.DUMMYFUNCTION("""COMPUTED_VALUE"""),"Tap 6 Clone (10/15/2021)")</f>
        <v>Tap 6 Clone (10/15/2021)</v>
      </c>
      <c r="H1395" s="19"/>
    </row>
    <row r="1396">
      <c r="A1396" s="9"/>
      <c r="B1396" s="15"/>
      <c r="C1396" s="9">
        <f>IFERROR(__xludf.DUMMYFUNCTION("""COMPUTED_VALUE"""),44497.1595524074)</f>
        <v>44497.15955</v>
      </c>
      <c r="D1396" s="15">
        <f>IFERROR(__xludf.DUMMYFUNCTION("""COMPUTED_VALUE"""),1.015)</f>
        <v>1.015</v>
      </c>
      <c r="E1396" s="16">
        <f>IFERROR(__xludf.DUMMYFUNCTION("""COMPUTED_VALUE"""),66.0)</f>
        <v>66</v>
      </c>
      <c r="F1396" s="19" t="str">
        <f>IFERROR(__xludf.DUMMYFUNCTION("""COMPUTED_VALUE"""),"BLACK")</f>
        <v>BLACK</v>
      </c>
      <c r="G1396" s="20" t="str">
        <f>IFERROR(__xludf.DUMMYFUNCTION("""COMPUTED_VALUE"""),"Tap 6 Clone (10/15/2021)")</f>
        <v>Tap 6 Clone (10/15/2021)</v>
      </c>
      <c r="H1396" s="19"/>
    </row>
    <row r="1397">
      <c r="A1397" s="9"/>
      <c r="B1397" s="15"/>
      <c r="C1397" s="9">
        <f>IFERROR(__xludf.DUMMYFUNCTION("""COMPUTED_VALUE"""),44497.1491319213)</f>
        <v>44497.14913</v>
      </c>
      <c r="D1397" s="15">
        <f>IFERROR(__xludf.DUMMYFUNCTION("""COMPUTED_VALUE"""),1.015)</f>
        <v>1.015</v>
      </c>
      <c r="E1397" s="16">
        <f>IFERROR(__xludf.DUMMYFUNCTION("""COMPUTED_VALUE"""),66.0)</f>
        <v>66</v>
      </c>
      <c r="F1397" s="19" t="str">
        <f>IFERROR(__xludf.DUMMYFUNCTION("""COMPUTED_VALUE"""),"BLACK")</f>
        <v>BLACK</v>
      </c>
      <c r="G1397" s="20" t="str">
        <f>IFERROR(__xludf.DUMMYFUNCTION("""COMPUTED_VALUE"""),"Tap 6 Clone (10/15/2021)")</f>
        <v>Tap 6 Clone (10/15/2021)</v>
      </c>
      <c r="H1397" s="19"/>
    </row>
    <row r="1398">
      <c r="A1398" s="9"/>
      <c r="B1398" s="15"/>
      <c r="C1398" s="9">
        <f>IFERROR(__xludf.DUMMYFUNCTION("""COMPUTED_VALUE"""),44497.1387108564)</f>
        <v>44497.13871</v>
      </c>
      <c r="D1398" s="15">
        <f>IFERROR(__xludf.DUMMYFUNCTION("""COMPUTED_VALUE"""),1.015)</f>
        <v>1.015</v>
      </c>
      <c r="E1398" s="16">
        <f>IFERROR(__xludf.DUMMYFUNCTION("""COMPUTED_VALUE"""),66.0)</f>
        <v>66</v>
      </c>
      <c r="F1398" s="19" t="str">
        <f>IFERROR(__xludf.DUMMYFUNCTION("""COMPUTED_VALUE"""),"BLACK")</f>
        <v>BLACK</v>
      </c>
      <c r="G1398" s="20" t="str">
        <f>IFERROR(__xludf.DUMMYFUNCTION("""COMPUTED_VALUE"""),"Tap 6 Clone (10/15/2021)")</f>
        <v>Tap 6 Clone (10/15/2021)</v>
      </c>
      <c r="H1398" s="19"/>
    </row>
    <row r="1399">
      <c r="A1399" s="9"/>
      <c r="B1399" s="15"/>
      <c r="C1399" s="9">
        <f>IFERROR(__xludf.DUMMYFUNCTION("""COMPUTED_VALUE"""),44497.1282776967)</f>
        <v>44497.12828</v>
      </c>
      <c r="D1399" s="15">
        <f>IFERROR(__xludf.DUMMYFUNCTION("""COMPUTED_VALUE"""),1.016)</f>
        <v>1.016</v>
      </c>
      <c r="E1399" s="16">
        <f>IFERROR(__xludf.DUMMYFUNCTION("""COMPUTED_VALUE"""),66.0)</f>
        <v>66</v>
      </c>
      <c r="F1399" s="19" t="str">
        <f>IFERROR(__xludf.DUMMYFUNCTION("""COMPUTED_VALUE"""),"BLACK")</f>
        <v>BLACK</v>
      </c>
      <c r="G1399" s="20" t="str">
        <f>IFERROR(__xludf.DUMMYFUNCTION("""COMPUTED_VALUE"""),"Tap 6 Clone (10/15/2021)")</f>
        <v>Tap 6 Clone (10/15/2021)</v>
      </c>
      <c r="H1399" s="19"/>
    </row>
    <row r="1400">
      <c r="A1400" s="9"/>
      <c r="B1400" s="15"/>
      <c r="C1400" s="9">
        <f>IFERROR(__xludf.DUMMYFUNCTION("""COMPUTED_VALUE"""),44497.1178553125)</f>
        <v>44497.11786</v>
      </c>
      <c r="D1400" s="15">
        <f>IFERROR(__xludf.DUMMYFUNCTION("""COMPUTED_VALUE"""),1.017)</f>
        <v>1.017</v>
      </c>
      <c r="E1400" s="16">
        <f>IFERROR(__xludf.DUMMYFUNCTION("""COMPUTED_VALUE"""),65.0)</f>
        <v>65</v>
      </c>
      <c r="F1400" s="19" t="str">
        <f>IFERROR(__xludf.DUMMYFUNCTION("""COMPUTED_VALUE"""),"BLACK")</f>
        <v>BLACK</v>
      </c>
      <c r="G1400" s="20" t="str">
        <f>IFERROR(__xludf.DUMMYFUNCTION("""COMPUTED_VALUE"""),"Tap 6 Clone (10/15/2021)")</f>
        <v>Tap 6 Clone (10/15/2021)</v>
      </c>
      <c r="H1400" s="19"/>
    </row>
    <row r="1401">
      <c r="A1401" s="9"/>
      <c r="B1401" s="15"/>
      <c r="C1401" s="9">
        <f>IFERROR(__xludf.DUMMYFUNCTION("""COMPUTED_VALUE"""),44497.1074329398)</f>
        <v>44497.10743</v>
      </c>
      <c r="D1401" s="15">
        <f>IFERROR(__xludf.DUMMYFUNCTION("""COMPUTED_VALUE"""),1.016)</f>
        <v>1.016</v>
      </c>
      <c r="E1401" s="16">
        <f>IFERROR(__xludf.DUMMYFUNCTION("""COMPUTED_VALUE"""),66.0)</f>
        <v>66</v>
      </c>
      <c r="F1401" s="19" t="str">
        <f>IFERROR(__xludf.DUMMYFUNCTION("""COMPUTED_VALUE"""),"BLACK")</f>
        <v>BLACK</v>
      </c>
      <c r="G1401" s="20" t="str">
        <f>IFERROR(__xludf.DUMMYFUNCTION("""COMPUTED_VALUE"""),"Tap 6 Clone (10/15/2021)")</f>
        <v>Tap 6 Clone (10/15/2021)</v>
      </c>
      <c r="H1401" s="19"/>
    </row>
    <row r="1402">
      <c r="A1402" s="9"/>
      <c r="B1402" s="15"/>
      <c r="C1402" s="9">
        <f>IFERROR(__xludf.DUMMYFUNCTION("""COMPUTED_VALUE"""),44497.097001574)</f>
        <v>44497.097</v>
      </c>
      <c r="D1402" s="15">
        <f>IFERROR(__xludf.DUMMYFUNCTION("""COMPUTED_VALUE"""),1.015)</f>
        <v>1.015</v>
      </c>
      <c r="E1402" s="16">
        <f>IFERROR(__xludf.DUMMYFUNCTION("""COMPUTED_VALUE"""),66.0)</f>
        <v>66</v>
      </c>
      <c r="F1402" s="19" t="str">
        <f>IFERROR(__xludf.DUMMYFUNCTION("""COMPUTED_VALUE"""),"BLACK")</f>
        <v>BLACK</v>
      </c>
      <c r="G1402" s="20" t="str">
        <f>IFERROR(__xludf.DUMMYFUNCTION("""COMPUTED_VALUE"""),"Tap 6 Clone (10/15/2021)")</f>
        <v>Tap 6 Clone (10/15/2021)</v>
      </c>
      <c r="H1402" s="19"/>
    </row>
    <row r="1403">
      <c r="A1403" s="9"/>
      <c r="B1403" s="15"/>
      <c r="C1403" s="9">
        <f>IFERROR(__xludf.DUMMYFUNCTION("""COMPUTED_VALUE"""),44497.0865812384)</f>
        <v>44497.08658</v>
      </c>
      <c r="D1403" s="15">
        <f>IFERROR(__xludf.DUMMYFUNCTION("""COMPUTED_VALUE"""),1.015)</f>
        <v>1.015</v>
      </c>
      <c r="E1403" s="16">
        <f>IFERROR(__xludf.DUMMYFUNCTION("""COMPUTED_VALUE"""),66.0)</f>
        <v>66</v>
      </c>
      <c r="F1403" s="19" t="str">
        <f>IFERROR(__xludf.DUMMYFUNCTION("""COMPUTED_VALUE"""),"BLACK")</f>
        <v>BLACK</v>
      </c>
      <c r="G1403" s="20" t="str">
        <f>IFERROR(__xludf.DUMMYFUNCTION("""COMPUTED_VALUE"""),"Tap 6 Clone (10/15/2021)")</f>
        <v>Tap 6 Clone (10/15/2021)</v>
      </c>
      <c r="H1403" s="19"/>
    </row>
    <row r="1404">
      <c r="A1404" s="9"/>
      <c r="B1404" s="15"/>
      <c r="C1404" s="9">
        <f>IFERROR(__xludf.DUMMYFUNCTION("""COMPUTED_VALUE"""),44497.0761616435)</f>
        <v>44497.07616</v>
      </c>
      <c r="D1404" s="15">
        <f>IFERROR(__xludf.DUMMYFUNCTION("""COMPUTED_VALUE"""),1.016)</f>
        <v>1.016</v>
      </c>
      <c r="E1404" s="16">
        <f>IFERROR(__xludf.DUMMYFUNCTION("""COMPUTED_VALUE"""),65.0)</f>
        <v>65</v>
      </c>
      <c r="F1404" s="19" t="str">
        <f>IFERROR(__xludf.DUMMYFUNCTION("""COMPUTED_VALUE"""),"BLACK")</f>
        <v>BLACK</v>
      </c>
      <c r="G1404" s="20" t="str">
        <f>IFERROR(__xludf.DUMMYFUNCTION("""COMPUTED_VALUE"""),"Tap 6 Clone (10/15/2021)")</f>
        <v>Tap 6 Clone (10/15/2021)</v>
      </c>
      <c r="H1404" s="19"/>
    </row>
    <row r="1405">
      <c r="A1405" s="9"/>
      <c r="B1405" s="15"/>
      <c r="C1405" s="9">
        <f>IFERROR(__xludf.DUMMYFUNCTION("""COMPUTED_VALUE"""),44497.0657395717)</f>
        <v>44497.06574</v>
      </c>
      <c r="D1405" s="15">
        <f>IFERROR(__xludf.DUMMYFUNCTION("""COMPUTED_VALUE"""),1.016)</f>
        <v>1.016</v>
      </c>
      <c r="E1405" s="16">
        <f>IFERROR(__xludf.DUMMYFUNCTION("""COMPUTED_VALUE"""),65.0)</f>
        <v>65</v>
      </c>
      <c r="F1405" s="19" t="str">
        <f>IFERROR(__xludf.DUMMYFUNCTION("""COMPUTED_VALUE"""),"BLACK")</f>
        <v>BLACK</v>
      </c>
      <c r="G1405" s="20" t="str">
        <f>IFERROR(__xludf.DUMMYFUNCTION("""COMPUTED_VALUE"""),"Tap 6 Clone (10/15/2021)")</f>
        <v>Tap 6 Clone (10/15/2021)</v>
      </c>
      <c r="H1405" s="19"/>
    </row>
    <row r="1406">
      <c r="A1406" s="9"/>
      <c r="B1406" s="15"/>
      <c r="C1406" s="9">
        <f>IFERROR(__xludf.DUMMYFUNCTION("""COMPUTED_VALUE"""),44497.055318831)</f>
        <v>44497.05532</v>
      </c>
      <c r="D1406" s="15">
        <f>IFERROR(__xludf.DUMMYFUNCTION("""COMPUTED_VALUE"""),1.014)</f>
        <v>1.014</v>
      </c>
      <c r="E1406" s="16">
        <f>IFERROR(__xludf.DUMMYFUNCTION("""COMPUTED_VALUE"""),65.0)</f>
        <v>65</v>
      </c>
      <c r="F1406" s="19" t="str">
        <f>IFERROR(__xludf.DUMMYFUNCTION("""COMPUTED_VALUE"""),"BLACK")</f>
        <v>BLACK</v>
      </c>
      <c r="G1406" s="20" t="str">
        <f>IFERROR(__xludf.DUMMYFUNCTION("""COMPUTED_VALUE"""),"Tap 6 Clone (10/15/2021)")</f>
        <v>Tap 6 Clone (10/15/2021)</v>
      </c>
      <c r="H1406" s="19"/>
    </row>
    <row r="1407">
      <c r="A1407" s="9"/>
      <c r="B1407" s="15"/>
      <c r="C1407" s="9">
        <f>IFERROR(__xludf.DUMMYFUNCTION("""COMPUTED_VALUE"""),44497.0448980902)</f>
        <v>44497.0449</v>
      </c>
      <c r="D1407" s="15">
        <f>IFERROR(__xludf.DUMMYFUNCTION("""COMPUTED_VALUE"""),1.014)</f>
        <v>1.014</v>
      </c>
      <c r="E1407" s="16">
        <f>IFERROR(__xludf.DUMMYFUNCTION("""COMPUTED_VALUE"""),65.0)</f>
        <v>65</v>
      </c>
      <c r="F1407" s="19" t="str">
        <f>IFERROR(__xludf.DUMMYFUNCTION("""COMPUTED_VALUE"""),"BLACK")</f>
        <v>BLACK</v>
      </c>
      <c r="G1407" s="20" t="str">
        <f>IFERROR(__xludf.DUMMYFUNCTION("""COMPUTED_VALUE"""),"Tap 6 Clone (10/15/2021)")</f>
        <v>Tap 6 Clone (10/15/2021)</v>
      </c>
      <c r="H1407" s="19"/>
    </row>
    <row r="1408">
      <c r="A1408" s="9"/>
      <c r="B1408" s="15"/>
      <c r="C1408" s="9">
        <f>IFERROR(__xludf.DUMMYFUNCTION("""COMPUTED_VALUE"""),44497.0344649884)</f>
        <v>44497.03446</v>
      </c>
      <c r="D1408" s="15">
        <f>IFERROR(__xludf.DUMMYFUNCTION("""COMPUTED_VALUE"""),1.015)</f>
        <v>1.015</v>
      </c>
      <c r="E1408" s="16">
        <f>IFERROR(__xludf.DUMMYFUNCTION("""COMPUTED_VALUE"""),65.0)</f>
        <v>65</v>
      </c>
      <c r="F1408" s="19" t="str">
        <f>IFERROR(__xludf.DUMMYFUNCTION("""COMPUTED_VALUE"""),"BLACK")</f>
        <v>BLACK</v>
      </c>
      <c r="G1408" s="20" t="str">
        <f>IFERROR(__xludf.DUMMYFUNCTION("""COMPUTED_VALUE"""),"Tap 6 Clone (10/15/2021)")</f>
        <v>Tap 6 Clone (10/15/2021)</v>
      </c>
      <c r="H1408" s="19"/>
    </row>
    <row r="1409">
      <c r="A1409" s="9"/>
      <c r="B1409" s="15"/>
      <c r="C1409" s="9">
        <f>IFERROR(__xludf.DUMMYFUNCTION("""COMPUTED_VALUE"""),44497.0240438541)</f>
        <v>44497.02404</v>
      </c>
      <c r="D1409" s="15">
        <f>IFERROR(__xludf.DUMMYFUNCTION("""COMPUTED_VALUE"""),1.014)</f>
        <v>1.014</v>
      </c>
      <c r="E1409" s="16">
        <f>IFERROR(__xludf.DUMMYFUNCTION("""COMPUTED_VALUE"""),65.0)</f>
        <v>65</v>
      </c>
      <c r="F1409" s="19" t="str">
        <f>IFERROR(__xludf.DUMMYFUNCTION("""COMPUTED_VALUE"""),"BLACK")</f>
        <v>BLACK</v>
      </c>
      <c r="G1409" s="20" t="str">
        <f>IFERROR(__xludf.DUMMYFUNCTION("""COMPUTED_VALUE"""),"Tap 6 Clone (10/15/2021)")</f>
        <v>Tap 6 Clone (10/15/2021)</v>
      </c>
      <c r="H1409" s="19"/>
    </row>
    <row r="1410">
      <c r="A1410" s="9"/>
      <c r="B1410" s="15"/>
      <c r="C1410" s="9">
        <f>IFERROR(__xludf.DUMMYFUNCTION("""COMPUTED_VALUE"""),44497.0136224305)</f>
        <v>44497.01362</v>
      </c>
      <c r="D1410" s="15">
        <f>IFERROR(__xludf.DUMMYFUNCTION("""COMPUTED_VALUE"""),1.015)</f>
        <v>1.015</v>
      </c>
      <c r="E1410" s="16">
        <f>IFERROR(__xludf.DUMMYFUNCTION("""COMPUTED_VALUE"""),65.0)</f>
        <v>65</v>
      </c>
      <c r="F1410" s="19" t="str">
        <f>IFERROR(__xludf.DUMMYFUNCTION("""COMPUTED_VALUE"""),"BLACK")</f>
        <v>BLACK</v>
      </c>
      <c r="G1410" s="20" t="str">
        <f>IFERROR(__xludf.DUMMYFUNCTION("""COMPUTED_VALUE"""),"Tap 6 Clone (10/15/2021)")</f>
        <v>Tap 6 Clone (10/15/2021)</v>
      </c>
      <c r="H1410" s="19"/>
    </row>
    <row r="1411">
      <c r="A1411" s="9"/>
      <c r="B1411" s="15"/>
      <c r="C1411" s="9">
        <f>IFERROR(__xludf.DUMMYFUNCTION("""COMPUTED_VALUE"""),44497.003200625)</f>
        <v>44497.0032</v>
      </c>
      <c r="D1411" s="15">
        <f>IFERROR(__xludf.DUMMYFUNCTION("""COMPUTED_VALUE"""),1.018)</f>
        <v>1.018</v>
      </c>
      <c r="E1411" s="16">
        <f>IFERROR(__xludf.DUMMYFUNCTION("""COMPUTED_VALUE"""),65.0)</f>
        <v>65</v>
      </c>
      <c r="F1411" s="19" t="str">
        <f>IFERROR(__xludf.DUMMYFUNCTION("""COMPUTED_VALUE"""),"BLACK")</f>
        <v>BLACK</v>
      </c>
      <c r="G1411" s="20" t="str">
        <f>IFERROR(__xludf.DUMMYFUNCTION("""COMPUTED_VALUE"""),"Tap 6 Clone (10/15/2021)")</f>
        <v>Tap 6 Clone (10/15/2021)</v>
      </c>
      <c r="H1411" s="19"/>
    </row>
    <row r="1412">
      <c r="A1412" s="9"/>
      <c r="B1412" s="15"/>
      <c r="C1412" s="9">
        <f>IFERROR(__xludf.DUMMYFUNCTION("""COMPUTED_VALUE"""),44496.992779456)</f>
        <v>44496.99278</v>
      </c>
      <c r="D1412" s="15">
        <f>IFERROR(__xludf.DUMMYFUNCTION("""COMPUTED_VALUE"""),1.017)</f>
        <v>1.017</v>
      </c>
      <c r="E1412" s="16">
        <f>IFERROR(__xludf.DUMMYFUNCTION("""COMPUTED_VALUE"""),65.0)</f>
        <v>65</v>
      </c>
      <c r="F1412" s="19" t="str">
        <f>IFERROR(__xludf.DUMMYFUNCTION("""COMPUTED_VALUE"""),"BLACK")</f>
        <v>BLACK</v>
      </c>
      <c r="G1412" s="20" t="str">
        <f>IFERROR(__xludf.DUMMYFUNCTION("""COMPUTED_VALUE"""),"Tap 6 Clone (10/15/2021)")</f>
        <v>Tap 6 Clone (10/15/2021)</v>
      </c>
      <c r="H1412" s="19"/>
    </row>
    <row r="1413">
      <c r="A1413" s="9"/>
      <c r="B1413" s="15"/>
      <c r="C1413" s="9">
        <f>IFERROR(__xludf.DUMMYFUNCTION("""COMPUTED_VALUE"""),44496.9823591088)</f>
        <v>44496.98236</v>
      </c>
      <c r="D1413" s="15">
        <f>IFERROR(__xludf.DUMMYFUNCTION("""COMPUTED_VALUE"""),1.017)</f>
        <v>1.017</v>
      </c>
      <c r="E1413" s="16">
        <f>IFERROR(__xludf.DUMMYFUNCTION("""COMPUTED_VALUE"""),65.0)</f>
        <v>65</v>
      </c>
      <c r="F1413" s="19" t="str">
        <f>IFERROR(__xludf.DUMMYFUNCTION("""COMPUTED_VALUE"""),"BLACK")</f>
        <v>BLACK</v>
      </c>
      <c r="G1413" s="20" t="str">
        <f>IFERROR(__xludf.DUMMYFUNCTION("""COMPUTED_VALUE"""),"Tap 6 Clone (10/15/2021)")</f>
        <v>Tap 6 Clone (10/15/2021)</v>
      </c>
      <c r="H1413" s="19"/>
    </row>
    <row r="1414">
      <c r="A1414" s="9"/>
      <c r="B1414" s="15"/>
      <c r="C1414" s="9">
        <f>IFERROR(__xludf.DUMMYFUNCTION("""COMPUTED_VALUE"""),44496.9719365046)</f>
        <v>44496.97194</v>
      </c>
      <c r="D1414" s="15">
        <f>IFERROR(__xludf.DUMMYFUNCTION("""COMPUTED_VALUE"""),1.018)</f>
        <v>1.018</v>
      </c>
      <c r="E1414" s="16">
        <f>IFERROR(__xludf.DUMMYFUNCTION("""COMPUTED_VALUE"""),65.0)</f>
        <v>65</v>
      </c>
      <c r="F1414" s="19" t="str">
        <f>IFERROR(__xludf.DUMMYFUNCTION("""COMPUTED_VALUE"""),"BLACK")</f>
        <v>BLACK</v>
      </c>
      <c r="G1414" s="20" t="str">
        <f>IFERROR(__xludf.DUMMYFUNCTION("""COMPUTED_VALUE"""),"Tap 6 Clone (10/15/2021)")</f>
        <v>Tap 6 Clone (10/15/2021)</v>
      </c>
      <c r="H1414" s="19"/>
    </row>
    <row r="1415">
      <c r="A1415" s="9"/>
      <c r="B1415" s="15"/>
      <c r="C1415" s="9">
        <f>IFERROR(__xludf.DUMMYFUNCTION("""COMPUTED_VALUE"""),44496.9615153125)</f>
        <v>44496.96152</v>
      </c>
      <c r="D1415" s="15">
        <f>IFERROR(__xludf.DUMMYFUNCTION("""COMPUTED_VALUE"""),1.017)</f>
        <v>1.017</v>
      </c>
      <c r="E1415" s="16">
        <f>IFERROR(__xludf.DUMMYFUNCTION("""COMPUTED_VALUE"""),65.0)</f>
        <v>65</v>
      </c>
      <c r="F1415" s="19" t="str">
        <f>IFERROR(__xludf.DUMMYFUNCTION("""COMPUTED_VALUE"""),"BLACK")</f>
        <v>BLACK</v>
      </c>
      <c r="G1415" s="20" t="str">
        <f>IFERROR(__xludf.DUMMYFUNCTION("""COMPUTED_VALUE"""),"Tap 6 Clone (10/15/2021)")</f>
        <v>Tap 6 Clone (10/15/2021)</v>
      </c>
      <c r="H1415" s="19"/>
    </row>
    <row r="1416">
      <c r="A1416" s="9"/>
      <c r="B1416" s="15"/>
      <c r="C1416" s="9">
        <f>IFERROR(__xludf.DUMMYFUNCTION("""COMPUTED_VALUE"""),44496.9510944791)</f>
        <v>44496.95109</v>
      </c>
      <c r="D1416" s="15">
        <f>IFERROR(__xludf.DUMMYFUNCTION("""COMPUTED_VALUE"""),1.018)</f>
        <v>1.018</v>
      </c>
      <c r="E1416" s="16">
        <f>IFERROR(__xludf.DUMMYFUNCTION("""COMPUTED_VALUE"""),65.0)</f>
        <v>65</v>
      </c>
      <c r="F1416" s="19" t="str">
        <f>IFERROR(__xludf.DUMMYFUNCTION("""COMPUTED_VALUE"""),"BLACK")</f>
        <v>BLACK</v>
      </c>
      <c r="G1416" s="20" t="str">
        <f>IFERROR(__xludf.DUMMYFUNCTION("""COMPUTED_VALUE"""),"Tap 6 Clone (10/15/2021)")</f>
        <v>Tap 6 Clone (10/15/2021)</v>
      </c>
      <c r="H1416" s="19"/>
    </row>
    <row r="1417">
      <c r="A1417" s="9"/>
      <c r="B1417" s="15"/>
      <c r="C1417" s="9">
        <f>IFERROR(__xludf.DUMMYFUNCTION("""COMPUTED_VALUE"""),44496.9406721875)</f>
        <v>44496.94067</v>
      </c>
      <c r="D1417" s="15">
        <f>IFERROR(__xludf.DUMMYFUNCTION("""COMPUTED_VALUE"""),1.018)</f>
        <v>1.018</v>
      </c>
      <c r="E1417" s="16">
        <f>IFERROR(__xludf.DUMMYFUNCTION("""COMPUTED_VALUE"""),65.0)</f>
        <v>65</v>
      </c>
      <c r="F1417" s="19" t="str">
        <f>IFERROR(__xludf.DUMMYFUNCTION("""COMPUTED_VALUE"""),"BLACK")</f>
        <v>BLACK</v>
      </c>
      <c r="G1417" s="20" t="str">
        <f>IFERROR(__xludf.DUMMYFUNCTION("""COMPUTED_VALUE"""),"Tap 6 Clone (10/15/2021)")</f>
        <v>Tap 6 Clone (10/15/2021)</v>
      </c>
      <c r="H1417" s="19"/>
    </row>
    <row r="1418">
      <c r="A1418" s="9"/>
      <c r="B1418" s="15"/>
      <c r="C1418" s="9">
        <f>IFERROR(__xludf.DUMMYFUNCTION("""COMPUTED_VALUE"""),44496.9302509953)</f>
        <v>44496.93025</v>
      </c>
      <c r="D1418" s="15">
        <f>IFERROR(__xludf.DUMMYFUNCTION("""COMPUTED_VALUE"""),1.017)</f>
        <v>1.017</v>
      </c>
      <c r="E1418" s="16">
        <f>IFERROR(__xludf.DUMMYFUNCTION("""COMPUTED_VALUE"""),65.0)</f>
        <v>65</v>
      </c>
      <c r="F1418" s="19" t="str">
        <f>IFERROR(__xludf.DUMMYFUNCTION("""COMPUTED_VALUE"""),"BLACK")</f>
        <v>BLACK</v>
      </c>
      <c r="G1418" s="20" t="str">
        <f>IFERROR(__xludf.DUMMYFUNCTION("""COMPUTED_VALUE"""),"Tap 6 Clone (10/15/2021)")</f>
        <v>Tap 6 Clone (10/15/2021)</v>
      </c>
      <c r="H1418" s="19"/>
    </row>
    <row r="1419">
      <c r="A1419" s="9"/>
      <c r="B1419" s="15"/>
      <c r="C1419" s="9">
        <f>IFERROR(__xludf.DUMMYFUNCTION("""COMPUTED_VALUE"""),44496.919830787)</f>
        <v>44496.91983</v>
      </c>
      <c r="D1419" s="15">
        <f>IFERROR(__xludf.DUMMYFUNCTION("""COMPUTED_VALUE"""),1.017)</f>
        <v>1.017</v>
      </c>
      <c r="E1419" s="16">
        <f>IFERROR(__xludf.DUMMYFUNCTION("""COMPUTED_VALUE"""),65.0)</f>
        <v>65</v>
      </c>
      <c r="F1419" s="19" t="str">
        <f>IFERROR(__xludf.DUMMYFUNCTION("""COMPUTED_VALUE"""),"BLACK")</f>
        <v>BLACK</v>
      </c>
      <c r="G1419" s="20" t="str">
        <f>IFERROR(__xludf.DUMMYFUNCTION("""COMPUTED_VALUE"""),"Tap 6 Clone (10/15/2021)")</f>
        <v>Tap 6 Clone (10/15/2021)</v>
      </c>
      <c r="H1419" s="19"/>
    </row>
    <row r="1420">
      <c r="A1420" s="9"/>
      <c r="B1420" s="15"/>
      <c r="C1420" s="9">
        <f>IFERROR(__xludf.DUMMYFUNCTION("""COMPUTED_VALUE"""),44496.9094103472)</f>
        <v>44496.90941</v>
      </c>
      <c r="D1420" s="15">
        <f>IFERROR(__xludf.DUMMYFUNCTION("""COMPUTED_VALUE"""),1.017)</f>
        <v>1.017</v>
      </c>
      <c r="E1420" s="16">
        <f>IFERROR(__xludf.DUMMYFUNCTION("""COMPUTED_VALUE"""),65.0)</f>
        <v>65</v>
      </c>
      <c r="F1420" s="19" t="str">
        <f>IFERROR(__xludf.DUMMYFUNCTION("""COMPUTED_VALUE"""),"BLACK")</f>
        <v>BLACK</v>
      </c>
      <c r="G1420" s="20" t="str">
        <f>IFERROR(__xludf.DUMMYFUNCTION("""COMPUTED_VALUE"""),"Tap 6 Clone (10/15/2021)")</f>
        <v>Tap 6 Clone (10/15/2021)</v>
      </c>
      <c r="H1420" s="19"/>
    </row>
    <row r="1421">
      <c r="A1421" s="9"/>
      <c r="B1421" s="15"/>
      <c r="C1421" s="9">
        <f>IFERROR(__xludf.DUMMYFUNCTION("""COMPUTED_VALUE"""),44496.8989906597)</f>
        <v>44496.89899</v>
      </c>
      <c r="D1421" s="15">
        <f>IFERROR(__xludf.DUMMYFUNCTION("""COMPUTED_VALUE"""),1.017)</f>
        <v>1.017</v>
      </c>
      <c r="E1421" s="16">
        <f>IFERROR(__xludf.DUMMYFUNCTION("""COMPUTED_VALUE"""),65.0)</f>
        <v>65</v>
      </c>
      <c r="F1421" s="19" t="str">
        <f>IFERROR(__xludf.DUMMYFUNCTION("""COMPUTED_VALUE"""),"BLACK")</f>
        <v>BLACK</v>
      </c>
      <c r="G1421" s="20" t="str">
        <f>IFERROR(__xludf.DUMMYFUNCTION("""COMPUTED_VALUE"""),"Tap 6 Clone (10/15/2021)")</f>
        <v>Tap 6 Clone (10/15/2021)</v>
      </c>
      <c r="H1421" s="19"/>
    </row>
    <row r="1422">
      <c r="A1422" s="9"/>
      <c r="B1422" s="15"/>
      <c r="C1422" s="9">
        <f>IFERROR(__xludf.DUMMYFUNCTION("""COMPUTED_VALUE"""),44496.8885702314)</f>
        <v>44496.88857</v>
      </c>
      <c r="D1422" s="15">
        <f>IFERROR(__xludf.DUMMYFUNCTION("""COMPUTED_VALUE"""),1.017)</f>
        <v>1.017</v>
      </c>
      <c r="E1422" s="16">
        <f>IFERROR(__xludf.DUMMYFUNCTION("""COMPUTED_VALUE"""),65.0)</f>
        <v>65</v>
      </c>
      <c r="F1422" s="19" t="str">
        <f>IFERROR(__xludf.DUMMYFUNCTION("""COMPUTED_VALUE"""),"BLACK")</f>
        <v>BLACK</v>
      </c>
      <c r="G1422" s="20" t="str">
        <f>IFERROR(__xludf.DUMMYFUNCTION("""COMPUTED_VALUE"""),"Tap 6 Clone (10/15/2021)")</f>
        <v>Tap 6 Clone (10/15/2021)</v>
      </c>
      <c r="H1422" s="19"/>
    </row>
    <row r="1423">
      <c r="A1423" s="9"/>
      <c r="B1423" s="15"/>
      <c r="C1423" s="9">
        <f>IFERROR(__xludf.DUMMYFUNCTION("""COMPUTED_VALUE"""),44496.8781497916)</f>
        <v>44496.87815</v>
      </c>
      <c r="D1423" s="15">
        <f>IFERROR(__xludf.DUMMYFUNCTION("""COMPUTED_VALUE"""),1.019)</f>
        <v>1.019</v>
      </c>
      <c r="E1423" s="16">
        <f>IFERROR(__xludf.DUMMYFUNCTION("""COMPUTED_VALUE"""),65.0)</f>
        <v>65</v>
      </c>
      <c r="F1423" s="19" t="str">
        <f>IFERROR(__xludf.DUMMYFUNCTION("""COMPUTED_VALUE"""),"BLACK")</f>
        <v>BLACK</v>
      </c>
      <c r="G1423" s="20" t="str">
        <f>IFERROR(__xludf.DUMMYFUNCTION("""COMPUTED_VALUE"""),"Tap 6 Clone (10/15/2021)")</f>
        <v>Tap 6 Clone (10/15/2021)</v>
      </c>
      <c r="H1423" s="19"/>
    </row>
    <row r="1424">
      <c r="A1424" s="9"/>
      <c r="B1424" s="15"/>
      <c r="C1424" s="9">
        <f>IFERROR(__xludf.DUMMYFUNCTION("""COMPUTED_VALUE"""),44496.8677281944)</f>
        <v>44496.86773</v>
      </c>
      <c r="D1424" s="15">
        <f>IFERROR(__xludf.DUMMYFUNCTION("""COMPUTED_VALUE"""),1.017)</f>
        <v>1.017</v>
      </c>
      <c r="E1424" s="16">
        <f>IFERROR(__xludf.DUMMYFUNCTION("""COMPUTED_VALUE"""),65.0)</f>
        <v>65</v>
      </c>
      <c r="F1424" s="19" t="str">
        <f>IFERROR(__xludf.DUMMYFUNCTION("""COMPUTED_VALUE"""),"BLACK")</f>
        <v>BLACK</v>
      </c>
      <c r="G1424" s="20" t="str">
        <f>IFERROR(__xludf.DUMMYFUNCTION("""COMPUTED_VALUE"""),"Tap 6 Clone (10/15/2021)")</f>
        <v>Tap 6 Clone (10/15/2021)</v>
      </c>
      <c r="H1424" s="19"/>
    </row>
    <row r="1425">
      <c r="A1425" s="9"/>
      <c r="B1425" s="15"/>
      <c r="C1425" s="9">
        <f>IFERROR(__xludf.DUMMYFUNCTION("""COMPUTED_VALUE"""),44496.8573066088)</f>
        <v>44496.85731</v>
      </c>
      <c r="D1425" s="15">
        <f>IFERROR(__xludf.DUMMYFUNCTION("""COMPUTED_VALUE"""),1.017)</f>
        <v>1.017</v>
      </c>
      <c r="E1425" s="16">
        <f>IFERROR(__xludf.DUMMYFUNCTION("""COMPUTED_VALUE"""),65.0)</f>
        <v>65</v>
      </c>
      <c r="F1425" s="19" t="str">
        <f>IFERROR(__xludf.DUMMYFUNCTION("""COMPUTED_VALUE"""),"BLACK")</f>
        <v>BLACK</v>
      </c>
      <c r="G1425" s="20" t="str">
        <f>IFERROR(__xludf.DUMMYFUNCTION("""COMPUTED_VALUE"""),"Tap 6 Clone (10/15/2021)")</f>
        <v>Tap 6 Clone (10/15/2021)</v>
      </c>
      <c r="H1425" s="19"/>
    </row>
    <row r="1426">
      <c r="A1426" s="9"/>
      <c r="B1426" s="15"/>
      <c r="C1426" s="9">
        <f>IFERROR(__xludf.DUMMYFUNCTION("""COMPUTED_VALUE"""),44496.8468843171)</f>
        <v>44496.84688</v>
      </c>
      <c r="D1426" s="15">
        <f>IFERROR(__xludf.DUMMYFUNCTION("""COMPUTED_VALUE"""),1.017)</f>
        <v>1.017</v>
      </c>
      <c r="E1426" s="16">
        <f>IFERROR(__xludf.DUMMYFUNCTION("""COMPUTED_VALUE"""),65.0)</f>
        <v>65</v>
      </c>
      <c r="F1426" s="19" t="str">
        <f>IFERROR(__xludf.DUMMYFUNCTION("""COMPUTED_VALUE"""),"BLACK")</f>
        <v>BLACK</v>
      </c>
      <c r="G1426" s="20" t="str">
        <f>IFERROR(__xludf.DUMMYFUNCTION("""COMPUTED_VALUE"""),"Tap 6 Clone (10/15/2021)")</f>
        <v>Tap 6 Clone (10/15/2021)</v>
      </c>
      <c r="H1426" s="19"/>
    </row>
    <row r="1427">
      <c r="A1427" s="9"/>
      <c r="B1427" s="15"/>
      <c r="C1427" s="9">
        <f>IFERROR(__xludf.DUMMYFUNCTION("""COMPUTED_VALUE"""),44496.8364641898)</f>
        <v>44496.83646</v>
      </c>
      <c r="D1427" s="15">
        <f>IFERROR(__xludf.DUMMYFUNCTION("""COMPUTED_VALUE"""),1.017)</f>
        <v>1.017</v>
      </c>
      <c r="E1427" s="16">
        <f>IFERROR(__xludf.DUMMYFUNCTION("""COMPUTED_VALUE"""),65.0)</f>
        <v>65</v>
      </c>
      <c r="F1427" s="19" t="str">
        <f>IFERROR(__xludf.DUMMYFUNCTION("""COMPUTED_VALUE"""),"BLACK")</f>
        <v>BLACK</v>
      </c>
      <c r="G1427" s="20" t="str">
        <f>IFERROR(__xludf.DUMMYFUNCTION("""COMPUTED_VALUE"""),"Tap 6 Clone (10/15/2021)")</f>
        <v>Tap 6 Clone (10/15/2021)</v>
      </c>
      <c r="H1427" s="19"/>
    </row>
    <row r="1428">
      <c r="A1428" s="9"/>
      <c r="B1428" s="15"/>
      <c r="C1428" s="9">
        <f>IFERROR(__xludf.DUMMYFUNCTION("""COMPUTED_VALUE"""),44496.8260420023)</f>
        <v>44496.82604</v>
      </c>
      <c r="D1428" s="15">
        <f>IFERROR(__xludf.DUMMYFUNCTION("""COMPUTED_VALUE"""),1.017)</f>
        <v>1.017</v>
      </c>
      <c r="E1428" s="16">
        <f>IFERROR(__xludf.DUMMYFUNCTION("""COMPUTED_VALUE"""),65.0)</f>
        <v>65</v>
      </c>
      <c r="F1428" s="19" t="str">
        <f>IFERROR(__xludf.DUMMYFUNCTION("""COMPUTED_VALUE"""),"BLACK")</f>
        <v>BLACK</v>
      </c>
      <c r="G1428" s="20" t="str">
        <f>IFERROR(__xludf.DUMMYFUNCTION("""COMPUTED_VALUE"""),"Tap 6 Clone (10/15/2021)")</f>
        <v>Tap 6 Clone (10/15/2021)</v>
      </c>
      <c r="H1428" s="19"/>
    </row>
    <row r="1429">
      <c r="A1429" s="9"/>
      <c r="B1429" s="15"/>
      <c r="C1429" s="9">
        <f>IFERROR(__xludf.DUMMYFUNCTION("""COMPUTED_VALUE"""),44496.815619375)</f>
        <v>44496.81562</v>
      </c>
      <c r="D1429" s="15">
        <f>IFERROR(__xludf.DUMMYFUNCTION("""COMPUTED_VALUE"""),1.017)</f>
        <v>1.017</v>
      </c>
      <c r="E1429" s="16">
        <f>IFERROR(__xludf.DUMMYFUNCTION("""COMPUTED_VALUE"""),65.0)</f>
        <v>65</v>
      </c>
      <c r="F1429" s="19" t="str">
        <f>IFERROR(__xludf.DUMMYFUNCTION("""COMPUTED_VALUE"""),"BLACK")</f>
        <v>BLACK</v>
      </c>
      <c r="G1429" s="20" t="str">
        <f>IFERROR(__xludf.DUMMYFUNCTION("""COMPUTED_VALUE"""),"Tap 6 Clone (10/15/2021)")</f>
        <v>Tap 6 Clone (10/15/2021)</v>
      </c>
      <c r="H1429" s="19"/>
    </row>
    <row r="1430">
      <c r="A1430" s="9"/>
      <c r="B1430" s="15"/>
      <c r="C1430" s="9">
        <f>IFERROR(__xludf.DUMMYFUNCTION("""COMPUTED_VALUE"""),44496.8051844097)</f>
        <v>44496.80518</v>
      </c>
      <c r="D1430" s="15">
        <f>IFERROR(__xludf.DUMMYFUNCTION("""COMPUTED_VALUE"""),1.017)</f>
        <v>1.017</v>
      </c>
      <c r="E1430" s="16">
        <f>IFERROR(__xludf.DUMMYFUNCTION("""COMPUTED_VALUE"""),65.0)</f>
        <v>65</v>
      </c>
      <c r="F1430" s="19" t="str">
        <f>IFERROR(__xludf.DUMMYFUNCTION("""COMPUTED_VALUE"""),"BLACK")</f>
        <v>BLACK</v>
      </c>
      <c r="G1430" s="20" t="str">
        <f>IFERROR(__xludf.DUMMYFUNCTION("""COMPUTED_VALUE"""),"Tap 6 Clone (10/15/2021)")</f>
        <v>Tap 6 Clone (10/15/2021)</v>
      </c>
      <c r="H1430" s="19"/>
    </row>
    <row r="1431">
      <c r="A1431" s="9"/>
      <c r="B1431" s="15"/>
      <c r="C1431" s="9">
        <f>IFERROR(__xludf.DUMMYFUNCTION("""COMPUTED_VALUE"""),44496.7947639583)</f>
        <v>44496.79476</v>
      </c>
      <c r="D1431" s="15">
        <f>IFERROR(__xludf.DUMMYFUNCTION("""COMPUTED_VALUE"""),1.017)</f>
        <v>1.017</v>
      </c>
      <c r="E1431" s="16">
        <f>IFERROR(__xludf.DUMMYFUNCTION("""COMPUTED_VALUE"""),65.0)</f>
        <v>65</v>
      </c>
      <c r="F1431" s="19" t="str">
        <f>IFERROR(__xludf.DUMMYFUNCTION("""COMPUTED_VALUE"""),"BLACK")</f>
        <v>BLACK</v>
      </c>
      <c r="G1431" s="20" t="str">
        <f>IFERROR(__xludf.DUMMYFUNCTION("""COMPUTED_VALUE"""),"Tap 6 Clone (10/15/2021)")</f>
        <v>Tap 6 Clone (10/15/2021)</v>
      </c>
      <c r="H1431" s="19"/>
    </row>
    <row r="1432">
      <c r="A1432" s="9"/>
      <c r="B1432" s="15"/>
      <c r="C1432" s="9">
        <f>IFERROR(__xludf.DUMMYFUNCTION("""COMPUTED_VALUE"""),44496.784344537)</f>
        <v>44496.78434</v>
      </c>
      <c r="D1432" s="15">
        <f>IFERROR(__xludf.DUMMYFUNCTION("""COMPUTED_VALUE"""),1.017)</f>
        <v>1.017</v>
      </c>
      <c r="E1432" s="16">
        <f>IFERROR(__xludf.DUMMYFUNCTION("""COMPUTED_VALUE"""),65.0)</f>
        <v>65</v>
      </c>
      <c r="F1432" s="19" t="str">
        <f>IFERROR(__xludf.DUMMYFUNCTION("""COMPUTED_VALUE"""),"BLACK")</f>
        <v>BLACK</v>
      </c>
      <c r="G1432" s="20" t="str">
        <f>IFERROR(__xludf.DUMMYFUNCTION("""COMPUTED_VALUE"""),"Tap 6 Clone (10/15/2021)")</f>
        <v>Tap 6 Clone (10/15/2021)</v>
      </c>
      <c r="H1432" s="19"/>
    </row>
    <row r="1433">
      <c r="A1433" s="9"/>
      <c r="B1433" s="15"/>
      <c r="C1433" s="9">
        <f>IFERROR(__xludf.DUMMYFUNCTION("""COMPUTED_VALUE"""),44496.7739245717)</f>
        <v>44496.77392</v>
      </c>
      <c r="D1433" s="15">
        <f>IFERROR(__xludf.DUMMYFUNCTION("""COMPUTED_VALUE"""),1.016)</f>
        <v>1.016</v>
      </c>
      <c r="E1433" s="16">
        <f>IFERROR(__xludf.DUMMYFUNCTION("""COMPUTED_VALUE"""),65.0)</f>
        <v>65</v>
      </c>
      <c r="F1433" s="19" t="str">
        <f>IFERROR(__xludf.DUMMYFUNCTION("""COMPUTED_VALUE"""),"BLACK")</f>
        <v>BLACK</v>
      </c>
      <c r="G1433" s="20" t="str">
        <f>IFERROR(__xludf.DUMMYFUNCTION("""COMPUTED_VALUE"""),"Tap 6 Clone (10/15/2021)")</f>
        <v>Tap 6 Clone (10/15/2021)</v>
      </c>
      <c r="H1433" s="19"/>
    </row>
    <row r="1434">
      <c r="A1434" s="9"/>
      <c r="B1434" s="15"/>
      <c r="C1434" s="9">
        <f>IFERROR(__xludf.DUMMYFUNCTION("""COMPUTED_VALUE"""),44496.7635031481)</f>
        <v>44496.7635</v>
      </c>
      <c r="D1434" s="15">
        <f>IFERROR(__xludf.DUMMYFUNCTION("""COMPUTED_VALUE"""),1.018)</f>
        <v>1.018</v>
      </c>
      <c r="E1434" s="16">
        <f>IFERROR(__xludf.DUMMYFUNCTION("""COMPUTED_VALUE"""),65.0)</f>
        <v>65</v>
      </c>
      <c r="F1434" s="19" t="str">
        <f>IFERROR(__xludf.DUMMYFUNCTION("""COMPUTED_VALUE"""),"BLACK")</f>
        <v>BLACK</v>
      </c>
      <c r="G1434" s="20" t="str">
        <f>IFERROR(__xludf.DUMMYFUNCTION("""COMPUTED_VALUE"""),"Tap 6 Clone (10/15/2021)")</f>
        <v>Tap 6 Clone (10/15/2021)</v>
      </c>
      <c r="H1434" s="19"/>
    </row>
    <row r="1435">
      <c r="A1435" s="9"/>
      <c r="B1435" s="15"/>
      <c r="C1435" s="9">
        <f>IFERROR(__xludf.DUMMYFUNCTION("""COMPUTED_VALUE"""),44496.7530809722)</f>
        <v>44496.75308</v>
      </c>
      <c r="D1435" s="15">
        <f>IFERROR(__xludf.DUMMYFUNCTION("""COMPUTED_VALUE"""),1.018)</f>
        <v>1.018</v>
      </c>
      <c r="E1435" s="16">
        <f>IFERROR(__xludf.DUMMYFUNCTION("""COMPUTED_VALUE"""),65.0)</f>
        <v>65</v>
      </c>
      <c r="F1435" s="19" t="str">
        <f>IFERROR(__xludf.DUMMYFUNCTION("""COMPUTED_VALUE"""),"BLACK")</f>
        <v>BLACK</v>
      </c>
      <c r="G1435" s="20" t="str">
        <f>IFERROR(__xludf.DUMMYFUNCTION("""COMPUTED_VALUE"""),"Tap 6 Clone (10/15/2021)")</f>
        <v>Tap 6 Clone (10/15/2021)</v>
      </c>
      <c r="H1435" s="19"/>
    </row>
    <row r="1436">
      <c r="A1436" s="9"/>
      <c r="B1436" s="15"/>
      <c r="C1436" s="9">
        <f>IFERROR(__xludf.DUMMYFUNCTION("""COMPUTED_VALUE"""),44496.7426605787)</f>
        <v>44496.74266</v>
      </c>
      <c r="D1436" s="15">
        <f>IFERROR(__xludf.DUMMYFUNCTION("""COMPUTED_VALUE"""),1.018)</f>
        <v>1.018</v>
      </c>
      <c r="E1436" s="16">
        <f>IFERROR(__xludf.DUMMYFUNCTION("""COMPUTED_VALUE"""),65.0)</f>
        <v>65</v>
      </c>
      <c r="F1436" s="19" t="str">
        <f>IFERROR(__xludf.DUMMYFUNCTION("""COMPUTED_VALUE"""),"BLACK")</f>
        <v>BLACK</v>
      </c>
      <c r="G1436" s="20" t="str">
        <f>IFERROR(__xludf.DUMMYFUNCTION("""COMPUTED_VALUE"""),"Tap 6 Clone (10/15/2021)")</f>
        <v>Tap 6 Clone (10/15/2021)</v>
      </c>
      <c r="H1436" s="19"/>
    </row>
    <row r="1437">
      <c r="A1437" s="9"/>
      <c r="B1437" s="15"/>
      <c r="C1437" s="9">
        <f>IFERROR(__xludf.DUMMYFUNCTION("""COMPUTED_VALUE"""),44496.7322392013)</f>
        <v>44496.73224</v>
      </c>
      <c r="D1437" s="15">
        <f>IFERROR(__xludf.DUMMYFUNCTION("""COMPUTED_VALUE"""),1.018)</f>
        <v>1.018</v>
      </c>
      <c r="E1437" s="16">
        <f>IFERROR(__xludf.DUMMYFUNCTION("""COMPUTED_VALUE"""),65.0)</f>
        <v>65</v>
      </c>
      <c r="F1437" s="19" t="str">
        <f>IFERROR(__xludf.DUMMYFUNCTION("""COMPUTED_VALUE"""),"BLACK")</f>
        <v>BLACK</v>
      </c>
      <c r="G1437" s="20" t="str">
        <f>IFERROR(__xludf.DUMMYFUNCTION("""COMPUTED_VALUE"""),"Tap 6 Clone (10/15/2021)")</f>
        <v>Tap 6 Clone (10/15/2021)</v>
      </c>
      <c r="H1437" s="19"/>
    </row>
    <row r="1438">
      <c r="A1438" s="9"/>
      <c r="B1438" s="15"/>
      <c r="C1438" s="9">
        <f>IFERROR(__xludf.DUMMYFUNCTION("""COMPUTED_VALUE"""),44496.7218161921)</f>
        <v>44496.72182</v>
      </c>
      <c r="D1438" s="15">
        <f>IFERROR(__xludf.DUMMYFUNCTION("""COMPUTED_VALUE"""),1.018)</f>
        <v>1.018</v>
      </c>
      <c r="E1438" s="16">
        <f>IFERROR(__xludf.DUMMYFUNCTION("""COMPUTED_VALUE"""),65.0)</f>
        <v>65</v>
      </c>
      <c r="F1438" s="19" t="str">
        <f>IFERROR(__xludf.DUMMYFUNCTION("""COMPUTED_VALUE"""),"BLACK")</f>
        <v>BLACK</v>
      </c>
      <c r="G1438" s="20" t="str">
        <f>IFERROR(__xludf.DUMMYFUNCTION("""COMPUTED_VALUE"""),"Tap 6 Clone (10/15/2021)")</f>
        <v>Tap 6 Clone (10/15/2021)</v>
      </c>
      <c r="H1438" s="19"/>
    </row>
    <row r="1439">
      <c r="A1439" s="9"/>
      <c r="B1439" s="15"/>
      <c r="C1439" s="9">
        <f>IFERROR(__xludf.DUMMYFUNCTION("""COMPUTED_VALUE"""),44496.7113926041)</f>
        <v>44496.71139</v>
      </c>
      <c r="D1439" s="15">
        <f>IFERROR(__xludf.DUMMYFUNCTION("""COMPUTED_VALUE"""),1.018)</f>
        <v>1.018</v>
      </c>
      <c r="E1439" s="16">
        <f>IFERROR(__xludf.DUMMYFUNCTION("""COMPUTED_VALUE"""),65.0)</f>
        <v>65</v>
      </c>
      <c r="F1439" s="19" t="str">
        <f>IFERROR(__xludf.DUMMYFUNCTION("""COMPUTED_VALUE"""),"BLACK")</f>
        <v>BLACK</v>
      </c>
      <c r="G1439" s="20" t="str">
        <f>IFERROR(__xludf.DUMMYFUNCTION("""COMPUTED_VALUE"""),"Tap 6 Clone (10/15/2021)")</f>
        <v>Tap 6 Clone (10/15/2021)</v>
      </c>
      <c r="H1439" s="19"/>
    </row>
    <row r="1440">
      <c r="A1440" s="9"/>
      <c r="B1440" s="15"/>
      <c r="C1440" s="9">
        <f>IFERROR(__xludf.DUMMYFUNCTION("""COMPUTED_VALUE"""),44496.7009717361)</f>
        <v>44496.70097</v>
      </c>
      <c r="D1440" s="15">
        <f>IFERROR(__xludf.DUMMYFUNCTION("""COMPUTED_VALUE"""),1.017)</f>
        <v>1.017</v>
      </c>
      <c r="E1440" s="16">
        <f>IFERROR(__xludf.DUMMYFUNCTION("""COMPUTED_VALUE"""),65.0)</f>
        <v>65</v>
      </c>
      <c r="F1440" s="19" t="str">
        <f>IFERROR(__xludf.DUMMYFUNCTION("""COMPUTED_VALUE"""),"BLACK")</f>
        <v>BLACK</v>
      </c>
      <c r="G1440" s="20" t="str">
        <f>IFERROR(__xludf.DUMMYFUNCTION("""COMPUTED_VALUE"""),"Tap 6 Clone (10/15/2021)")</f>
        <v>Tap 6 Clone (10/15/2021)</v>
      </c>
      <c r="H1440" s="19"/>
    </row>
    <row r="1441">
      <c r="A1441" s="9"/>
      <c r="B1441" s="15"/>
      <c r="C1441" s="9">
        <f>IFERROR(__xludf.DUMMYFUNCTION("""COMPUTED_VALUE"""),44496.6905501388)</f>
        <v>44496.69055</v>
      </c>
      <c r="D1441" s="15">
        <f>IFERROR(__xludf.DUMMYFUNCTION("""COMPUTED_VALUE"""),1.018)</f>
        <v>1.018</v>
      </c>
      <c r="E1441" s="16">
        <f>IFERROR(__xludf.DUMMYFUNCTION("""COMPUTED_VALUE"""),65.0)</f>
        <v>65</v>
      </c>
      <c r="F1441" s="19" t="str">
        <f>IFERROR(__xludf.DUMMYFUNCTION("""COMPUTED_VALUE"""),"BLACK")</f>
        <v>BLACK</v>
      </c>
      <c r="G1441" s="20" t="str">
        <f>IFERROR(__xludf.DUMMYFUNCTION("""COMPUTED_VALUE"""),"Tap 6 Clone (10/15/2021)")</f>
        <v>Tap 6 Clone (10/15/2021)</v>
      </c>
      <c r="H1441" s="19"/>
    </row>
    <row r="1442">
      <c r="A1442" s="9"/>
      <c r="B1442" s="15"/>
      <c r="C1442" s="9">
        <f>IFERROR(__xludf.DUMMYFUNCTION("""COMPUTED_VALUE"""),44496.680103993)</f>
        <v>44496.6801</v>
      </c>
      <c r="D1442" s="15">
        <f>IFERROR(__xludf.DUMMYFUNCTION("""COMPUTED_VALUE"""),1.018)</f>
        <v>1.018</v>
      </c>
      <c r="E1442" s="16">
        <f>IFERROR(__xludf.DUMMYFUNCTION("""COMPUTED_VALUE"""),65.0)</f>
        <v>65</v>
      </c>
      <c r="F1442" s="19" t="str">
        <f>IFERROR(__xludf.DUMMYFUNCTION("""COMPUTED_VALUE"""),"BLACK")</f>
        <v>BLACK</v>
      </c>
      <c r="G1442" s="20" t="str">
        <f>IFERROR(__xludf.DUMMYFUNCTION("""COMPUTED_VALUE"""),"Tap 6 Clone (10/15/2021)")</f>
        <v>Tap 6 Clone (10/15/2021)</v>
      </c>
      <c r="H1442" s="19"/>
    </row>
    <row r="1443">
      <c r="A1443" s="9"/>
      <c r="B1443" s="15"/>
      <c r="C1443" s="9">
        <f>IFERROR(__xludf.DUMMYFUNCTION("""COMPUTED_VALUE"""),44496.6696840856)</f>
        <v>44496.66968</v>
      </c>
      <c r="D1443" s="15">
        <f>IFERROR(__xludf.DUMMYFUNCTION("""COMPUTED_VALUE"""),1.018)</f>
        <v>1.018</v>
      </c>
      <c r="E1443" s="16">
        <f>IFERROR(__xludf.DUMMYFUNCTION("""COMPUTED_VALUE"""),65.0)</f>
        <v>65</v>
      </c>
      <c r="F1443" s="19" t="str">
        <f>IFERROR(__xludf.DUMMYFUNCTION("""COMPUTED_VALUE"""),"BLACK")</f>
        <v>BLACK</v>
      </c>
      <c r="G1443" s="20" t="str">
        <f>IFERROR(__xludf.DUMMYFUNCTION("""COMPUTED_VALUE"""),"Tap 6 Clone (10/15/2021)")</f>
        <v>Tap 6 Clone (10/15/2021)</v>
      </c>
      <c r="H1443" s="19"/>
    </row>
    <row r="1444">
      <c r="A1444" s="9"/>
      <c r="B1444" s="15"/>
      <c r="C1444" s="9">
        <f>IFERROR(__xludf.DUMMYFUNCTION("""COMPUTED_VALUE"""),44496.6592504513)</f>
        <v>44496.65925</v>
      </c>
      <c r="D1444" s="15">
        <f>IFERROR(__xludf.DUMMYFUNCTION("""COMPUTED_VALUE"""),1.017)</f>
        <v>1.017</v>
      </c>
      <c r="E1444" s="16">
        <f>IFERROR(__xludf.DUMMYFUNCTION("""COMPUTED_VALUE"""),65.0)</f>
        <v>65</v>
      </c>
      <c r="F1444" s="19" t="str">
        <f>IFERROR(__xludf.DUMMYFUNCTION("""COMPUTED_VALUE"""),"BLACK")</f>
        <v>BLACK</v>
      </c>
      <c r="G1444" s="20" t="str">
        <f>IFERROR(__xludf.DUMMYFUNCTION("""COMPUTED_VALUE"""),"Tap 6 Clone (10/15/2021)")</f>
        <v>Tap 6 Clone (10/15/2021)</v>
      </c>
      <c r="H1444" s="19"/>
    </row>
    <row r="1445">
      <c r="A1445" s="9"/>
      <c r="B1445" s="15"/>
      <c r="C1445" s="9">
        <f>IFERROR(__xludf.DUMMYFUNCTION("""COMPUTED_VALUE"""),44496.648830081)</f>
        <v>44496.64883</v>
      </c>
      <c r="D1445" s="15">
        <f>IFERROR(__xludf.DUMMYFUNCTION("""COMPUTED_VALUE"""),1.017)</f>
        <v>1.017</v>
      </c>
      <c r="E1445" s="16">
        <f>IFERROR(__xludf.DUMMYFUNCTION("""COMPUTED_VALUE"""),65.0)</f>
        <v>65</v>
      </c>
      <c r="F1445" s="19" t="str">
        <f>IFERROR(__xludf.DUMMYFUNCTION("""COMPUTED_VALUE"""),"BLACK")</f>
        <v>BLACK</v>
      </c>
      <c r="G1445" s="20" t="str">
        <f>IFERROR(__xludf.DUMMYFUNCTION("""COMPUTED_VALUE"""),"Tap 6 Clone (10/15/2021)")</f>
        <v>Tap 6 Clone (10/15/2021)</v>
      </c>
      <c r="H1445" s="19"/>
    </row>
    <row r="1446">
      <c r="A1446" s="9"/>
      <c r="B1446" s="15"/>
      <c r="C1446" s="9">
        <f>IFERROR(__xludf.DUMMYFUNCTION("""COMPUTED_VALUE"""),44496.6384079513)</f>
        <v>44496.63841</v>
      </c>
      <c r="D1446" s="15">
        <f>IFERROR(__xludf.DUMMYFUNCTION("""COMPUTED_VALUE"""),1.017)</f>
        <v>1.017</v>
      </c>
      <c r="E1446" s="16">
        <f>IFERROR(__xludf.DUMMYFUNCTION("""COMPUTED_VALUE"""),65.0)</f>
        <v>65</v>
      </c>
      <c r="F1446" s="19" t="str">
        <f>IFERROR(__xludf.DUMMYFUNCTION("""COMPUTED_VALUE"""),"BLACK")</f>
        <v>BLACK</v>
      </c>
      <c r="G1446" s="20" t="str">
        <f>IFERROR(__xludf.DUMMYFUNCTION("""COMPUTED_VALUE"""),"Tap 6 Clone (10/15/2021)")</f>
        <v>Tap 6 Clone (10/15/2021)</v>
      </c>
      <c r="H1446" s="19"/>
    </row>
    <row r="1447">
      <c r="A1447" s="9"/>
      <c r="B1447" s="15"/>
      <c r="C1447" s="9">
        <f>IFERROR(__xludf.DUMMYFUNCTION("""COMPUTED_VALUE"""),44496.6279856828)</f>
        <v>44496.62799</v>
      </c>
      <c r="D1447" s="15">
        <f>IFERROR(__xludf.DUMMYFUNCTION("""COMPUTED_VALUE"""),1.017)</f>
        <v>1.017</v>
      </c>
      <c r="E1447" s="16">
        <f>IFERROR(__xludf.DUMMYFUNCTION("""COMPUTED_VALUE"""),65.0)</f>
        <v>65</v>
      </c>
      <c r="F1447" s="19" t="str">
        <f>IFERROR(__xludf.DUMMYFUNCTION("""COMPUTED_VALUE"""),"BLACK")</f>
        <v>BLACK</v>
      </c>
      <c r="G1447" s="20" t="str">
        <f>IFERROR(__xludf.DUMMYFUNCTION("""COMPUTED_VALUE"""),"Tap 6 Clone (10/15/2021)")</f>
        <v>Tap 6 Clone (10/15/2021)</v>
      </c>
      <c r="H1447" s="19"/>
    </row>
    <row r="1448">
      <c r="A1448" s="9"/>
      <c r="B1448" s="15"/>
      <c r="C1448" s="9">
        <f>IFERROR(__xludf.DUMMYFUNCTION("""COMPUTED_VALUE"""),44496.6175638888)</f>
        <v>44496.61756</v>
      </c>
      <c r="D1448" s="15">
        <f>IFERROR(__xludf.DUMMYFUNCTION("""COMPUTED_VALUE"""),1.017)</f>
        <v>1.017</v>
      </c>
      <c r="E1448" s="16">
        <f>IFERROR(__xludf.DUMMYFUNCTION("""COMPUTED_VALUE"""),65.0)</f>
        <v>65</v>
      </c>
      <c r="F1448" s="19" t="str">
        <f>IFERROR(__xludf.DUMMYFUNCTION("""COMPUTED_VALUE"""),"BLACK")</f>
        <v>BLACK</v>
      </c>
      <c r="G1448" s="20" t="str">
        <f>IFERROR(__xludf.DUMMYFUNCTION("""COMPUTED_VALUE"""),"Tap 6 Clone (10/15/2021)")</f>
        <v>Tap 6 Clone (10/15/2021)</v>
      </c>
      <c r="H1448" s="19"/>
    </row>
    <row r="1449">
      <c r="A1449" s="9"/>
      <c r="B1449" s="15"/>
      <c r="C1449" s="9">
        <f>IFERROR(__xludf.DUMMYFUNCTION("""COMPUTED_VALUE"""),44496.6071315393)</f>
        <v>44496.60713</v>
      </c>
      <c r="D1449" s="15">
        <f>IFERROR(__xludf.DUMMYFUNCTION("""COMPUTED_VALUE"""),1.017)</f>
        <v>1.017</v>
      </c>
      <c r="E1449" s="16">
        <f>IFERROR(__xludf.DUMMYFUNCTION("""COMPUTED_VALUE"""),65.0)</f>
        <v>65</v>
      </c>
      <c r="F1449" s="19" t="str">
        <f>IFERROR(__xludf.DUMMYFUNCTION("""COMPUTED_VALUE"""),"BLACK")</f>
        <v>BLACK</v>
      </c>
      <c r="G1449" s="20" t="str">
        <f>IFERROR(__xludf.DUMMYFUNCTION("""COMPUTED_VALUE"""),"Tap 6 Clone (10/15/2021)")</f>
        <v>Tap 6 Clone (10/15/2021)</v>
      </c>
      <c r="H1449" s="19"/>
    </row>
    <row r="1450">
      <c r="A1450" s="9"/>
      <c r="B1450" s="15"/>
      <c r="C1450" s="9">
        <f>IFERROR(__xludf.DUMMYFUNCTION("""COMPUTED_VALUE"""),44496.5966874537)</f>
        <v>44496.59669</v>
      </c>
      <c r="D1450" s="15">
        <f>IFERROR(__xludf.DUMMYFUNCTION("""COMPUTED_VALUE"""),1.016)</f>
        <v>1.016</v>
      </c>
      <c r="E1450" s="16">
        <f>IFERROR(__xludf.DUMMYFUNCTION("""COMPUTED_VALUE"""),65.0)</f>
        <v>65</v>
      </c>
      <c r="F1450" s="19" t="str">
        <f>IFERROR(__xludf.DUMMYFUNCTION("""COMPUTED_VALUE"""),"BLACK")</f>
        <v>BLACK</v>
      </c>
      <c r="G1450" s="20" t="str">
        <f>IFERROR(__xludf.DUMMYFUNCTION("""COMPUTED_VALUE"""),"Tap 6 Clone (10/15/2021)")</f>
        <v>Tap 6 Clone (10/15/2021)</v>
      </c>
      <c r="H1450" s="19"/>
    </row>
    <row r="1451">
      <c r="A1451" s="9"/>
      <c r="B1451" s="15"/>
      <c r="C1451" s="9">
        <f>IFERROR(__xludf.DUMMYFUNCTION("""COMPUTED_VALUE"""),44496.5862311689)</f>
        <v>44496.58623</v>
      </c>
      <c r="D1451" s="15">
        <f>IFERROR(__xludf.DUMMYFUNCTION("""COMPUTED_VALUE"""),1.017)</f>
        <v>1.017</v>
      </c>
      <c r="E1451" s="16">
        <f>IFERROR(__xludf.DUMMYFUNCTION("""COMPUTED_VALUE"""),65.0)</f>
        <v>65</v>
      </c>
      <c r="F1451" s="19" t="str">
        <f>IFERROR(__xludf.DUMMYFUNCTION("""COMPUTED_VALUE"""),"BLACK")</f>
        <v>BLACK</v>
      </c>
      <c r="G1451" s="20" t="str">
        <f>IFERROR(__xludf.DUMMYFUNCTION("""COMPUTED_VALUE"""),"Tap 6 Clone (10/15/2021)")</f>
        <v>Tap 6 Clone (10/15/2021)</v>
      </c>
      <c r="H1451" s="19"/>
    </row>
    <row r="1452">
      <c r="A1452" s="9"/>
      <c r="B1452" s="15"/>
      <c r="C1452" s="9">
        <f>IFERROR(__xludf.DUMMYFUNCTION("""COMPUTED_VALUE"""),44496.575808449)</f>
        <v>44496.57581</v>
      </c>
      <c r="D1452" s="15">
        <f>IFERROR(__xludf.DUMMYFUNCTION("""COMPUTED_VALUE"""),1.017)</f>
        <v>1.017</v>
      </c>
      <c r="E1452" s="16">
        <f>IFERROR(__xludf.DUMMYFUNCTION("""COMPUTED_VALUE"""),65.0)</f>
        <v>65</v>
      </c>
      <c r="F1452" s="19" t="str">
        <f>IFERROR(__xludf.DUMMYFUNCTION("""COMPUTED_VALUE"""),"BLACK")</f>
        <v>BLACK</v>
      </c>
      <c r="G1452" s="20" t="str">
        <f>IFERROR(__xludf.DUMMYFUNCTION("""COMPUTED_VALUE"""),"Tap 6 Clone (10/15/2021)")</f>
        <v>Tap 6 Clone (10/15/2021)</v>
      </c>
      <c r="H1452" s="19"/>
    </row>
    <row r="1453">
      <c r="A1453" s="9"/>
      <c r="B1453" s="15"/>
      <c r="C1453" s="9">
        <f>IFERROR(__xludf.DUMMYFUNCTION("""COMPUTED_VALUE"""),44496.565386574)</f>
        <v>44496.56539</v>
      </c>
      <c r="D1453" s="15">
        <f>IFERROR(__xludf.DUMMYFUNCTION("""COMPUTED_VALUE"""),1.017)</f>
        <v>1.017</v>
      </c>
      <c r="E1453" s="16">
        <f>IFERROR(__xludf.DUMMYFUNCTION("""COMPUTED_VALUE"""),65.0)</f>
        <v>65</v>
      </c>
      <c r="F1453" s="19" t="str">
        <f>IFERROR(__xludf.DUMMYFUNCTION("""COMPUTED_VALUE"""),"BLACK")</f>
        <v>BLACK</v>
      </c>
      <c r="G1453" s="20" t="str">
        <f>IFERROR(__xludf.DUMMYFUNCTION("""COMPUTED_VALUE"""),"Tap 6 Clone (10/15/2021)")</f>
        <v>Tap 6 Clone (10/15/2021)</v>
      </c>
      <c r="H1453" s="19"/>
    </row>
    <row r="1454">
      <c r="A1454" s="9"/>
      <c r="B1454" s="15"/>
      <c r="C1454" s="9">
        <f>IFERROR(__xludf.DUMMYFUNCTION("""COMPUTED_VALUE"""),44496.5549523958)</f>
        <v>44496.55495</v>
      </c>
      <c r="D1454" s="15">
        <f>IFERROR(__xludf.DUMMYFUNCTION("""COMPUTED_VALUE"""),1.017)</f>
        <v>1.017</v>
      </c>
      <c r="E1454" s="16">
        <f>IFERROR(__xludf.DUMMYFUNCTION("""COMPUTED_VALUE"""),65.0)</f>
        <v>65</v>
      </c>
      <c r="F1454" s="19" t="str">
        <f>IFERROR(__xludf.DUMMYFUNCTION("""COMPUTED_VALUE"""),"BLACK")</f>
        <v>BLACK</v>
      </c>
      <c r="G1454" s="20" t="str">
        <f>IFERROR(__xludf.DUMMYFUNCTION("""COMPUTED_VALUE"""),"Tap 6 Clone (10/15/2021)")</f>
        <v>Tap 6 Clone (10/15/2021)</v>
      </c>
      <c r="H1454" s="19"/>
    </row>
    <row r="1455">
      <c r="A1455" s="9"/>
      <c r="B1455" s="15"/>
      <c r="C1455" s="9">
        <f>IFERROR(__xludf.DUMMYFUNCTION("""COMPUTED_VALUE"""),44496.5445322338)</f>
        <v>44496.54453</v>
      </c>
      <c r="D1455" s="15">
        <f>IFERROR(__xludf.DUMMYFUNCTION("""COMPUTED_VALUE"""),1.017)</f>
        <v>1.017</v>
      </c>
      <c r="E1455" s="16">
        <f>IFERROR(__xludf.DUMMYFUNCTION("""COMPUTED_VALUE"""),65.0)</f>
        <v>65</v>
      </c>
      <c r="F1455" s="19" t="str">
        <f>IFERROR(__xludf.DUMMYFUNCTION("""COMPUTED_VALUE"""),"BLACK")</f>
        <v>BLACK</v>
      </c>
      <c r="G1455" s="20" t="str">
        <f>IFERROR(__xludf.DUMMYFUNCTION("""COMPUTED_VALUE"""),"Tap 6 Clone (10/15/2021)")</f>
        <v>Tap 6 Clone (10/15/2021)</v>
      </c>
      <c r="H1455" s="19"/>
    </row>
    <row r="1456">
      <c r="A1456" s="9"/>
      <c r="B1456" s="15"/>
      <c r="C1456" s="9">
        <f>IFERROR(__xludf.DUMMYFUNCTION("""COMPUTED_VALUE"""),44496.5341121759)</f>
        <v>44496.53411</v>
      </c>
      <c r="D1456" s="15">
        <f>IFERROR(__xludf.DUMMYFUNCTION("""COMPUTED_VALUE"""),1.016)</f>
        <v>1.016</v>
      </c>
      <c r="E1456" s="16">
        <f>IFERROR(__xludf.DUMMYFUNCTION("""COMPUTED_VALUE"""),65.0)</f>
        <v>65</v>
      </c>
      <c r="F1456" s="19" t="str">
        <f>IFERROR(__xludf.DUMMYFUNCTION("""COMPUTED_VALUE"""),"BLACK")</f>
        <v>BLACK</v>
      </c>
      <c r="G1456" s="20" t="str">
        <f>IFERROR(__xludf.DUMMYFUNCTION("""COMPUTED_VALUE"""),"Tap 6 Clone (10/15/2021)")</f>
        <v>Tap 6 Clone (10/15/2021)</v>
      </c>
      <c r="H1456" s="19"/>
    </row>
    <row r="1457">
      <c r="A1457" s="9"/>
      <c r="B1457" s="15"/>
      <c r="C1457" s="9">
        <f>IFERROR(__xludf.DUMMYFUNCTION("""COMPUTED_VALUE"""),44496.5236904398)</f>
        <v>44496.52369</v>
      </c>
      <c r="D1457" s="15">
        <f>IFERROR(__xludf.DUMMYFUNCTION("""COMPUTED_VALUE"""),1.015)</f>
        <v>1.015</v>
      </c>
      <c r="E1457" s="16">
        <f>IFERROR(__xludf.DUMMYFUNCTION("""COMPUTED_VALUE"""),65.0)</f>
        <v>65</v>
      </c>
      <c r="F1457" s="19" t="str">
        <f>IFERROR(__xludf.DUMMYFUNCTION("""COMPUTED_VALUE"""),"BLACK")</f>
        <v>BLACK</v>
      </c>
      <c r="G1457" s="20" t="str">
        <f>IFERROR(__xludf.DUMMYFUNCTION("""COMPUTED_VALUE"""),"Tap 6 Clone (10/15/2021)")</f>
        <v>Tap 6 Clone (10/15/2021)</v>
      </c>
      <c r="H1457" s="19"/>
    </row>
    <row r="1458">
      <c r="A1458" s="9"/>
      <c r="B1458" s="15"/>
      <c r="C1458" s="9">
        <f>IFERROR(__xludf.DUMMYFUNCTION("""COMPUTED_VALUE"""),44496.5132575347)</f>
        <v>44496.51326</v>
      </c>
      <c r="D1458" s="15">
        <f>IFERROR(__xludf.DUMMYFUNCTION("""COMPUTED_VALUE"""),1.018)</f>
        <v>1.018</v>
      </c>
      <c r="E1458" s="16">
        <f>IFERROR(__xludf.DUMMYFUNCTION("""COMPUTED_VALUE"""),65.0)</f>
        <v>65</v>
      </c>
      <c r="F1458" s="19" t="str">
        <f>IFERROR(__xludf.DUMMYFUNCTION("""COMPUTED_VALUE"""),"BLACK")</f>
        <v>BLACK</v>
      </c>
      <c r="G1458" s="20" t="str">
        <f>IFERROR(__xludf.DUMMYFUNCTION("""COMPUTED_VALUE"""),"Tap 6 Clone (10/15/2021)")</f>
        <v>Tap 6 Clone (10/15/2021)</v>
      </c>
      <c r="H1458" s="19"/>
    </row>
    <row r="1459">
      <c r="A1459" s="9"/>
      <c r="B1459" s="15"/>
      <c r="C1459" s="9">
        <f>IFERROR(__xludf.DUMMYFUNCTION("""COMPUTED_VALUE"""),44496.5028374884)</f>
        <v>44496.50284</v>
      </c>
      <c r="D1459" s="15">
        <f>IFERROR(__xludf.DUMMYFUNCTION("""COMPUTED_VALUE"""),1.018)</f>
        <v>1.018</v>
      </c>
      <c r="E1459" s="16">
        <f>IFERROR(__xludf.DUMMYFUNCTION("""COMPUTED_VALUE"""),65.0)</f>
        <v>65</v>
      </c>
      <c r="F1459" s="19" t="str">
        <f>IFERROR(__xludf.DUMMYFUNCTION("""COMPUTED_VALUE"""),"BLACK")</f>
        <v>BLACK</v>
      </c>
      <c r="G1459" s="20" t="str">
        <f>IFERROR(__xludf.DUMMYFUNCTION("""COMPUTED_VALUE"""),"Tap 6 Clone (10/15/2021)")</f>
        <v>Tap 6 Clone (10/15/2021)</v>
      </c>
      <c r="H1459" s="19"/>
    </row>
    <row r="1460">
      <c r="A1460" s="9"/>
      <c r="B1460" s="15"/>
      <c r="C1460" s="9">
        <f>IFERROR(__xludf.DUMMYFUNCTION("""COMPUTED_VALUE"""),44496.4924039236)</f>
        <v>44496.4924</v>
      </c>
      <c r="D1460" s="15">
        <f>IFERROR(__xludf.DUMMYFUNCTION("""COMPUTED_VALUE"""),1.018)</f>
        <v>1.018</v>
      </c>
      <c r="E1460" s="16">
        <f>IFERROR(__xludf.DUMMYFUNCTION("""COMPUTED_VALUE"""),65.0)</f>
        <v>65</v>
      </c>
      <c r="F1460" s="19" t="str">
        <f>IFERROR(__xludf.DUMMYFUNCTION("""COMPUTED_VALUE"""),"BLACK")</f>
        <v>BLACK</v>
      </c>
      <c r="G1460" s="20" t="str">
        <f>IFERROR(__xludf.DUMMYFUNCTION("""COMPUTED_VALUE"""),"Tap 6 Clone (10/15/2021)")</f>
        <v>Tap 6 Clone (10/15/2021)</v>
      </c>
      <c r="H1460" s="19"/>
    </row>
    <row r="1461">
      <c r="A1461" s="9"/>
      <c r="B1461" s="15"/>
      <c r="C1461" s="9">
        <f>IFERROR(__xludf.DUMMYFUNCTION("""COMPUTED_VALUE"""),44496.481983125)</f>
        <v>44496.48198</v>
      </c>
      <c r="D1461" s="15">
        <f>IFERROR(__xludf.DUMMYFUNCTION("""COMPUTED_VALUE"""),1.017)</f>
        <v>1.017</v>
      </c>
      <c r="E1461" s="16">
        <f>IFERROR(__xludf.DUMMYFUNCTION("""COMPUTED_VALUE"""),65.0)</f>
        <v>65</v>
      </c>
      <c r="F1461" s="19" t="str">
        <f>IFERROR(__xludf.DUMMYFUNCTION("""COMPUTED_VALUE"""),"BLACK")</f>
        <v>BLACK</v>
      </c>
      <c r="G1461" s="20" t="str">
        <f>IFERROR(__xludf.DUMMYFUNCTION("""COMPUTED_VALUE"""),"Tap 6 Clone (10/15/2021)")</f>
        <v>Tap 6 Clone (10/15/2021)</v>
      </c>
      <c r="H1461" s="19"/>
    </row>
    <row r="1462">
      <c r="A1462" s="9"/>
      <c r="B1462" s="15"/>
      <c r="C1462" s="9">
        <f>IFERROR(__xludf.DUMMYFUNCTION("""COMPUTED_VALUE"""),44496.4715618981)</f>
        <v>44496.47156</v>
      </c>
      <c r="D1462" s="15">
        <f>IFERROR(__xludf.DUMMYFUNCTION("""COMPUTED_VALUE"""),1.018)</f>
        <v>1.018</v>
      </c>
      <c r="E1462" s="16">
        <f>IFERROR(__xludf.DUMMYFUNCTION("""COMPUTED_VALUE"""),65.0)</f>
        <v>65</v>
      </c>
      <c r="F1462" s="19" t="str">
        <f>IFERROR(__xludf.DUMMYFUNCTION("""COMPUTED_VALUE"""),"BLACK")</f>
        <v>BLACK</v>
      </c>
      <c r="G1462" s="20" t="str">
        <f>IFERROR(__xludf.DUMMYFUNCTION("""COMPUTED_VALUE"""),"Tap 6 Clone (10/15/2021)")</f>
        <v>Tap 6 Clone (10/15/2021)</v>
      </c>
      <c r="H1462" s="19"/>
    </row>
    <row r="1463">
      <c r="A1463" s="9"/>
      <c r="B1463" s="15"/>
      <c r="C1463" s="9">
        <f>IFERROR(__xludf.DUMMYFUNCTION("""COMPUTED_VALUE"""),44496.4611409259)</f>
        <v>44496.46114</v>
      </c>
      <c r="D1463" s="15">
        <f>IFERROR(__xludf.DUMMYFUNCTION("""COMPUTED_VALUE"""),1.018)</f>
        <v>1.018</v>
      </c>
      <c r="E1463" s="16">
        <f>IFERROR(__xludf.DUMMYFUNCTION("""COMPUTED_VALUE"""),65.0)</f>
        <v>65</v>
      </c>
      <c r="F1463" s="19" t="str">
        <f>IFERROR(__xludf.DUMMYFUNCTION("""COMPUTED_VALUE"""),"BLACK")</f>
        <v>BLACK</v>
      </c>
      <c r="G1463" s="20" t="str">
        <f>IFERROR(__xludf.DUMMYFUNCTION("""COMPUTED_VALUE"""),"Tap 6 Clone (10/15/2021)")</f>
        <v>Tap 6 Clone (10/15/2021)</v>
      </c>
      <c r="H1463" s="19"/>
    </row>
    <row r="1464">
      <c r="A1464" s="9"/>
      <c r="B1464" s="15"/>
      <c r="C1464" s="9">
        <f>IFERROR(__xludf.DUMMYFUNCTION("""COMPUTED_VALUE"""),44496.4507196759)</f>
        <v>44496.45072</v>
      </c>
      <c r="D1464" s="15">
        <f>IFERROR(__xludf.DUMMYFUNCTION("""COMPUTED_VALUE"""),1.017)</f>
        <v>1.017</v>
      </c>
      <c r="E1464" s="16">
        <f>IFERROR(__xludf.DUMMYFUNCTION("""COMPUTED_VALUE"""),65.0)</f>
        <v>65</v>
      </c>
      <c r="F1464" s="19" t="str">
        <f>IFERROR(__xludf.DUMMYFUNCTION("""COMPUTED_VALUE"""),"BLACK")</f>
        <v>BLACK</v>
      </c>
      <c r="G1464" s="20" t="str">
        <f>IFERROR(__xludf.DUMMYFUNCTION("""COMPUTED_VALUE"""),"Tap 6 Clone (10/15/2021)")</f>
        <v>Tap 6 Clone (10/15/2021)</v>
      </c>
      <c r="H1464" s="19"/>
    </row>
    <row r="1465">
      <c r="A1465" s="9"/>
      <c r="B1465" s="15"/>
      <c r="C1465" s="9">
        <f>IFERROR(__xludf.DUMMYFUNCTION("""COMPUTED_VALUE"""),44496.440286493)</f>
        <v>44496.44029</v>
      </c>
      <c r="D1465" s="15">
        <f>IFERROR(__xludf.DUMMYFUNCTION("""COMPUTED_VALUE"""),1.017)</f>
        <v>1.017</v>
      </c>
      <c r="E1465" s="16">
        <f>IFERROR(__xludf.DUMMYFUNCTION("""COMPUTED_VALUE"""),65.0)</f>
        <v>65</v>
      </c>
      <c r="F1465" s="19" t="str">
        <f>IFERROR(__xludf.DUMMYFUNCTION("""COMPUTED_VALUE"""),"BLACK")</f>
        <v>BLACK</v>
      </c>
      <c r="G1465" s="20" t="str">
        <f>IFERROR(__xludf.DUMMYFUNCTION("""COMPUTED_VALUE"""),"Tap 6 Clone (10/15/2021)")</f>
        <v>Tap 6 Clone (10/15/2021)</v>
      </c>
      <c r="H1465" s="19"/>
    </row>
    <row r="1466">
      <c r="A1466" s="9"/>
      <c r="B1466" s="15"/>
      <c r="C1466" s="9">
        <f>IFERROR(__xludf.DUMMYFUNCTION("""COMPUTED_VALUE"""),44496.4298649884)</f>
        <v>44496.42986</v>
      </c>
      <c r="D1466" s="15">
        <f>IFERROR(__xludf.DUMMYFUNCTION("""COMPUTED_VALUE"""),1.016)</f>
        <v>1.016</v>
      </c>
      <c r="E1466" s="16">
        <f>IFERROR(__xludf.DUMMYFUNCTION("""COMPUTED_VALUE"""),65.0)</f>
        <v>65</v>
      </c>
      <c r="F1466" s="19" t="str">
        <f>IFERROR(__xludf.DUMMYFUNCTION("""COMPUTED_VALUE"""),"BLACK")</f>
        <v>BLACK</v>
      </c>
      <c r="G1466" s="20" t="str">
        <f>IFERROR(__xludf.DUMMYFUNCTION("""COMPUTED_VALUE"""),"Tap 6 Clone (10/15/2021)")</f>
        <v>Tap 6 Clone (10/15/2021)</v>
      </c>
      <c r="H1466" s="19"/>
    </row>
    <row r="1467">
      <c r="A1467" s="9"/>
      <c r="B1467" s="15"/>
      <c r="C1467" s="9">
        <f>IFERROR(__xludf.DUMMYFUNCTION("""COMPUTED_VALUE"""),44496.4194449305)</f>
        <v>44496.41944</v>
      </c>
      <c r="D1467" s="15">
        <f>IFERROR(__xludf.DUMMYFUNCTION("""COMPUTED_VALUE"""),1.017)</f>
        <v>1.017</v>
      </c>
      <c r="E1467" s="16">
        <f>IFERROR(__xludf.DUMMYFUNCTION("""COMPUTED_VALUE"""),65.0)</f>
        <v>65</v>
      </c>
      <c r="F1467" s="19" t="str">
        <f>IFERROR(__xludf.DUMMYFUNCTION("""COMPUTED_VALUE"""),"BLACK")</f>
        <v>BLACK</v>
      </c>
      <c r="G1467" s="20" t="str">
        <f>IFERROR(__xludf.DUMMYFUNCTION("""COMPUTED_VALUE"""),"Tap 6 Clone (10/15/2021)")</f>
        <v>Tap 6 Clone (10/15/2021)</v>
      </c>
      <c r="H1467" s="19"/>
    </row>
    <row r="1468">
      <c r="A1468" s="9"/>
      <c r="B1468" s="15"/>
      <c r="C1468" s="9">
        <f>IFERROR(__xludf.DUMMYFUNCTION("""COMPUTED_VALUE"""),44496.409023449)</f>
        <v>44496.40902</v>
      </c>
      <c r="D1468" s="15">
        <f>IFERROR(__xludf.DUMMYFUNCTION("""COMPUTED_VALUE"""),1.016)</f>
        <v>1.016</v>
      </c>
      <c r="E1468" s="16">
        <f>IFERROR(__xludf.DUMMYFUNCTION("""COMPUTED_VALUE"""),65.0)</f>
        <v>65</v>
      </c>
      <c r="F1468" s="19" t="str">
        <f>IFERROR(__xludf.DUMMYFUNCTION("""COMPUTED_VALUE"""),"BLACK")</f>
        <v>BLACK</v>
      </c>
      <c r="G1468" s="20" t="str">
        <f>IFERROR(__xludf.DUMMYFUNCTION("""COMPUTED_VALUE"""),"Tap 6 Clone (10/15/2021)")</f>
        <v>Tap 6 Clone (10/15/2021)</v>
      </c>
      <c r="H1468" s="19"/>
    </row>
    <row r="1469">
      <c r="A1469" s="9"/>
      <c r="B1469" s="15"/>
      <c r="C1469" s="9">
        <f>IFERROR(__xludf.DUMMYFUNCTION("""COMPUTED_VALUE"""),44496.3985910416)</f>
        <v>44496.39859</v>
      </c>
      <c r="D1469" s="15">
        <f>IFERROR(__xludf.DUMMYFUNCTION("""COMPUTED_VALUE"""),1.016)</f>
        <v>1.016</v>
      </c>
      <c r="E1469" s="16">
        <f>IFERROR(__xludf.DUMMYFUNCTION("""COMPUTED_VALUE"""),65.0)</f>
        <v>65</v>
      </c>
      <c r="F1469" s="19" t="str">
        <f>IFERROR(__xludf.DUMMYFUNCTION("""COMPUTED_VALUE"""),"BLACK")</f>
        <v>BLACK</v>
      </c>
      <c r="G1469" s="20" t="str">
        <f>IFERROR(__xludf.DUMMYFUNCTION("""COMPUTED_VALUE"""),"Tap 6 Clone (10/15/2021)")</f>
        <v>Tap 6 Clone (10/15/2021)</v>
      </c>
      <c r="H1469" s="19"/>
    </row>
    <row r="1470">
      <c r="A1470" s="9"/>
      <c r="B1470" s="15"/>
      <c r="C1470" s="9">
        <f>IFERROR(__xludf.DUMMYFUNCTION("""COMPUTED_VALUE"""),44496.3881691782)</f>
        <v>44496.38817</v>
      </c>
      <c r="D1470" s="15">
        <f>IFERROR(__xludf.DUMMYFUNCTION("""COMPUTED_VALUE"""),1.016)</f>
        <v>1.016</v>
      </c>
      <c r="E1470" s="16">
        <f>IFERROR(__xludf.DUMMYFUNCTION("""COMPUTED_VALUE"""),65.0)</f>
        <v>65</v>
      </c>
      <c r="F1470" s="19" t="str">
        <f>IFERROR(__xludf.DUMMYFUNCTION("""COMPUTED_VALUE"""),"BLACK")</f>
        <v>BLACK</v>
      </c>
      <c r="G1470" s="20" t="str">
        <f>IFERROR(__xludf.DUMMYFUNCTION("""COMPUTED_VALUE"""),"Tap 6 Clone (10/15/2021)")</f>
        <v>Tap 6 Clone (10/15/2021)</v>
      </c>
      <c r="H1470" s="19"/>
    </row>
    <row r="1471">
      <c r="A1471" s="9"/>
      <c r="B1471" s="15"/>
      <c r="C1471" s="9">
        <f>IFERROR(__xludf.DUMMYFUNCTION("""COMPUTED_VALUE"""),44496.3777476273)</f>
        <v>44496.37775</v>
      </c>
      <c r="D1471" s="15">
        <f>IFERROR(__xludf.DUMMYFUNCTION("""COMPUTED_VALUE"""),1.017)</f>
        <v>1.017</v>
      </c>
      <c r="E1471" s="16">
        <f>IFERROR(__xludf.DUMMYFUNCTION("""COMPUTED_VALUE"""),65.0)</f>
        <v>65</v>
      </c>
      <c r="F1471" s="19" t="str">
        <f>IFERROR(__xludf.DUMMYFUNCTION("""COMPUTED_VALUE"""),"BLACK")</f>
        <v>BLACK</v>
      </c>
      <c r="G1471" s="20" t="str">
        <f>IFERROR(__xludf.DUMMYFUNCTION("""COMPUTED_VALUE"""),"Tap 6 Clone (10/15/2021)")</f>
        <v>Tap 6 Clone (10/15/2021)</v>
      </c>
      <c r="H1471" s="19"/>
    </row>
    <row r="1472">
      <c r="A1472" s="9"/>
      <c r="B1472" s="15"/>
      <c r="C1472" s="9">
        <f>IFERROR(__xludf.DUMMYFUNCTION("""COMPUTED_VALUE"""),44496.3673268518)</f>
        <v>44496.36733</v>
      </c>
      <c r="D1472" s="15">
        <f>IFERROR(__xludf.DUMMYFUNCTION("""COMPUTED_VALUE"""),1.017)</f>
        <v>1.017</v>
      </c>
      <c r="E1472" s="16">
        <f>IFERROR(__xludf.DUMMYFUNCTION("""COMPUTED_VALUE"""),65.0)</f>
        <v>65</v>
      </c>
      <c r="F1472" s="19" t="str">
        <f>IFERROR(__xludf.DUMMYFUNCTION("""COMPUTED_VALUE"""),"BLACK")</f>
        <v>BLACK</v>
      </c>
      <c r="G1472" s="20" t="str">
        <f>IFERROR(__xludf.DUMMYFUNCTION("""COMPUTED_VALUE"""),"Tap 6 Clone (10/15/2021)")</f>
        <v>Tap 6 Clone (10/15/2021)</v>
      </c>
      <c r="H1472" s="19"/>
    </row>
    <row r="1473">
      <c r="A1473" s="9"/>
      <c r="B1473" s="15"/>
      <c r="C1473" s="9">
        <f>IFERROR(__xludf.DUMMYFUNCTION("""COMPUTED_VALUE"""),44496.3569054861)</f>
        <v>44496.35691</v>
      </c>
      <c r="D1473" s="15">
        <f>IFERROR(__xludf.DUMMYFUNCTION("""COMPUTED_VALUE"""),1.018)</f>
        <v>1.018</v>
      </c>
      <c r="E1473" s="16">
        <f>IFERROR(__xludf.DUMMYFUNCTION("""COMPUTED_VALUE"""),65.0)</f>
        <v>65</v>
      </c>
      <c r="F1473" s="19" t="str">
        <f>IFERROR(__xludf.DUMMYFUNCTION("""COMPUTED_VALUE"""),"BLACK")</f>
        <v>BLACK</v>
      </c>
      <c r="G1473" s="20" t="str">
        <f>IFERROR(__xludf.DUMMYFUNCTION("""COMPUTED_VALUE"""),"Tap 6 Clone (10/15/2021)")</f>
        <v>Tap 6 Clone (10/15/2021)</v>
      </c>
      <c r="H1473" s="19"/>
    </row>
    <row r="1474">
      <c r="A1474" s="9"/>
      <c r="B1474" s="15"/>
      <c r="C1474" s="9">
        <f>IFERROR(__xludf.DUMMYFUNCTION("""COMPUTED_VALUE"""),44496.3464819213)</f>
        <v>44496.34648</v>
      </c>
      <c r="D1474" s="15">
        <f>IFERROR(__xludf.DUMMYFUNCTION("""COMPUTED_VALUE"""),1.018)</f>
        <v>1.018</v>
      </c>
      <c r="E1474" s="16">
        <f>IFERROR(__xludf.DUMMYFUNCTION("""COMPUTED_VALUE"""),65.0)</f>
        <v>65</v>
      </c>
      <c r="F1474" s="19" t="str">
        <f>IFERROR(__xludf.DUMMYFUNCTION("""COMPUTED_VALUE"""),"BLACK")</f>
        <v>BLACK</v>
      </c>
      <c r="G1474" s="20" t="str">
        <f>IFERROR(__xludf.DUMMYFUNCTION("""COMPUTED_VALUE"""),"Tap 6 Clone (10/15/2021)")</f>
        <v>Tap 6 Clone (10/15/2021)</v>
      </c>
      <c r="H1474" s="19"/>
    </row>
    <row r="1475">
      <c r="A1475" s="9"/>
      <c r="B1475" s="15"/>
      <c r="C1475" s="9">
        <f>IFERROR(__xludf.DUMMYFUNCTION("""COMPUTED_VALUE"""),44496.3360494328)</f>
        <v>44496.33605</v>
      </c>
      <c r="D1475" s="15">
        <f>IFERROR(__xludf.DUMMYFUNCTION("""COMPUTED_VALUE"""),1.017)</f>
        <v>1.017</v>
      </c>
      <c r="E1475" s="16">
        <f>IFERROR(__xludf.DUMMYFUNCTION("""COMPUTED_VALUE"""),65.0)</f>
        <v>65</v>
      </c>
      <c r="F1475" s="19" t="str">
        <f>IFERROR(__xludf.DUMMYFUNCTION("""COMPUTED_VALUE"""),"BLACK")</f>
        <v>BLACK</v>
      </c>
      <c r="G1475" s="20" t="str">
        <f>IFERROR(__xludf.DUMMYFUNCTION("""COMPUTED_VALUE"""),"Tap 6 Clone (10/15/2021)")</f>
        <v>Tap 6 Clone (10/15/2021)</v>
      </c>
      <c r="H1475" s="19"/>
    </row>
    <row r="1476">
      <c r="A1476" s="9"/>
      <c r="B1476" s="15"/>
      <c r="C1476" s="9">
        <f>IFERROR(__xludf.DUMMYFUNCTION("""COMPUTED_VALUE"""),44496.3256290046)</f>
        <v>44496.32563</v>
      </c>
      <c r="D1476" s="15">
        <f>IFERROR(__xludf.DUMMYFUNCTION("""COMPUTED_VALUE"""),1.016)</f>
        <v>1.016</v>
      </c>
      <c r="E1476" s="16">
        <f>IFERROR(__xludf.DUMMYFUNCTION("""COMPUTED_VALUE"""),65.0)</f>
        <v>65</v>
      </c>
      <c r="F1476" s="19" t="str">
        <f>IFERROR(__xludf.DUMMYFUNCTION("""COMPUTED_VALUE"""),"BLACK")</f>
        <v>BLACK</v>
      </c>
      <c r="G1476" s="20" t="str">
        <f>IFERROR(__xludf.DUMMYFUNCTION("""COMPUTED_VALUE"""),"Tap 6 Clone (10/15/2021)")</f>
        <v>Tap 6 Clone (10/15/2021)</v>
      </c>
      <c r="H1476" s="19"/>
    </row>
    <row r="1477">
      <c r="A1477" s="9"/>
      <c r="B1477" s="15"/>
      <c r="C1477" s="9">
        <f>IFERROR(__xludf.DUMMYFUNCTION("""COMPUTED_VALUE"""),44496.3152067013)</f>
        <v>44496.31521</v>
      </c>
      <c r="D1477" s="15">
        <f>IFERROR(__xludf.DUMMYFUNCTION("""COMPUTED_VALUE"""),1.017)</f>
        <v>1.017</v>
      </c>
      <c r="E1477" s="16">
        <f>IFERROR(__xludf.DUMMYFUNCTION("""COMPUTED_VALUE"""),65.0)</f>
        <v>65</v>
      </c>
      <c r="F1477" s="19" t="str">
        <f>IFERROR(__xludf.DUMMYFUNCTION("""COMPUTED_VALUE"""),"BLACK")</f>
        <v>BLACK</v>
      </c>
      <c r="G1477" s="20" t="str">
        <f>IFERROR(__xludf.DUMMYFUNCTION("""COMPUTED_VALUE"""),"Tap 6 Clone (10/15/2021)")</f>
        <v>Tap 6 Clone (10/15/2021)</v>
      </c>
      <c r="H1477" s="19"/>
    </row>
    <row r="1478">
      <c r="A1478" s="9"/>
      <c r="B1478" s="15"/>
      <c r="C1478" s="9">
        <f>IFERROR(__xludf.DUMMYFUNCTION("""COMPUTED_VALUE"""),44496.304784537)</f>
        <v>44496.30478</v>
      </c>
      <c r="D1478" s="15">
        <f>IFERROR(__xludf.DUMMYFUNCTION("""COMPUTED_VALUE"""),1.017)</f>
        <v>1.017</v>
      </c>
      <c r="E1478" s="16">
        <f>IFERROR(__xludf.DUMMYFUNCTION("""COMPUTED_VALUE"""),65.0)</f>
        <v>65</v>
      </c>
      <c r="F1478" s="19" t="str">
        <f>IFERROR(__xludf.DUMMYFUNCTION("""COMPUTED_VALUE"""),"BLACK")</f>
        <v>BLACK</v>
      </c>
      <c r="G1478" s="20" t="str">
        <f>IFERROR(__xludf.DUMMYFUNCTION("""COMPUTED_VALUE"""),"Tap 6 Clone (10/15/2021)")</f>
        <v>Tap 6 Clone (10/15/2021)</v>
      </c>
      <c r="H1478" s="19"/>
    </row>
    <row r="1479">
      <c r="A1479" s="9"/>
      <c r="B1479" s="15"/>
      <c r="C1479" s="9">
        <f>IFERROR(__xludf.DUMMYFUNCTION("""COMPUTED_VALUE"""),44496.2943626967)</f>
        <v>44496.29436</v>
      </c>
      <c r="D1479" s="15">
        <f>IFERROR(__xludf.DUMMYFUNCTION("""COMPUTED_VALUE"""),1.018)</f>
        <v>1.018</v>
      </c>
      <c r="E1479" s="16">
        <f>IFERROR(__xludf.DUMMYFUNCTION("""COMPUTED_VALUE"""),65.0)</f>
        <v>65</v>
      </c>
      <c r="F1479" s="19" t="str">
        <f>IFERROR(__xludf.DUMMYFUNCTION("""COMPUTED_VALUE"""),"BLACK")</f>
        <v>BLACK</v>
      </c>
      <c r="G1479" s="20" t="str">
        <f>IFERROR(__xludf.DUMMYFUNCTION("""COMPUTED_VALUE"""),"Tap 6 Clone (10/15/2021)")</f>
        <v>Tap 6 Clone (10/15/2021)</v>
      </c>
      <c r="H1479" s="19"/>
    </row>
    <row r="1480">
      <c r="A1480" s="9"/>
      <c r="B1480" s="15"/>
      <c r="C1480" s="9">
        <f>IFERROR(__xludf.DUMMYFUNCTION("""COMPUTED_VALUE"""),44496.2839420949)</f>
        <v>44496.28394</v>
      </c>
      <c r="D1480" s="15">
        <f>IFERROR(__xludf.DUMMYFUNCTION("""COMPUTED_VALUE"""),1.019)</f>
        <v>1.019</v>
      </c>
      <c r="E1480" s="16">
        <f>IFERROR(__xludf.DUMMYFUNCTION("""COMPUTED_VALUE"""),65.0)</f>
        <v>65</v>
      </c>
      <c r="F1480" s="19" t="str">
        <f>IFERROR(__xludf.DUMMYFUNCTION("""COMPUTED_VALUE"""),"BLACK")</f>
        <v>BLACK</v>
      </c>
      <c r="G1480" s="20" t="str">
        <f>IFERROR(__xludf.DUMMYFUNCTION("""COMPUTED_VALUE"""),"Tap 6 Clone (10/15/2021)")</f>
        <v>Tap 6 Clone (10/15/2021)</v>
      </c>
      <c r="H1480" s="19"/>
    </row>
    <row r="1481">
      <c r="A1481" s="9"/>
      <c r="B1481" s="15"/>
      <c r="C1481" s="9">
        <f>IFERROR(__xludf.DUMMYFUNCTION("""COMPUTED_VALUE"""),44496.2735231481)</f>
        <v>44496.27352</v>
      </c>
      <c r="D1481" s="15">
        <f>IFERROR(__xludf.DUMMYFUNCTION("""COMPUTED_VALUE"""),1.018)</f>
        <v>1.018</v>
      </c>
      <c r="E1481" s="16">
        <f>IFERROR(__xludf.DUMMYFUNCTION("""COMPUTED_VALUE"""),65.0)</f>
        <v>65</v>
      </c>
      <c r="F1481" s="19" t="str">
        <f>IFERROR(__xludf.DUMMYFUNCTION("""COMPUTED_VALUE"""),"BLACK")</f>
        <v>BLACK</v>
      </c>
      <c r="G1481" s="20" t="str">
        <f>IFERROR(__xludf.DUMMYFUNCTION("""COMPUTED_VALUE"""),"Tap 6 Clone (10/15/2021)")</f>
        <v>Tap 6 Clone (10/15/2021)</v>
      </c>
      <c r="H1481" s="19"/>
    </row>
    <row r="1482">
      <c r="A1482" s="9"/>
      <c r="B1482" s="15"/>
      <c r="C1482" s="9">
        <f>IFERROR(__xludf.DUMMYFUNCTION("""COMPUTED_VALUE"""),44496.2631014467)</f>
        <v>44496.2631</v>
      </c>
      <c r="D1482" s="15">
        <f>IFERROR(__xludf.DUMMYFUNCTION("""COMPUTED_VALUE"""),1.017)</f>
        <v>1.017</v>
      </c>
      <c r="E1482" s="16">
        <f>IFERROR(__xludf.DUMMYFUNCTION("""COMPUTED_VALUE"""),65.0)</f>
        <v>65</v>
      </c>
      <c r="F1482" s="19" t="str">
        <f>IFERROR(__xludf.DUMMYFUNCTION("""COMPUTED_VALUE"""),"BLACK")</f>
        <v>BLACK</v>
      </c>
      <c r="G1482" s="20" t="str">
        <f>IFERROR(__xludf.DUMMYFUNCTION("""COMPUTED_VALUE"""),"Tap 6 Clone (10/15/2021)")</f>
        <v>Tap 6 Clone (10/15/2021)</v>
      </c>
      <c r="H1482" s="19"/>
    </row>
    <row r="1483">
      <c r="A1483" s="9"/>
      <c r="B1483" s="15"/>
      <c r="C1483" s="9">
        <f>IFERROR(__xludf.DUMMYFUNCTION("""COMPUTED_VALUE"""),44496.2526804166)</f>
        <v>44496.25268</v>
      </c>
      <c r="D1483" s="15">
        <f>IFERROR(__xludf.DUMMYFUNCTION("""COMPUTED_VALUE"""),1.017)</f>
        <v>1.017</v>
      </c>
      <c r="E1483" s="16">
        <f>IFERROR(__xludf.DUMMYFUNCTION("""COMPUTED_VALUE"""),65.0)</f>
        <v>65</v>
      </c>
      <c r="F1483" s="19" t="str">
        <f>IFERROR(__xludf.DUMMYFUNCTION("""COMPUTED_VALUE"""),"BLACK")</f>
        <v>BLACK</v>
      </c>
      <c r="G1483" s="20" t="str">
        <f>IFERROR(__xludf.DUMMYFUNCTION("""COMPUTED_VALUE"""),"Tap 6 Clone (10/15/2021)")</f>
        <v>Tap 6 Clone (10/15/2021)</v>
      </c>
      <c r="H1483" s="19"/>
    </row>
    <row r="1484">
      <c r="A1484" s="9"/>
      <c r="B1484" s="15"/>
      <c r="C1484" s="9">
        <f>IFERROR(__xludf.DUMMYFUNCTION("""COMPUTED_VALUE"""),44496.2422594675)</f>
        <v>44496.24226</v>
      </c>
      <c r="D1484" s="15">
        <f>IFERROR(__xludf.DUMMYFUNCTION("""COMPUTED_VALUE"""),1.017)</f>
        <v>1.017</v>
      </c>
      <c r="E1484" s="16">
        <f>IFERROR(__xludf.DUMMYFUNCTION("""COMPUTED_VALUE"""),65.0)</f>
        <v>65</v>
      </c>
      <c r="F1484" s="19" t="str">
        <f>IFERROR(__xludf.DUMMYFUNCTION("""COMPUTED_VALUE"""),"BLACK")</f>
        <v>BLACK</v>
      </c>
      <c r="G1484" s="20" t="str">
        <f>IFERROR(__xludf.DUMMYFUNCTION("""COMPUTED_VALUE"""),"Tap 6 Clone (10/15/2021)")</f>
        <v>Tap 6 Clone (10/15/2021)</v>
      </c>
      <c r="H1484" s="19"/>
    </row>
    <row r="1485">
      <c r="A1485" s="9"/>
      <c r="B1485" s="15"/>
      <c r="C1485" s="9">
        <f>IFERROR(__xludf.DUMMYFUNCTION("""COMPUTED_VALUE"""),44496.2318367476)</f>
        <v>44496.23184</v>
      </c>
      <c r="D1485" s="15">
        <f>IFERROR(__xludf.DUMMYFUNCTION("""COMPUTED_VALUE"""),1.017)</f>
        <v>1.017</v>
      </c>
      <c r="E1485" s="16">
        <f>IFERROR(__xludf.DUMMYFUNCTION("""COMPUTED_VALUE"""),65.0)</f>
        <v>65</v>
      </c>
      <c r="F1485" s="19" t="str">
        <f>IFERROR(__xludf.DUMMYFUNCTION("""COMPUTED_VALUE"""),"BLACK")</f>
        <v>BLACK</v>
      </c>
      <c r="G1485" s="20" t="str">
        <f>IFERROR(__xludf.DUMMYFUNCTION("""COMPUTED_VALUE"""),"Tap 6 Clone (10/15/2021)")</f>
        <v>Tap 6 Clone (10/15/2021)</v>
      </c>
      <c r="H1485" s="19"/>
    </row>
    <row r="1486">
      <c r="A1486" s="9"/>
      <c r="B1486" s="15"/>
      <c r="C1486" s="9">
        <f>IFERROR(__xludf.DUMMYFUNCTION("""COMPUTED_VALUE"""),44496.2214155902)</f>
        <v>44496.22142</v>
      </c>
      <c r="D1486" s="15">
        <f>IFERROR(__xludf.DUMMYFUNCTION("""COMPUTED_VALUE"""),1.017)</f>
        <v>1.017</v>
      </c>
      <c r="E1486" s="16">
        <f>IFERROR(__xludf.DUMMYFUNCTION("""COMPUTED_VALUE"""),65.0)</f>
        <v>65</v>
      </c>
      <c r="F1486" s="19" t="str">
        <f>IFERROR(__xludf.DUMMYFUNCTION("""COMPUTED_VALUE"""),"BLACK")</f>
        <v>BLACK</v>
      </c>
      <c r="G1486" s="20" t="str">
        <f>IFERROR(__xludf.DUMMYFUNCTION("""COMPUTED_VALUE"""),"Tap 6 Clone (10/15/2021)")</f>
        <v>Tap 6 Clone (10/15/2021)</v>
      </c>
      <c r="H1486" s="19"/>
    </row>
    <row r="1487">
      <c r="A1487" s="9"/>
      <c r="B1487" s="15"/>
      <c r="C1487" s="9">
        <f>IFERROR(__xludf.DUMMYFUNCTION("""COMPUTED_VALUE"""),44496.2109835648)</f>
        <v>44496.21098</v>
      </c>
      <c r="D1487" s="15">
        <f>IFERROR(__xludf.DUMMYFUNCTION("""COMPUTED_VALUE"""),1.016)</f>
        <v>1.016</v>
      </c>
      <c r="E1487" s="16">
        <f>IFERROR(__xludf.DUMMYFUNCTION("""COMPUTED_VALUE"""),64.0)</f>
        <v>64</v>
      </c>
      <c r="F1487" s="19" t="str">
        <f>IFERROR(__xludf.DUMMYFUNCTION("""COMPUTED_VALUE"""),"BLACK")</f>
        <v>BLACK</v>
      </c>
      <c r="G1487" s="20" t="str">
        <f>IFERROR(__xludf.DUMMYFUNCTION("""COMPUTED_VALUE"""),"Tap 6 Clone (10/15/2021)")</f>
        <v>Tap 6 Clone (10/15/2021)</v>
      </c>
      <c r="H1487" s="19"/>
    </row>
    <row r="1488">
      <c r="A1488" s="9"/>
      <c r="B1488" s="15"/>
      <c r="C1488" s="9">
        <f>IFERROR(__xludf.DUMMYFUNCTION("""COMPUTED_VALUE"""),44496.2005640393)</f>
        <v>44496.20056</v>
      </c>
      <c r="D1488" s="15">
        <f>IFERROR(__xludf.DUMMYFUNCTION("""COMPUTED_VALUE"""),1.019)</f>
        <v>1.019</v>
      </c>
      <c r="E1488" s="16">
        <f>IFERROR(__xludf.DUMMYFUNCTION("""COMPUTED_VALUE"""),65.0)</f>
        <v>65</v>
      </c>
      <c r="F1488" s="19" t="str">
        <f>IFERROR(__xludf.DUMMYFUNCTION("""COMPUTED_VALUE"""),"BLACK")</f>
        <v>BLACK</v>
      </c>
      <c r="G1488" s="20" t="str">
        <f>IFERROR(__xludf.DUMMYFUNCTION("""COMPUTED_VALUE"""),"Tap 6 Clone (10/15/2021)")</f>
        <v>Tap 6 Clone (10/15/2021)</v>
      </c>
      <c r="H1488" s="19"/>
    </row>
    <row r="1489">
      <c r="A1489" s="9"/>
      <c r="B1489" s="15"/>
      <c r="C1489" s="9">
        <f>IFERROR(__xludf.DUMMYFUNCTION("""COMPUTED_VALUE"""),44496.1901305439)</f>
        <v>44496.19013</v>
      </c>
      <c r="D1489" s="15">
        <f>IFERROR(__xludf.DUMMYFUNCTION("""COMPUTED_VALUE"""),1.018)</f>
        <v>1.018</v>
      </c>
      <c r="E1489" s="16">
        <f>IFERROR(__xludf.DUMMYFUNCTION("""COMPUTED_VALUE"""),64.0)</f>
        <v>64</v>
      </c>
      <c r="F1489" s="19" t="str">
        <f>IFERROR(__xludf.DUMMYFUNCTION("""COMPUTED_VALUE"""),"BLACK")</f>
        <v>BLACK</v>
      </c>
      <c r="G1489" s="20" t="str">
        <f>IFERROR(__xludf.DUMMYFUNCTION("""COMPUTED_VALUE"""),"Tap 6 Clone (10/15/2021)")</f>
        <v>Tap 6 Clone (10/15/2021)</v>
      </c>
      <c r="H1489" s="19"/>
    </row>
    <row r="1490">
      <c r="A1490" s="9"/>
      <c r="B1490" s="15"/>
      <c r="C1490" s="9">
        <f>IFERROR(__xludf.DUMMYFUNCTION("""COMPUTED_VALUE"""),44496.179707581)</f>
        <v>44496.17971</v>
      </c>
      <c r="D1490" s="15">
        <f>IFERROR(__xludf.DUMMYFUNCTION("""COMPUTED_VALUE"""),1.018)</f>
        <v>1.018</v>
      </c>
      <c r="E1490" s="16">
        <f>IFERROR(__xludf.DUMMYFUNCTION("""COMPUTED_VALUE"""),64.0)</f>
        <v>64</v>
      </c>
      <c r="F1490" s="19" t="str">
        <f>IFERROR(__xludf.DUMMYFUNCTION("""COMPUTED_VALUE"""),"BLACK")</f>
        <v>BLACK</v>
      </c>
      <c r="G1490" s="20" t="str">
        <f>IFERROR(__xludf.DUMMYFUNCTION("""COMPUTED_VALUE"""),"Tap 6 Clone (10/15/2021)")</f>
        <v>Tap 6 Clone (10/15/2021)</v>
      </c>
      <c r="H1490" s="19"/>
    </row>
    <row r="1491">
      <c r="A1491" s="9"/>
      <c r="B1491" s="15"/>
      <c r="C1491" s="9">
        <f>IFERROR(__xludf.DUMMYFUNCTION("""COMPUTED_VALUE"""),44496.1692875231)</f>
        <v>44496.16929</v>
      </c>
      <c r="D1491" s="15">
        <f>IFERROR(__xludf.DUMMYFUNCTION("""COMPUTED_VALUE"""),1.018)</f>
        <v>1.018</v>
      </c>
      <c r="E1491" s="16">
        <f>IFERROR(__xludf.DUMMYFUNCTION("""COMPUTED_VALUE"""),64.0)</f>
        <v>64</v>
      </c>
      <c r="F1491" s="19" t="str">
        <f>IFERROR(__xludf.DUMMYFUNCTION("""COMPUTED_VALUE"""),"BLACK")</f>
        <v>BLACK</v>
      </c>
      <c r="G1491" s="20" t="str">
        <f>IFERROR(__xludf.DUMMYFUNCTION("""COMPUTED_VALUE"""),"Tap 6 Clone (10/15/2021)")</f>
        <v>Tap 6 Clone (10/15/2021)</v>
      </c>
      <c r="H1491" s="19"/>
    </row>
    <row r="1492">
      <c r="A1492" s="9"/>
      <c r="B1492" s="15"/>
      <c r="C1492" s="9">
        <f>IFERROR(__xludf.DUMMYFUNCTION("""COMPUTED_VALUE"""),44496.1588665625)</f>
        <v>44496.15887</v>
      </c>
      <c r="D1492" s="15">
        <f>IFERROR(__xludf.DUMMYFUNCTION("""COMPUTED_VALUE"""),1.018)</f>
        <v>1.018</v>
      </c>
      <c r="E1492" s="16">
        <f>IFERROR(__xludf.DUMMYFUNCTION("""COMPUTED_VALUE"""),64.0)</f>
        <v>64</v>
      </c>
      <c r="F1492" s="19" t="str">
        <f>IFERROR(__xludf.DUMMYFUNCTION("""COMPUTED_VALUE"""),"BLACK")</f>
        <v>BLACK</v>
      </c>
      <c r="G1492" s="20" t="str">
        <f>IFERROR(__xludf.DUMMYFUNCTION("""COMPUTED_VALUE"""),"Tap 6 Clone (10/15/2021)")</f>
        <v>Tap 6 Clone (10/15/2021)</v>
      </c>
      <c r="H1492" s="19"/>
    </row>
    <row r="1493">
      <c r="A1493" s="9"/>
      <c r="B1493" s="15"/>
      <c r="C1493" s="9">
        <f>IFERROR(__xludf.DUMMYFUNCTION("""COMPUTED_VALUE"""),44496.1484451157)</f>
        <v>44496.14845</v>
      </c>
      <c r="D1493" s="15">
        <f>IFERROR(__xludf.DUMMYFUNCTION("""COMPUTED_VALUE"""),1.018)</f>
        <v>1.018</v>
      </c>
      <c r="E1493" s="16">
        <f>IFERROR(__xludf.DUMMYFUNCTION("""COMPUTED_VALUE"""),64.0)</f>
        <v>64</v>
      </c>
      <c r="F1493" s="19" t="str">
        <f>IFERROR(__xludf.DUMMYFUNCTION("""COMPUTED_VALUE"""),"BLACK")</f>
        <v>BLACK</v>
      </c>
      <c r="G1493" s="20" t="str">
        <f>IFERROR(__xludf.DUMMYFUNCTION("""COMPUTED_VALUE"""),"Tap 6 Clone (10/15/2021)")</f>
        <v>Tap 6 Clone (10/15/2021)</v>
      </c>
      <c r="H1493" s="19"/>
    </row>
    <row r="1494">
      <c r="A1494" s="9"/>
      <c r="B1494" s="15"/>
      <c r="C1494" s="9">
        <f>IFERROR(__xludf.DUMMYFUNCTION("""COMPUTED_VALUE"""),44496.1380231828)</f>
        <v>44496.13802</v>
      </c>
      <c r="D1494" s="15">
        <f>IFERROR(__xludf.DUMMYFUNCTION("""COMPUTED_VALUE"""),1.018)</f>
        <v>1.018</v>
      </c>
      <c r="E1494" s="16">
        <f>IFERROR(__xludf.DUMMYFUNCTION("""COMPUTED_VALUE"""),64.0)</f>
        <v>64</v>
      </c>
      <c r="F1494" s="19" t="str">
        <f>IFERROR(__xludf.DUMMYFUNCTION("""COMPUTED_VALUE"""),"BLACK")</f>
        <v>BLACK</v>
      </c>
      <c r="G1494" s="20" t="str">
        <f>IFERROR(__xludf.DUMMYFUNCTION("""COMPUTED_VALUE"""),"Tap 6 Clone (10/15/2021)")</f>
        <v>Tap 6 Clone (10/15/2021)</v>
      </c>
      <c r="H1494" s="19"/>
    </row>
    <row r="1495">
      <c r="A1495" s="9"/>
      <c r="B1495" s="15"/>
      <c r="C1495" s="9">
        <f>IFERROR(__xludf.DUMMYFUNCTION("""COMPUTED_VALUE"""),44496.1276015162)</f>
        <v>44496.1276</v>
      </c>
      <c r="D1495" s="15">
        <f>IFERROR(__xludf.DUMMYFUNCTION("""COMPUTED_VALUE"""),1.016)</f>
        <v>1.016</v>
      </c>
      <c r="E1495" s="16">
        <f>IFERROR(__xludf.DUMMYFUNCTION("""COMPUTED_VALUE"""),64.0)</f>
        <v>64</v>
      </c>
      <c r="F1495" s="19" t="str">
        <f>IFERROR(__xludf.DUMMYFUNCTION("""COMPUTED_VALUE"""),"BLACK")</f>
        <v>BLACK</v>
      </c>
      <c r="G1495" s="20" t="str">
        <f>IFERROR(__xludf.DUMMYFUNCTION("""COMPUTED_VALUE"""),"Tap 6 Clone (10/15/2021)")</f>
        <v>Tap 6 Clone (10/15/2021)</v>
      </c>
      <c r="H1495" s="19"/>
    </row>
    <row r="1496">
      <c r="A1496" s="9"/>
      <c r="B1496" s="15"/>
      <c r="C1496" s="9">
        <f>IFERROR(__xludf.DUMMYFUNCTION("""COMPUTED_VALUE"""),44496.1171822916)</f>
        <v>44496.11718</v>
      </c>
      <c r="D1496" s="15">
        <f>IFERROR(__xludf.DUMMYFUNCTION("""COMPUTED_VALUE"""),1.018)</f>
        <v>1.018</v>
      </c>
      <c r="E1496" s="16">
        <f>IFERROR(__xludf.DUMMYFUNCTION("""COMPUTED_VALUE"""),64.0)</f>
        <v>64</v>
      </c>
      <c r="F1496" s="19" t="str">
        <f>IFERROR(__xludf.DUMMYFUNCTION("""COMPUTED_VALUE"""),"BLACK")</f>
        <v>BLACK</v>
      </c>
      <c r="G1496" s="20" t="str">
        <f>IFERROR(__xludf.DUMMYFUNCTION("""COMPUTED_VALUE"""),"Tap 6 Clone (10/15/2021)")</f>
        <v>Tap 6 Clone (10/15/2021)</v>
      </c>
      <c r="H1496" s="19"/>
    </row>
    <row r="1497">
      <c r="A1497" s="9"/>
      <c r="B1497" s="15"/>
      <c r="C1497" s="9">
        <f>IFERROR(__xludf.DUMMYFUNCTION("""COMPUTED_VALUE"""),44496.1067618865)</f>
        <v>44496.10676</v>
      </c>
      <c r="D1497" s="15">
        <f>IFERROR(__xludf.DUMMYFUNCTION("""COMPUTED_VALUE"""),1.019)</f>
        <v>1.019</v>
      </c>
      <c r="E1497" s="16">
        <f>IFERROR(__xludf.DUMMYFUNCTION("""COMPUTED_VALUE"""),64.0)</f>
        <v>64</v>
      </c>
      <c r="F1497" s="19" t="str">
        <f>IFERROR(__xludf.DUMMYFUNCTION("""COMPUTED_VALUE"""),"BLACK")</f>
        <v>BLACK</v>
      </c>
      <c r="G1497" s="20" t="str">
        <f>IFERROR(__xludf.DUMMYFUNCTION("""COMPUTED_VALUE"""),"Tap 6 Clone (10/15/2021)")</f>
        <v>Tap 6 Clone (10/15/2021)</v>
      </c>
      <c r="H1497" s="19"/>
    </row>
    <row r="1498">
      <c r="A1498" s="9"/>
      <c r="B1498" s="15"/>
      <c r="C1498" s="9">
        <f>IFERROR(__xludf.DUMMYFUNCTION("""COMPUTED_VALUE"""),44496.0963405324)</f>
        <v>44496.09634</v>
      </c>
      <c r="D1498" s="15">
        <f>IFERROR(__xludf.DUMMYFUNCTION("""COMPUTED_VALUE"""),1.017)</f>
        <v>1.017</v>
      </c>
      <c r="E1498" s="16">
        <f>IFERROR(__xludf.DUMMYFUNCTION("""COMPUTED_VALUE"""),64.0)</f>
        <v>64</v>
      </c>
      <c r="F1498" s="19" t="str">
        <f>IFERROR(__xludf.DUMMYFUNCTION("""COMPUTED_VALUE"""),"BLACK")</f>
        <v>BLACK</v>
      </c>
      <c r="G1498" s="20" t="str">
        <f>IFERROR(__xludf.DUMMYFUNCTION("""COMPUTED_VALUE"""),"Tap 6 Clone (10/15/2021)")</f>
        <v>Tap 6 Clone (10/15/2021)</v>
      </c>
      <c r="H1498" s="19"/>
    </row>
    <row r="1499">
      <c r="A1499" s="9"/>
      <c r="B1499" s="15"/>
      <c r="C1499" s="9">
        <f>IFERROR(__xludf.DUMMYFUNCTION("""COMPUTED_VALUE"""),44496.0859187963)</f>
        <v>44496.08592</v>
      </c>
      <c r="D1499" s="15">
        <f>IFERROR(__xludf.DUMMYFUNCTION("""COMPUTED_VALUE"""),1.017)</f>
        <v>1.017</v>
      </c>
      <c r="E1499" s="16">
        <f>IFERROR(__xludf.DUMMYFUNCTION("""COMPUTED_VALUE"""),64.0)</f>
        <v>64</v>
      </c>
      <c r="F1499" s="19" t="str">
        <f>IFERROR(__xludf.DUMMYFUNCTION("""COMPUTED_VALUE"""),"BLACK")</f>
        <v>BLACK</v>
      </c>
      <c r="G1499" s="20" t="str">
        <f>IFERROR(__xludf.DUMMYFUNCTION("""COMPUTED_VALUE"""),"Tap 6 Clone (10/15/2021)")</f>
        <v>Tap 6 Clone (10/15/2021)</v>
      </c>
      <c r="H1499" s="19"/>
    </row>
    <row r="1500">
      <c r="A1500" s="9"/>
      <c r="B1500" s="15"/>
      <c r="C1500" s="9">
        <f>IFERROR(__xludf.DUMMYFUNCTION("""COMPUTED_VALUE"""),44496.0754975926)</f>
        <v>44496.0755</v>
      </c>
      <c r="D1500" s="15">
        <f>IFERROR(__xludf.DUMMYFUNCTION("""COMPUTED_VALUE"""),1.018)</f>
        <v>1.018</v>
      </c>
      <c r="E1500" s="16">
        <f>IFERROR(__xludf.DUMMYFUNCTION("""COMPUTED_VALUE"""),64.0)</f>
        <v>64</v>
      </c>
      <c r="F1500" s="19" t="str">
        <f>IFERROR(__xludf.DUMMYFUNCTION("""COMPUTED_VALUE"""),"BLACK")</f>
        <v>BLACK</v>
      </c>
      <c r="G1500" s="20" t="str">
        <f>IFERROR(__xludf.DUMMYFUNCTION("""COMPUTED_VALUE"""),"Tap 6 Clone (10/15/2021)")</f>
        <v>Tap 6 Clone (10/15/2021)</v>
      </c>
      <c r="H1500" s="19"/>
    </row>
    <row r="1501">
      <c r="A1501" s="9"/>
      <c r="B1501" s="15"/>
      <c r="C1501" s="9">
        <f>IFERROR(__xludf.DUMMYFUNCTION("""COMPUTED_VALUE"""),44496.0650762847)</f>
        <v>44496.06508</v>
      </c>
      <c r="D1501" s="15">
        <f>IFERROR(__xludf.DUMMYFUNCTION("""COMPUTED_VALUE"""),1.017)</f>
        <v>1.017</v>
      </c>
      <c r="E1501" s="16">
        <f>IFERROR(__xludf.DUMMYFUNCTION("""COMPUTED_VALUE"""),64.0)</f>
        <v>64</v>
      </c>
      <c r="F1501" s="19" t="str">
        <f>IFERROR(__xludf.DUMMYFUNCTION("""COMPUTED_VALUE"""),"BLACK")</f>
        <v>BLACK</v>
      </c>
      <c r="G1501" s="20" t="str">
        <f>IFERROR(__xludf.DUMMYFUNCTION("""COMPUTED_VALUE"""),"Tap 6 Clone (10/15/2021)")</f>
        <v>Tap 6 Clone (10/15/2021)</v>
      </c>
      <c r="H1501" s="19"/>
    </row>
    <row r="1502">
      <c r="A1502" s="9"/>
      <c r="B1502" s="15"/>
      <c r="C1502" s="9">
        <f>IFERROR(__xludf.DUMMYFUNCTION("""COMPUTED_VALUE"""),44496.0546334375)</f>
        <v>44496.05463</v>
      </c>
      <c r="D1502" s="15">
        <f>IFERROR(__xludf.DUMMYFUNCTION("""COMPUTED_VALUE"""),1.017)</f>
        <v>1.017</v>
      </c>
      <c r="E1502" s="16">
        <f>IFERROR(__xludf.DUMMYFUNCTION("""COMPUTED_VALUE"""),64.0)</f>
        <v>64</v>
      </c>
      <c r="F1502" s="19" t="str">
        <f>IFERROR(__xludf.DUMMYFUNCTION("""COMPUTED_VALUE"""),"BLACK")</f>
        <v>BLACK</v>
      </c>
      <c r="G1502" s="20" t="str">
        <f>IFERROR(__xludf.DUMMYFUNCTION("""COMPUTED_VALUE"""),"Tap 6 Clone (10/15/2021)")</f>
        <v>Tap 6 Clone (10/15/2021)</v>
      </c>
      <c r="H1502" s="19"/>
    </row>
    <row r="1503">
      <c r="A1503" s="9"/>
      <c r="B1503" s="15"/>
      <c r="C1503" s="9">
        <f>IFERROR(__xludf.DUMMYFUNCTION("""COMPUTED_VALUE"""),44496.0442132523)</f>
        <v>44496.04421</v>
      </c>
      <c r="D1503" s="15">
        <f>IFERROR(__xludf.DUMMYFUNCTION("""COMPUTED_VALUE"""),1.017)</f>
        <v>1.017</v>
      </c>
      <c r="E1503" s="16">
        <f>IFERROR(__xludf.DUMMYFUNCTION("""COMPUTED_VALUE"""),64.0)</f>
        <v>64</v>
      </c>
      <c r="F1503" s="19" t="str">
        <f>IFERROR(__xludf.DUMMYFUNCTION("""COMPUTED_VALUE"""),"BLACK")</f>
        <v>BLACK</v>
      </c>
      <c r="G1503" s="20" t="str">
        <f>IFERROR(__xludf.DUMMYFUNCTION("""COMPUTED_VALUE"""),"Tap 6 Clone (10/15/2021)")</f>
        <v>Tap 6 Clone (10/15/2021)</v>
      </c>
      <c r="H1503" s="19"/>
    </row>
    <row r="1504">
      <c r="A1504" s="9"/>
      <c r="B1504" s="15"/>
      <c r="C1504" s="9">
        <f>IFERROR(__xludf.DUMMYFUNCTION("""COMPUTED_VALUE"""),44496.0337931018)</f>
        <v>44496.03379</v>
      </c>
      <c r="D1504" s="15">
        <f>IFERROR(__xludf.DUMMYFUNCTION("""COMPUTED_VALUE"""),1.018)</f>
        <v>1.018</v>
      </c>
      <c r="E1504" s="16">
        <f>IFERROR(__xludf.DUMMYFUNCTION("""COMPUTED_VALUE"""),64.0)</f>
        <v>64</v>
      </c>
      <c r="F1504" s="19" t="str">
        <f>IFERROR(__xludf.DUMMYFUNCTION("""COMPUTED_VALUE"""),"BLACK")</f>
        <v>BLACK</v>
      </c>
      <c r="G1504" s="20" t="str">
        <f>IFERROR(__xludf.DUMMYFUNCTION("""COMPUTED_VALUE"""),"Tap 6 Clone (10/15/2021)")</f>
        <v>Tap 6 Clone (10/15/2021)</v>
      </c>
      <c r="H1504" s="19"/>
    </row>
    <row r="1505">
      <c r="A1505" s="9"/>
      <c r="B1505" s="15"/>
      <c r="C1505" s="9">
        <f>IFERROR(__xludf.DUMMYFUNCTION("""COMPUTED_VALUE"""),44496.023370324)</f>
        <v>44496.02337</v>
      </c>
      <c r="D1505" s="15">
        <f>IFERROR(__xludf.DUMMYFUNCTION("""COMPUTED_VALUE"""),1.018)</f>
        <v>1.018</v>
      </c>
      <c r="E1505" s="16">
        <f>IFERROR(__xludf.DUMMYFUNCTION("""COMPUTED_VALUE"""),64.0)</f>
        <v>64</v>
      </c>
      <c r="F1505" s="19" t="str">
        <f>IFERROR(__xludf.DUMMYFUNCTION("""COMPUTED_VALUE"""),"BLACK")</f>
        <v>BLACK</v>
      </c>
      <c r="G1505" s="20" t="str">
        <f>IFERROR(__xludf.DUMMYFUNCTION("""COMPUTED_VALUE"""),"Tap 6 Clone (10/15/2021)")</f>
        <v>Tap 6 Clone (10/15/2021)</v>
      </c>
      <c r="H1505" s="19"/>
    </row>
    <row r="1506">
      <c r="A1506" s="9"/>
      <c r="B1506" s="15"/>
      <c r="C1506" s="9">
        <f>IFERROR(__xludf.DUMMYFUNCTION("""COMPUTED_VALUE"""),44496.0129484838)</f>
        <v>44496.01295</v>
      </c>
      <c r="D1506" s="15">
        <f>IFERROR(__xludf.DUMMYFUNCTION("""COMPUTED_VALUE"""),1.018)</f>
        <v>1.018</v>
      </c>
      <c r="E1506" s="16">
        <f>IFERROR(__xludf.DUMMYFUNCTION("""COMPUTED_VALUE"""),64.0)</f>
        <v>64</v>
      </c>
      <c r="F1506" s="19" t="str">
        <f>IFERROR(__xludf.DUMMYFUNCTION("""COMPUTED_VALUE"""),"BLACK")</f>
        <v>BLACK</v>
      </c>
      <c r="G1506" s="20" t="str">
        <f>IFERROR(__xludf.DUMMYFUNCTION("""COMPUTED_VALUE"""),"Tap 6 Clone (10/15/2021)")</f>
        <v>Tap 6 Clone (10/15/2021)</v>
      </c>
      <c r="H1506" s="19"/>
    </row>
    <row r="1507">
      <c r="A1507" s="9"/>
      <c r="B1507" s="15"/>
      <c r="C1507" s="9">
        <f>IFERROR(__xludf.DUMMYFUNCTION("""COMPUTED_VALUE"""),44496.0025258333)</f>
        <v>44496.00253</v>
      </c>
      <c r="D1507" s="15">
        <f>IFERROR(__xludf.DUMMYFUNCTION("""COMPUTED_VALUE"""),1.017)</f>
        <v>1.017</v>
      </c>
      <c r="E1507" s="16">
        <f>IFERROR(__xludf.DUMMYFUNCTION("""COMPUTED_VALUE"""),64.0)</f>
        <v>64</v>
      </c>
      <c r="F1507" s="19" t="str">
        <f>IFERROR(__xludf.DUMMYFUNCTION("""COMPUTED_VALUE"""),"BLACK")</f>
        <v>BLACK</v>
      </c>
      <c r="G1507" s="20" t="str">
        <f>IFERROR(__xludf.DUMMYFUNCTION("""COMPUTED_VALUE"""),"Tap 6 Clone (10/15/2021)")</f>
        <v>Tap 6 Clone (10/15/2021)</v>
      </c>
      <c r="H1507" s="19"/>
    </row>
    <row r="1508">
      <c r="A1508" s="9"/>
      <c r="B1508" s="15"/>
      <c r="C1508" s="9">
        <f>IFERROR(__xludf.DUMMYFUNCTION("""COMPUTED_VALUE"""),44495.9921037847)</f>
        <v>44495.9921</v>
      </c>
      <c r="D1508" s="15">
        <f>IFERROR(__xludf.DUMMYFUNCTION("""COMPUTED_VALUE"""),1.017)</f>
        <v>1.017</v>
      </c>
      <c r="E1508" s="16">
        <f>IFERROR(__xludf.DUMMYFUNCTION("""COMPUTED_VALUE"""),64.0)</f>
        <v>64</v>
      </c>
      <c r="F1508" s="19" t="str">
        <f>IFERROR(__xludf.DUMMYFUNCTION("""COMPUTED_VALUE"""),"BLACK")</f>
        <v>BLACK</v>
      </c>
      <c r="G1508" s="20" t="str">
        <f>IFERROR(__xludf.DUMMYFUNCTION("""COMPUTED_VALUE"""),"Tap 6 Clone (10/15/2021)")</f>
        <v>Tap 6 Clone (10/15/2021)</v>
      </c>
      <c r="H1508" s="19"/>
    </row>
    <row r="1509">
      <c r="A1509" s="9"/>
      <c r="B1509" s="15"/>
      <c r="C1509" s="9">
        <f>IFERROR(__xludf.DUMMYFUNCTION("""COMPUTED_VALUE"""),44495.9816820717)</f>
        <v>44495.98168</v>
      </c>
      <c r="D1509" s="15">
        <f>IFERROR(__xludf.DUMMYFUNCTION("""COMPUTED_VALUE"""),1.017)</f>
        <v>1.017</v>
      </c>
      <c r="E1509" s="16">
        <f>IFERROR(__xludf.DUMMYFUNCTION("""COMPUTED_VALUE"""),64.0)</f>
        <v>64</v>
      </c>
      <c r="F1509" s="19" t="str">
        <f>IFERROR(__xludf.DUMMYFUNCTION("""COMPUTED_VALUE"""),"BLACK")</f>
        <v>BLACK</v>
      </c>
      <c r="G1509" s="20" t="str">
        <f>IFERROR(__xludf.DUMMYFUNCTION("""COMPUTED_VALUE"""),"Tap 6 Clone (10/15/2021)")</f>
        <v>Tap 6 Clone (10/15/2021)</v>
      </c>
      <c r="H1509" s="19"/>
    </row>
    <row r="1510">
      <c r="A1510" s="9"/>
      <c r="B1510" s="15"/>
      <c r="C1510" s="9">
        <f>IFERROR(__xludf.DUMMYFUNCTION("""COMPUTED_VALUE"""),44495.9712596064)</f>
        <v>44495.97126</v>
      </c>
      <c r="D1510" s="15">
        <f>IFERROR(__xludf.DUMMYFUNCTION("""COMPUTED_VALUE"""),1.016)</f>
        <v>1.016</v>
      </c>
      <c r="E1510" s="16">
        <f>IFERROR(__xludf.DUMMYFUNCTION("""COMPUTED_VALUE"""),64.0)</f>
        <v>64</v>
      </c>
      <c r="F1510" s="19" t="str">
        <f>IFERROR(__xludf.DUMMYFUNCTION("""COMPUTED_VALUE"""),"BLACK")</f>
        <v>BLACK</v>
      </c>
      <c r="G1510" s="20" t="str">
        <f>IFERROR(__xludf.DUMMYFUNCTION("""COMPUTED_VALUE"""),"Tap 6 Clone (10/15/2021)")</f>
        <v>Tap 6 Clone (10/15/2021)</v>
      </c>
      <c r="H1510" s="19"/>
    </row>
    <row r="1511">
      <c r="A1511" s="9"/>
      <c r="B1511" s="15"/>
      <c r="C1511" s="9">
        <f>IFERROR(__xludf.DUMMYFUNCTION("""COMPUTED_VALUE"""),44495.9608376967)</f>
        <v>44495.96084</v>
      </c>
      <c r="D1511" s="15">
        <f>IFERROR(__xludf.DUMMYFUNCTION("""COMPUTED_VALUE"""),1.017)</f>
        <v>1.017</v>
      </c>
      <c r="E1511" s="16">
        <f>IFERROR(__xludf.DUMMYFUNCTION("""COMPUTED_VALUE"""),64.0)</f>
        <v>64</v>
      </c>
      <c r="F1511" s="19" t="str">
        <f>IFERROR(__xludf.DUMMYFUNCTION("""COMPUTED_VALUE"""),"BLACK")</f>
        <v>BLACK</v>
      </c>
      <c r="G1511" s="20" t="str">
        <f>IFERROR(__xludf.DUMMYFUNCTION("""COMPUTED_VALUE"""),"Tap 6 Clone (10/15/2021)")</f>
        <v>Tap 6 Clone (10/15/2021)</v>
      </c>
      <c r="H1511" s="19"/>
    </row>
    <row r="1512">
      <c r="A1512" s="9"/>
      <c r="B1512" s="15"/>
      <c r="C1512" s="9">
        <f>IFERROR(__xludf.DUMMYFUNCTION("""COMPUTED_VALUE"""),44495.9504160995)</f>
        <v>44495.95042</v>
      </c>
      <c r="D1512" s="15">
        <f>IFERROR(__xludf.DUMMYFUNCTION("""COMPUTED_VALUE"""),1.017)</f>
        <v>1.017</v>
      </c>
      <c r="E1512" s="16">
        <f>IFERROR(__xludf.DUMMYFUNCTION("""COMPUTED_VALUE"""),64.0)</f>
        <v>64</v>
      </c>
      <c r="F1512" s="19" t="str">
        <f>IFERROR(__xludf.DUMMYFUNCTION("""COMPUTED_VALUE"""),"BLACK")</f>
        <v>BLACK</v>
      </c>
      <c r="G1512" s="20" t="str">
        <f>IFERROR(__xludf.DUMMYFUNCTION("""COMPUTED_VALUE"""),"Tap 6 Clone (10/15/2021)")</f>
        <v>Tap 6 Clone (10/15/2021)</v>
      </c>
      <c r="H1512" s="19"/>
    </row>
    <row r="1513">
      <c r="A1513" s="9"/>
      <c r="B1513" s="15"/>
      <c r="C1513" s="9">
        <f>IFERROR(__xludf.DUMMYFUNCTION("""COMPUTED_VALUE"""),44495.9399835763)</f>
        <v>44495.93998</v>
      </c>
      <c r="D1513" s="15">
        <f>IFERROR(__xludf.DUMMYFUNCTION("""COMPUTED_VALUE"""),1.018)</f>
        <v>1.018</v>
      </c>
      <c r="E1513" s="16">
        <f>IFERROR(__xludf.DUMMYFUNCTION("""COMPUTED_VALUE"""),64.0)</f>
        <v>64</v>
      </c>
      <c r="F1513" s="19" t="str">
        <f>IFERROR(__xludf.DUMMYFUNCTION("""COMPUTED_VALUE"""),"BLACK")</f>
        <v>BLACK</v>
      </c>
      <c r="G1513" s="20" t="str">
        <f>IFERROR(__xludf.DUMMYFUNCTION("""COMPUTED_VALUE"""),"Tap 6 Clone (10/15/2021)")</f>
        <v>Tap 6 Clone (10/15/2021)</v>
      </c>
      <c r="H1513" s="19"/>
    </row>
    <row r="1514">
      <c r="A1514" s="9"/>
      <c r="B1514" s="15"/>
      <c r="C1514" s="9">
        <f>IFERROR(__xludf.DUMMYFUNCTION("""COMPUTED_VALUE"""),44495.9295502199)</f>
        <v>44495.92955</v>
      </c>
      <c r="D1514" s="15">
        <f>IFERROR(__xludf.DUMMYFUNCTION("""COMPUTED_VALUE"""),1.017)</f>
        <v>1.017</v>
      </c>
      <c r="E1514" s="16">
        <f>IFERROR(__xludf.DUMMYFUNCTION("""COMPUTED_VALUE"""),64.0)</f>
        <v>64</v>
      </c>
      <c r="F1514" s="19" t="str">
        <f>IFERROR(__xludf.DUMMYFUNCTION("""COMPUTED_VALUE"""),"BLACK")</f>
        <v>BLACK</v>
      </c>
      <c r="G1514" s="20" t="str">
        <f>IFERROR(__xludf.DUMMYFUNCTION("""COMPUTED_VALUE"""),"Tap 6 Clone (10/15/2021)")</f>
        <v>Tap 6 Clone (10/15/2021)</v>
      </c>
      <c r="H1514" s="19"/>
    </row>
    <row r="1515">
      <c r="A1515" s="9"/>
      <c r="B1515" s="15"/>
      <c r="C1515" s="9">
        <f>IFERROR(__xludf.DUMMYFUNCTION("""COMPUTED_VALUE"""),44495.9191294675)</f>
        <v>44495.91913</v>
      </c>
      <c r="D1515" s="15">
        <f>IFERROR(__xludf.DUMMYFUNCTION("""COMPUTED_VALUE"""),1.019)</f>
        <v>1.019</v>
      </c>
      <c r="E1515" s="16">
        <f>IFERROR(__xludf.DUMMYFUNCTION("""COMPUTED_VALUE"""),64.0)</f>
        <v>64</v>
      </c>
      <c r="F1515" s="19" t="str">
        <f>IFERROR(__xludf.DUMMYFUNCTION("""COMPUTED_VALUE"""),"BLACK")</f>
        <v>BLACK</v>
      </c>
      <c r="G1515" s="20" t="str">
        <f>IFERROR(__xludf.DUMMYFUNCTION("""COMPUTED_VALUE"""),"Tap 6 Clone (10/15/2021)")</f>
        <v>Tap 6 Clone (10/15/2021)</v>
      </c>
      <c r="H1515" s="19"/>
    </row>
    <row r="1516">
      <c r="A1516" s="9"/>
      <c r="B1516" s="15"/>
      <c r="C1516" s="9">
        <f>IFERROR(__xludf.DUMMYFUNCTION("""COMPUTED_VALUE"""),44495.9086967592)</f>
        <v>44495.9087</v>
      </c>
      <c r="D1516" s="15">
        <f>IFERROR(__xludf.DUMMYFUNCTION("""COMPUTED_VALUE"""),1.019)</f>
        <v>1.019</v>
      </c>
      <c r="E1516" s="16">
        <f>IFERROR(__xludf.DUMMYFUNCTION("""COMPUTED_VALUE"""),64.0)</f>
        <v>64</v>
      </c>
      <c r="F1516" s="19" t="str">
        <f>IFERROR(__xludf.DUMMYFUNCTION("""COMPUTED_VALUE"""),"BLACK")</f>
        <v>BLACK</v>
      </c>
      <c r="G1516" s="20" t="str">
        <f>IFERROR(__xludf.DUMMYFUNCTION("""COMPUTED_VALUE"""),"Tap 6 Clone (10/15/2021)")</f>
        <v>Tap 6 Clone (10/15/2021)</v>
      </c>
      <c r="H1516" s="19"/>
    </row>
    <row r="1517">
      <c r="A1517" s="9"/>
      <c r="B1517" s="15"/>
      <c r="C1517" s="9">
        <f>IFERROR(__xludf.DUMMYFUNCTION("""COMPUTED_VALUE"""),44495.8982744907)</f>
        <v>44495.89827</v>
      </c>
      <c r="D1517" s="15">
        <f>IFERROR(__xludf.DUMMYFUNCTION("""COMPUTED_VALUE"""),1.019)</f>
        <v>1.019</v>
      </c>
      <c r="E1517" s="16">
        <f>IFERROR(__xludf.DUMMYFUNCTION("""COMPUTED_VALUE"""),64.0)</f>
        <v>64</v>
      </c>
      <c r="F1517" s="19" t="str">
        <f>IFERROR(__xludf.DUMMYFUNCTION("""COMPUTED_VALUE"""),"BLACK")</f>
        <v>BLACK</v>
      </c>
      <c r="G1517" s="20" t="str">
        <f>IFERROR(__xludf.DUMMYFUNCTION("""COMPUTED_VALUE"""),"Tap 6 Clone (10/15/2021)")</f>
        <v>Tap 6 Clone (10/15/2021)</v>
      </c>
      <c r="H1517" s="19"/>
    </row>
    <row r="1518">
      <c r="A1518" s="9"/>
      <c r="B1518" s="15"/>
      <c r="C1518" s="9">
        <f>IFERROR(__xludf.DUMMYFUNCTION("""COMPUTED_VALUE"""),44495.8878531481)</f>
        <v>44495.88785</v>
      </c>
      <c r="D1518" s="15">
        <f>IFERROR(__xludf.DUMMYFUNCTION("""COMPUTED_VALUE"""),1.02)</f>
        <v>1.02</v>
      </c>
      <c r="E1518" s="16">
        <f>IFERROR(__xludf.DUMMYFUNCTION("""COMPUTED_VALUE"""),64.0)</f>
        <v>64</v>
      </c>
      <c r="F1518" s="19" t="str">
        <f>IFERROR(__xludf.DUMMYFUNCTION("""COMPUTED_VALUE"""),"BLACK")</f>
        <v>BLACK</v>
      </c>
      <c r="G1518" s="20" t="str">
        <f>IFERROR(__xludf.DUMMYFUNCTION("""COMPUTED_VALUE"""),"Tap 6 Clone (10/15/2021)")</f>
        <v>Tap 6 Clone (10/15/2021)</v>
      </c>
      <c r="H1518" s="19"/>
    </row>
    <row r="1519">
      <c r="A1519" s="9"/>
      <c r="B1519" s="15"/>
      <c r="C1519" s="9">
        <f>IFERROR(__xludf.DUMMYFUNCTION("""COMPUTED_VALUE"""),44495.8774300347)</f>
        <v>44495.87743</v>
      </c>
      <c r="D1519" s="15">
        <f>IFERROR(__xludf.DUMMYFUNCTION("""COMPUTED_VALUE"""),1.019)</f>
        <v>1.019</v>
      </c>
      <c r="E1519" s="16">
        <f>IFERROR(__xludf.DUMMYFUNCTION("""COMPUTED_VALUE"""),64.0)</f>
        <v>64</v>
      </c>
      <c r="F1519" s="19" t="str">
        <f>IFERROR(__xludf.DUMMYFUNCTION("""COMPUTED_VALUE"""),"BLACK")</f>
        <v>BLACK</v>
      </c>
      <c r="G1519" s="20" t="str">
        <f>IFERROR(__xludf.DUMMYFUNCTION("""COMPUTED_VALUE"""),"Tap 6 Clone (10/15/2021)")</f>
        <v>Tap 6 Clone (10/15/2021)</v>
      </c>
      <c r="H1519" s="19"/>
    </row>
    <row r="1520">
      <c r="A1520" s="9"/>
      <c r="B1520" s="15"/>
      <c r="C1520" s="9">
        <f>IFERROR(__xludf.DUMMYFUNCTION("""COMPUTED_VALUE"""),44495.8670096875)</f>
        <v>44495.86701</v>
      </c>
      <c r="D1520" s="15">
        <f>IFERROR(__xludf.DUMMYFUNCTION("""COMPUTED_VALUE"""),1.019)</f>
        <v>1.019</v>
      </c>
      <c r="E1520" s="16">
        <f>IFERROR(__xludf.DUMMYFUNCTION("""COMPUTED_VALUE"""),64.0)</f>
        <v>64</v>
      </c>
      <c r="F1520" s="19" t="str">
        <f>IFERROR(__xludf.DUMMYFUNCTION("""COMPUTED_VALUE"""),"BLACK")</f>
        <v>BLACK</v>
      </c>
      <c r="G1520" s="20" t="str">
        <f>IFERROR(__xludf.DUMMYFUNCTION("""COMPUTED_VALUE"""),"Tap 6 Clone (10/15/2021)")</f>
        <v>Tap 6 Clone (10/15/2021)</v>
      </c>
      <c r="H1520" s="19"/>
    </row>
    <row r="1521">
      <c r="A1521" s="9"/>
      <c r="B1521" s="15"/>
      <c r="C1521" s="9">
        <f>IFERROR(__xludf.DUMMYFUNCTION("""COMPUTED_VALUE"""),44495.8565890856)</f>
        <v>44495.85659</v>
      </c>
      <c r="D1521" s="15">
        <f>IFERROR(__xludf.DUMMYFUNCTION("""COMPUTED_VALUE"""),1.018)</f>
        <v>1.018</v>
      </c>
      <c r="E1521" s="16">
        <f>IFERROR(__xludf.DUMMYFUNCTION("""COMPUTED_VALUE"""),64.0)</f>
        <v>64</v>
      </c>
      <c r="F1521" s="19" t="str">
        <f>IFERROR(__xludf.DUMMYFUNCTION("""COMPUTED_VALUE"""),"BLACK")</f>
        <v>BLACK</v>
      </c>
      <c r="G1521" s="20" t="str">
        <f>IFERROR(__xludf.DUMMYFUNCTION("""COMPUTED_VALUE"""),"Tap 6 Clone (10/15/2021)")</f>
        <v>Tap 6 Clone (10/15/2021)</v>
      </c>
      <c r="H1521" s="19"/>
    </row>
    <row r="1522">
      <c r="A1522" s="9"/>
      <c r="B1522" s="15"/>
      <c r="C1522" s="9">
        <f>IFERROR(__xludf.DUMMYFUNCTION("""COMPUTED_VALUE"""),44495.8461684143)</f>
        <v>44495.84617</v>
      </c>
      <c r="D1522" s="15">
        <f>IFERROR(__xludf.DUMMYFUNCTION("""COMPUTED_VALUE"""),1.02)</f>
        <v>1.02</v>
      </c>
      <c r="E1522" s="16">
        <f>IFERROR(__xludf.DUMMYFUNCTION("""COMPUTED_VALUE"""),64.0)</f>
        <v>64</v>
      </c>
      <c r="F1522" s="19" t="str">
        <f>IFERROR(__xludf.DUMMYFUNCTION("""COMPUTED_VALUE"""),"BLACK")</f>
        <v>BLACK</v>
      </c>
      <c r="G1522" s="20" t="str">
        <f>IFERROR(__xludf.DUMMYFUNCTION("""COMPUTED_VALUE"""),"Tap 6 Clone (10/15/2021)")</f>
        <v>Tap 6 Clone (10/15/2021)</v>
      </c>
      <c r="H1522" s="19"/>
    </row>
    <row r="1523">
      <c r="A1523" s="9"/>
      <c r="B1523" s="15"/>
      <c r="C1523" s="9">
        <f>IFERROR(__xludf.DUMMYFUNCTION("""COMPUTED_VALUE"""),44495.8357485763)</f>
        <v>44495.83575</v>
      </c>
      <c r="D1523" s="15">
        <f>IFERROR(__xludf.DUMMYFUNCTION("""COMPUTED_VALUE"""),1.018)</f>
        <v>1.018</v>
      </c>
      <c r="E1523" s="16">
        <f>IFERROR(__xludf.DUMMYFUNCTION("""COMPUTED_VALUE"""),64.0)</f>
        <v>64</v>
      </c>
      <c r="F1523" s="19" t="str">
        <f>IFERROR(__xludf.DUMMYFUNCTION("""COMPUTED_VALUE"""),"BLACK")</f>
        <v>BLACK</v>
      </c>
      <c r="G1523" s="20" t="str">
        <f>IFERROR(__xludf.DUMMYFUNCTION("""COMPUTED_VALUE"""),"Tap 6 Clone (10/15/2021)")</f>
        <v>Tap 6 Clone (10/15/2021)</v>
      </c>
      <c r="H1523" s="19"/>
    </row>
    <row r="1524">
      <c r="A1524" s="9"/>
      <c r="B1524" s="15"/>
      <c r="C1524" s="9">
        <f>IFERROR(__xludf.DUMMYFUNCTION("""COMPUTED_VALUE"""),44495.8252926851)</f>
        <v>44495.82529</v>
      </c>
      <c r="D1524" s="15">
        <f>IFERROR(__xludf.DUMMYFUNCTION("""COMPUTED_VALUE"""),1.018)</f>
        <v>1.018</v>
      </c>
      <c r="E1524" s="16">
        <f>IFERROR(__xludf.DUMMYFUNCTION("""COMPUTED_VALUE"""),64.0)</f>
        <v>64</v>
      </c>
      <c r="F1524" s="19" t="str">
        <f>IFERROR(__xludf.DUMMYFUNCTION("""COMPUTED_VALUE"""),"BLACK")</f>
        <v>BLACK</v>
      </c>
      <c r="G1524" s="20" t="str">
        <f>IFERROR(__xludf.DUMMYFUNCTION("""COMPUTED_VALUE"""),"Tap 6 Clone (10/15/2021)")</f>
        <v>Tap 6 Clone (10/15/2021)</v>
      </c>
      <c r="H1524" s="19"/>
    </row>
    <row r="1525">
      <c r="A1525" s="9"/>
      <c r="B1525" s="15"/>
      <c r="C1525" s="9">
        <f>IFERROR(__xludf.DUMMYFUNCTION("""COMPUTED_VALUE"""),44495.814870949)</f>
        <v>44495.81487</v>
      </c>
      <c r="D1525" s="15">
        <f>IFERROR(__xludf.DUMMYFUNCTION("""COMPUTED_VALUE"""),1.018)</f>
        <v>1.018</v>
      </c>
      <c r="E1525" s="16">
        <f>IFERROR(__xludf.DUMMYFUNCTION("""COMPUTED_VALUE"""),64.0)</f>
        <v>64</v>
      </c>
      <c r="F1525" s="19" t="str">
        <f>IFERROR(__xludf.DUMMYFUNCTION("""COMPUTED_VALUE"""),"BLACK")</f>
        <v>BLACK</v>
      </c>
      <c r="G1525" s="20" t="str">
        <f>IFERROR(__xludf.DUMMYFUNCTION("""COMPUTED_VALUE"""),"Tap 6 Clone (10/15/2021)")</f>
        <v>Tap 6 Clone (10/15/2021)</v>
      </c>
      <c r="H1525" s="19"/>
    </row>
    <row r="1526">
      <c r="A1526" s="9"/>
      <c r="B1526" s="15"/>
      <c r="C1526" s="9">
        <f>IFERROR(__xludf.DUMMYFUNCTION("""COMPUTED_VALUE"""),44495.80444853)</f>
        <v>44495.80445</v>
      </c>
      <c r="D1526" s="15">
        <f>IFERROR(__xludf.DUMMYFUNCTION("""COMPUTED_VALUE"""),1.019)</f>
        <v>1.019</v>
      </c>
      <c r="E1526" s="16">
        <f>IFERROR(__xludf.DUMMYFUNCTION("""COMPUTED_VALUE"""),64.0)</f>
        <v>64</v>
      </c>
      <c r="F1526" s="19" t="str">
        <f>IFERROR(__xludf.DUMMYFUNCTION("""COMPUTED_VALUE"""),"BLACK")</f>
        <v>BLACK</v>
      </c>
      <c r="G1526" s="20" t="str">
        <f>IFERROR(__xludf.DUMMYFUNCTION("""COMPUTED_VALUE"""),"Tap 6 Clone (10/15/2021)")</f>
        <v>Tap 6 Clone (10/15/2021)</v>
      </c>
      <c r="H1526" s="19"/>
    </row>
    <row r="1527">
      <c r="A1527" s="9"/>
      <c r="B1527" s="15"/>
      <c r="C1527" s="9">
        <f>IFERROR(__xludf.DUMMYFUNCTION("""COMPUTED_VALUE"""),44495.7940270023)</f>
        <v>44495.79403</v>
      </c>
      <c r="D1527" s="15">
        <f>IFERROR(__xludf.DUMMYFUNCTION("""COMPUTED_VALUE"""),1.019)</f>
        <v>1.019</v>
      </c>
      <c r="E1527" s="16">
        <f>IFERROR(__xludf.DUMMYFUNCTION("""COMPUTED_VALUE"""),64.0)</f>
        <v>64</v>
      </c>
      <c r="F1527" s="19" t="str">
        <f>IFERROR(__xludf.DUMMYFUNCTION("""COMPUTED_VALUE"""),"BLACK")</f>
        <v>BLACK</v>
      </c>
      <c r="G1527" s="20" t="str">
        <f>IFERROR(__xludf.DUMMYFUNCTION("""COMPUTED_VALUE"""),"Tap 6 Clone (10/15/2021)")</f>
        <v>Tap 6 Clone (10/15/2021)</v>
      </c>
      <c r="H1527" s="19"/>
    </row>
    <row r="1528">
      <c r="A1528" s="9"/>
      <c r="B1528" s="15"/>
      <c r="C1528" s="9">
        <f>IFERROR(__xludf.DUMMYFUNCTION("""COMPUTED_VALUE"""),44495.7836065972)</f>
        <v>44495.78361</v>
      </c>
      <c r="D1528" s="15">
        <f>IFERROR(__xludf.DUMMYFUNCTION("""COMPUTED_VALUE"""),1.018)</f>
        <v>1.018</v>
      </c>
      <c r="E1528" s="16">
        <f>IFERROR(__xludf.DUMMYFUNCTION("""COMPUTED_VALUE"""),64.0)</f>
        <v>64</v>
      </c>
      <c r="F1528" s="19" t="str">
        <f>IFERROR(__xludf.DUMMYFUNCTION("""COMPUTED_VALUE"""),"BLACK")</f>
        <v>BLACK</v>
      </c>
      <c r="G1528" s="20" t="str">
        <f>IFERROR(__xludf.DUMMYFUNCTION("""COMPUTED_VALUE"""),"Tap 6 Clone (10/15/2021)")</f>
        <v>Tap 6 Clone (10/15/2021)</v>
      </c>
      <c r="H1528" s="19"/>
    </row>
    <row r="1529">
      <c r="A1529" s="9"/>
      <c r="B1529" s="15"/>
      <c r="C1529" s="9">
        <f>IFERROR(__xludf.DUMMYFUNCTION("""COMPUTED_VALUE"""),44495.7731864699)</f>
        <v>44495.77319</v>
      </c>
      <c r="D1529" s="15">
        <f>IFERROR(__xludf.DUMMYFUNCTION("""COMPUTED_VALUE"""),1.019)</f>
        <v>1.019</v>
      </c>
      <c r="E1529" s="16">
        <f>IFERROR(__xludf.DUMMYFUNCTION("""COMPUTED_VALUE"""),64.0)</f>
        <v>64</v>
      </c>
      <c r="F1529" s="19" t="str">
        <f>IFERROR(__xludf.DUMMYFUNCTION("""COMPUTED_VALUE"""),"BLACK")</f>
        <v>BLACK</v>
      </c>
      <c r="G1529" s="20" t="str">
        <f>IFERROR(__xludf.DUMMYFUNCTION("""COMPUTED_VALUE"""),"Tap 6 Clone (10/15/2021)")</f>
        <v>Tap 6 Clone (10/15/2021)</v>
      </c>
      <c r="H1529" s="19"/>
    </row>
    <row r="1530">
      <c r="A1530" s="9"/>
      <c r="B1530" s="15"/>
      <c r="C1530" s="9">
        <f>IFERROR(__xludf.DUMMYFUNCTION("""COMPUTED_VALUE"""),44495.7627519675)</f>
        <v>44495.76275</v>
      </c>
      <c r="D1530" s="15">
        <f>IFERROR(__xludf.DUMMYFUNCTION("""COMPUTED_VALUE"""),1.019)</f>
        <v>1.019</v>
      </c>
      <c r="E1530" s="16">
        <f>IFERROR(__xludf.DUMMYFUNCTION("""COMPUTED_VALUE"""),64.0)</f>
        <v>64</v>
      </c>
      <c r="F1530" s="19" t="str">
        <f>IFERROR(__xludf.DUMMYFUNCTION("""COMPUTED_VALUE"""),"BLACK")</f>
        <v>BLACK</v>
      </c>
      <c r="G1530" s="20" t="str">
        <f>IFERROR(__xludf.DUMMYFUNCTION("""COMPUTED_VALUE"""),"Tap 6 Clone (10/15/2021)")</f>
        <v>Tap 6 Clone (10/15/2021)</v>
      </c>
      <c r="H1530" s="19"/>
    </row>
    <row r="1531">
      <c r="A1531" s="9"/>
      <c r="B1531" s="15"/>
      <c r="C1531" s="9">
        <f>IFERROR(__xludf.DUMMYFUNCTION("""COMPUTED_VALUE"""),44495.75233125)</f>
        <v>44495.75233</v>
      </c>
      <c r="D1531" s="15">
        <f>IFERROR(__xludf.DUMMYFUNCTION("""COMPUTED_VALUE"""),1.019)</f>
        <v>1.019</v>
      </c>
      <c r="E1531" s="16">
        <f>IFERROR(__xludf.DUMMYFUNCTION("""COMPUTED_VALUE"""),64.0)</f>
        <v>64</v>
      </c>
      <c r="F1531" s="19" t="str">
        <f>IFERROR(__xludf.DUMMYFUNCTION("""COMPUTED_VALUE"""),"BLACK")</f>
        <v>BLACK</v>
      </c>
      <c r="G1531" s="20" t="str">
        <f>IFERROR(__xludf.DUMMYFUNCTION("""COMPUTED_VALUE"""),"Tap 6 Clone (10/15/2021)")</f>
        <v>Tap 6 Clone (10/15/2021)</v>
      </c>
      <c r="H1531" s="19"/>
    </row>
    <row r="1532">
      <c r="A1532" s="9"/>
      <c r="B1532" s="15"/>
      <c r="C1532" s="9">
        <f>IFERROR(__xludf.DUMMYFUNCTION("""COMPUTED_VALUE"""),44495.7419112037)</f>
        <v>44495.74191</v>
      </c>
      <c r="D1532" s="15">
        <f>IFERROR(__xludf.DUMMYFUNCTION("""COMPUTED_VALUE"""),1.02)</f>
        <v>1.02</v>
      </c>
      <c r="E1532" s="16">
        <f>IFERROR(__xludf.DUMMYFUNCTION("""COMPUTED_VALUE"""),64.0)</f>
        <v>64</v>
      </c>
      <c r="F1532" s="19" t="str">
        <f>IFERROR(__xludf.DUMMYFUNCTION("""COMPUTED_VALUE"""),"BLACK")</f>
        <v>BLACK</v>
      </c>
      <c r="G1532" s="20" t="str">
        <f>IFERROR(__xludf.DUMMYFUNCTION("""COMPUTED_VALUE"""),"Tap 6 Clone (10/15/2021)")</f>
        <v>Tap 6 Clone (10/15/2021)</v>
      </c>
      <c r="H1532" s="19"/>
    </row>
    <row r="1533">
      <c r="A1533" s="9"/>
      <c r="B1533" s="15"/>
      <c r="C1533" s="9">
        <f>IFERROR(__xludf.DUMMYFUNCTION("""COMPUTED_VALUE"""),44495.7314772685)</f>
        <v>44495.73148</v>
      </c>
      <c r="D1533" s="15">
        <f>IFERROR(__xludf.DUMMYFUNCTION("""COMPUTED_VALUE"""),1.019)</f>
        <v>1.019</v>
      </c>
      <c r="E1533" s="16">
        <f>IFERROR(__xludf.DUMMYFUNCTION("""COMPUTED_VALUE"""),64.0)</f>
        <v>64</v>
      </c>
      <c r="F1533" s="19" t="str">
        <f>IFERROR(__xludf.DUMMYFUNCTION("""COMPUTED_VALUE"""),"BLACK")</f>
        <v>BLACK</v>
      </c>
      <c r="G1533" s="20" t="str">
        <f>IFERROR(__xludf.DUMMYFUNCTION("""COMPUTED_VALUE"""),"Tap 6 Clone (10/15/2021)")</f>
        <v>Tap 6 Clone (10/15/2021)</v>
      </c>
      <c r="H1533" s="19"/>
    </row>
    <row r="1534">
      <c r="A1534" s="9"/>
      <c r="B1534" s="15"/>
      <c r="C1534" s="9">
        <f>IFERROR(__xludf.DUMMYFUNCTION("""COMPUTED_VALUE"""),44495.7210562268)</f>
        <v>44495.72106</v>
      </c>
      <c r="D1534" s="15">
        <f>IFERROR(__xludf.DUMMYFUNCTION("""COMPUTED_VALUE"""),1.02)</f>
        <v>1.02</v>
      </c>
      <c r="E1534" s="16">
        <f>IFERROR(__xludf.DUMMYFUNCTION("""COMPUTED_VALUE"""),64.0)</f>
        <v>64</v>
      </c>
      <c r="F1534" s="19" t="str">
        <f>IFERROR(__xludf.DUMMYFUNCTION("""COMPUTED_VALUE"""),"BLACK")</f>
        <v>BLACK</v>
      </c>
      <c r="G1534" s="20" t="str">
        <f>IFERROR(__xludf.DUMMYFUNCTION("""COMPUTED_VALUE"""),"Tap 6 Clone (10/15/2021)")</f>
        <v>Tap 6 Clone (10/15/2021)</v>
      </c>
      <c r="H1534" s="19"/>
    </row>
    <row r="1535">
      <c r="A1535" s="9"/>
      <c r="B1535" s="15"/>
      <c r="C1535" s="9">
        <f>IFERROR(__xludf.DUMMYFUNCTION("""COMPUTED_VALUE"""),44495.7106331828)</f>
        <v>44495.71063</v>
      </c>
      <c r="D1535" s="15">
        <f>IFERROR(__xludf.DUMMYFUNCTION("""COMPUTED_VALUE"""),1.02)</f>
        <v>1.02</v>
      </c>
      <c r="E1535" s="16">
        <f>IFERROR(__xludf.DUMMYFUNCTION("""COMPUTED_VALUE"""),64.0)</f>
        <v>64</v>
      </c>
      <c r="F1535" s="19" t="str">
        <f>IFERROR(__xludf.DUMMYFUNCTION("""COMPUTED_VALUE"""),"BLACK")</f>
        <v>BLACK</v>
      </c>
      <c r="G1535" s="20" t="str">
        <f>IFERROR(__xludf.DUMMYFUNCTION("""COMPUTED_VALUE"""),"Tap 6 Clone (10/15/2021)")</f>
        <v>Tap 6 Clone (10/15/2021)</v>
      </c>
      <c r="H1535" s="19"/>
    </row>
    <row r="1536">
      <c r="A1536" s="9"/>
      <c r="B1536" s="15"/>
      <c r="C1536" s="9">
        <f>IFERROR(__xludf.DUMMYFUNCTION("""COMPUTED_VALUE"""),44495.70021353)</f>
        <v>44495.70021</v>
      </c>
      <c r="D1536" s="15">
        <f>IFERROR(__xludf.DUMMYFUNCTION("""COMPUTED_VALUE"""),1.02)</f>
        <v>1.02</v>
      </c>
      <c r="E1536" s="16">
        <f>IFERROR(__xludf.DUMMYFUNCTION("""COMPUTED_VALUE"""),64.0)</f>
        <v>64</v>
      </c>
      <c r="F1536" s="19" t="str">
        <f>IFERROR(__xludf.DUMMYFUNCTION("""COMPUTED_VALUE"""),"BLACK")</f>
        <v>BLACK</v>
      </c>
      <c r="G1536" s="20" t="str">
        <f>IFERROR(__xludf.DUMMYFUNCTION("""COMPUTED_VALUE"""),"Tap 6 Clone (10/15/2021)")</f>
        <v>Tap 6 Clone (10/15/2021)</v>
      </c>
      <c r="H1536" s="19"/>
    </row>
    <row r="1537">
      <c r="A1537" s="9"/>
      <c r="B1537" s="15"/>
      <c r="C1537" s="9">
        <f>IFERROR(__xludf.DUMMYFUNCTION("""COMPUTED_VALUE"""),44495.6897917824)</f>
        <v>44495.68979</v>
      </c>
      <c r="D1537" s="15">
        <f>IFERROR(__xludf.DUMMYFUNCTION("""COMPUTED_VALUE"""),1.02)</f>
        <v>1.02</v>
      </c>
      <c r="E1537" s="16">
        <f>IFERROR(__xludf.DUMMYFUNCTION("""COMPUTED_VALUE"""),64.0)</f>
        <v>64</v>
      </c>
      <c r="F1537" s="19" t="str">
        <f>IFERROR(__xludf.DUMMYFUNCTION("""COMPUTED_VALUE"""),"BLACK")</f>
        <v>BLACK</v>
      </c>
      <c r="G1537" s="20" t="str">
        <f>IFERROR(__xludf.DUMMYFUNCTION("""COMPUTED_VALUE"""),"Tap 6 Clone (10/15/2021)")</f>
        <v>Tap 6 Clone (10/15/2021)</v>
      </c>
      <c r="H1537" s="19"/>
    </row>
    <row r="1538">
      <c r="A1538" s="9"/>
      <c r="B1538" s="15"/>
      <c r="C1538" s="9">
        <f>IFERROR(__xludf.DUMMYFUNCTION("""COMPUTED_VALUE"""),44495.6793681018)</f>
        <v>44495.67937</v>
      </c>
      <c r="D1538" s="15">
        <f>IFERROR(__xludf.DUMMYFUNCTION("""COMPUTED_VALUE"""),1.02)</f>
        <v>1.02</v>
      </c>
      <c r="E1538" s="16">
        <f>IFERROR(__xludf.DUMMYFUNCTION("""COMPUTED_VALUE"""),63.0)</f>
        <v>63</v>
      </c>
      <c r="F1538" s="19" t="str">
        <f>IFERROR(__xludf.DUMMYFUNCTION("""COMPUTED_VALUE"""),"BLACK")</f>
        <v>BLACK</v>
      </c>
      <c r="G1538" s="20" t="str">
        <f>IFERROR(__xludf.DUMMYFUNCTION("""COMPUTED_VALUE"""),"Tap 6 Clone (10/15/2021)")</f>
        <v>Tap 6 Clone (10/15/2021)</v>
      </c>
      <c r="H1538" s="19"/>
    </row>
    <row r="1539">
      <c r="A1539" s="9"/>
      <c r="B1539" s="15"/>
      <c r="C1539" s="9">
        <f>IFERROR(__xludf.DUMMYFUNCTION("""COMPUTED_VALUE"""),44495.6689482407)</f>
        <v>44495.66895</v>
      </c>
      <c r="D1539" s="15">
        <f>IFERROR(__xludf.DUMMYFUNCTION("""COMPUTED_VALUE"""),1.02)</f>
        <v>1.02</v>
      </c>
      <c r="E1539" s="16">
        <f>IFERROR(__xludf.DUMMYFUNCTION("""COMPUTED_VALUE"""),63.0)</f>
        <v>63</v>
      </c>
      <c r="F1539" s="19" t="str">
        <f>IFERROR(__xludf.DUMMYFUNCTION("""COMPUTED_VALUE"""),"BLACK")</f>
        <v>BLACK</v>
      </c>
      <c r="G1539" s="20" t="str">
        <f>IFERROR(__xludf.DUMMYFUNCTION("""COMPUTED_VALUE"""),"Tap 6 Clone (10/15/2021)")</f>
        <v>Tap 6 Clone (10/15/2021)</v>
      </c>
      <c r="H1539" s="19"/>
    </row>
    <row r="1540">
      <c r="A1540" s="9"/>
      <c r="B1540" s="15"/>
      <c r="C1540" s="9">
        <f>IFERROR(__xludf.DUMMYFUNCTION("""COMPUTED_VALUE"""),44495.6585272916)</f>
        <v>44495.65853</v>
      </c>
      <c r="D1540" s="15">
        <f>IFERROR(__xludf.DUMMYFUNCTION("""COMPUTED_VALUE"""),1.019)</f>
        <v>1.019</v>
      </c>
      <c r="E1540" s="16">
        <f>IFERROR(__xludf.DUMMYFUNCTION("""COMPUTED_VALUE"""),63.0)</f>
        <v>63</v>
      </c>
      <c r="F1540" s="19" t="str">
        <f>IFERROR(__xludf.DUMMYFUNCTION("""COMPUTED_VALUE"""),"BLACK")</f>
        <v>BLACK</v>
      </c>
      <c r="G1540" s="20" t="str">
        <f>IFERROR(__xludf.DUMMYFUNCTION("""COMPUTED_VALUE"""),"Tap 6 Clone (10/15/2021)")</f>
        <v>Tap 6 Clone (10/15/2021)</v>
      </c>
      <c r="H1540" s="19"/>
    </row>
    <row r="1541">
      <c r="A1541" s="9"/>
      <c r="B1541" s="15"/>
      <c r="C1541" s="9">
        <f>IFERROR(__xludf.DUMMYFUNCTION("""COMPUTED_VALUE"""),44495.6480926504)</f>
        <v>44495.64809</v>
      </c>
      <c r="D1541" s="15">
        <f>IFERROR(__xludf.DUMMYFUNCTION("""COMPUTED_VALUE"""),1.02)</f>
        <v>1.02</v>
      </c>
      <c r="E1541" s="16">
        <f>IFERROR(__xludf.DUMMYFUNCTION("""COMPUTED_VALUE"""),63.0)</f>
        <v>63</v>
      </c>
      <c r="F1541" s="19" t="str">
        <f>IFERROR(__xludf.DUMMYFUNCTION("""COMPUTED_VALUE"""),"BLACK")</f>
        <v>BLACK</v>
      </c>
      <c r="G1541" s="20" t="str">
        <f>IFERROR(__xludf.DUMMYFUNCTION("""COMPUTED_VALUE"""),"Tap 6 Clone (10/15/2021)")</f>
        <v>Tap 6 Clone (10/15/2021)</v>
      </c>
      <c r="H1541" s="19"/>
    </row>
    <row r="1542">
      <c r="A1542" s="9"/>
      <c r="B1542" s="15"/>
      <c r="C1542" s="9">
        <f>IFERROR(__xludf.DUMMYFUNCTION("""COMPUTED_VALUE"""),44495.6376709838)</f>
        <v>44495.63767</v>
      </c>
      <c r="D1542" s="15">
        <f>IFERROR(__xludf.DUMMYFUNCTION("""COMPUTED_VALUE"""),1.019)</f>
        <v>1.019</v>
      </c>
      <c r="E1542" s="16">
        <f>IFERROR(__xludf.DUMMYFUNCTION("""COMPUTED_VALUE"""),63.0)</f>
        <v>63</v>
      </c>
      <c r="F1542" s="19" t="str">
        <f>IFERROR(__xludf.DUMMYFUNCTION("""COMPUTED_VALUE"""),"BLACK")</f>
        <v>BLACK</v>
      </c>
      <c r="G1542" s="20" t="str">
        <f>IFERROR(__xludf.DUMMYFUNCTION("""COMPUTED_VALUE"""),"Tap 6 Clone (10/15/2021)")</f>
        <v>Tap 6 Clone (10/15/2021)</v>
      </c>
      <c r="H1542" s="19"/>
    </row>
    <row r="1543">
      <c r="A1543" s="9"/>
      <c r="B1543" s="15"/>
      <c r="C1543" s="9">
        <f>IFERROR(__xludf.DUMMYFUNCTION("""COMPUTED_VALUE"""),44495.6272502199)</f>
        <v>44495.62725</v>
      </c>
      <c r="D1543" s="15">
        <f>IFERROR(__xludf.DUMMYFUNCTION("""COMPUTED_VALUE"""),1.019)</f>
        <v>1.019</v>
      </c>
      <c r="E1543" s="16">
        <f>IFERROR(__xludf.DUMMYFUNCTION("""COMPUTED_VALUE"""),63.0)</f>
        <v>63</v>
      </c>
      <c r="F1543" s="19" t="str">
        <f>IFERROR(__xludf.DUMMYFUNCTION("""COMPUTED_VALUE"""),"BLACK")</f>
        <v>BLACK</v>
      </c>
      <c r="G1543" s="20" t="str">
        <f>IFERROR(__xludf.DUMMYFUNCTION("""COMPUTED_VALUE"""),"Tap 6 Clone (10/15/2021)")</f>
        <v>Tap 6 Clone (10/15/2021)</v>
      </c>
      <c r="H1543" s="19"/>
    </row>
    <row r="1544">
      <c r="A1544" s="9"/>
      <c r="B1544" s="15"/>
      <c r="C1544" s="9">
        <f>IFERROR(__xludf.DUMMYFUNCTION("""COMPUTED_VALUE"""),44495.6168278935)</f>
        <v>44495.61683</v>
      </c>
      <c r="D1544" s="15">
        <f>IFERROR(__xludf.DUMMYFUNCTION("""COMPUTED_VALUE"""),1.02)</f>
        <v>1.02</v>
      </c>
      <c r="E1544" s="16">
        <f>IFERROR(__xludf.DUMMYFUNCTION("""COMPUTED_VALUE"""),63.0)</f>
        <v>63</v>
      </c>
      <c r="F1544" s="19" t="str">
        <f>IFERROR(__xludf.DUMMYFUNCTION("""COMPUTED_VALUE"""),"BLACK")</f>
        <v>BLACK</v>
      </c>
      <c r="G1544" s="20" t="str">
        <f>IFERROR(__xludf.DUMMYFUNCTION("""COMPUTED_VALUE"""),"Tap 6 Clone (10/15/2021)")</f>
        <v>Tap 6 Clone (10/15/2021)</v>
      </c>
      <c r="H1544" s="19"/>
    </row>
    <row r="1545">
      <c r="A1545" s="9"/>
      <c r="B1545" s="15"/>
      <c r="C1545" s="9">
        <f>IFERROR(__xludf.DUMMYFUNCTION("""COMPUTED_VALUE"""),44495.6064062963)</f>
        <v>44495.60641</v>
      </c>
      <c r="D1545" s="15">
        <f>IFERROR(__xludf.DUMMYFUNCTION("""COMPUTED_VALUE"""),1.019)</f>
        <v>1.019</v>
      </c>
      <c r="E1545" s="16">
        <f>IFERROR(__xludf.DUMMYFUNCTION("""COMPUTED_VALUE"""),63.0)</f>
        <v>63</v>
      </c>
      <c r="F1545" s="19" t="str">
        <f>IFERROR(__xludf.DUMMYFUNCTION("""COMPUTED_VALUE"""),"BLACK")</f>
        <v>BLACK</v>
      </c>
      <c r="G1545" s="20" t="str">
        <f>IFERROR(__xludf.DUMMYFUNCTION("""COMPUTED_VALUE"""),"Tap 6 Clone (10/15/2021)")</f>
        <v>Tap 6 Clone (10/15/2021)</v>
      </c>
      <c r="H1545" s="19"/>
    </row>
    <row r="1546">
      <c r="A1546" s="9"/>
      <c r="B1546" s="15"/>
      <c r="C1546" s="9">
        <f>IFERROR(__xludf.DUMMYFUNCTION("""COMPUTED_VALUE"""),44495.5959825463)</f>
        <v>44495.59598</v>
      </c>
      <c r="D1546" s="15">
        <f>IFERROR(__xludf.DUMMYFUNCTION("""COMPUTED_VALUE"""),1.019)</f>
        <v>1.019</v>
      </c>
      <c r="E1546" s="16">
        <f>IFERROR(__xludf.DUMMYFUNCTION("""COMPUTED_VALUE"""),63.0)</f>
        <v>63</v>
      </c>
      <c r="F1546" s="19" t="str">
        <f>IFERROR(__xludf.DUMMYFUNCTION("""COMPUTED_VALUE"""),"BLACK")</f>
        <v>BLACK</v>
      </c>
      <c r="G1546" s="20" t="str">
        <f>IFERROR(__xludf.DUMMYFUNCTION("""COMPUTED_VALUE"""),"Tap 6 Clone (10/15/2021)")</f>
        <v>Tap 6 Clone (10/15/2021)</v>
      </c>
      <c r="H1546" s="19"/>
    </row>
    <row r="1547">
      <c r="A1547" s="9"/>
      <c r="B1547" s="15"/>
      <c r="C1547" s="9">
        <f>IFERROR(__xludf.DUMMYFUNCTION("""COMPUTED_VALUE"""),44495.5855622222)</f>
        <v>44495.58556</v>
      </c>
      <c r="D1547" s="15">
        <f>IFERROR(__xludf.DUMMYFUNCTION("""COMPUTED_VALUE"""),1.019)</f>
        <v>1.019</v>
      </c>
      <c r="E1547" s="16">
        <f>IFERROR(__xludf.DUMMYFUNCTION("""COMPUTED_VALUE"""),63.0)</f>
        <v>63</v>
      </c>
      <c r="F1547" s="19" t="str">
        <f>IFERROR(__xludf.DUMMYFUNCTION("""COMPUTED_VALUE"""),"BLACK")</f>
        <v>BLACK</v>
      </c>
      <c r="G1547" s="20" t="str">
        <f>IFERROR(__xludf.DUMMYFUNCTION("""COMPUTED_VALUE"""),"Tap 6 Clone (10/15/2021)")</f>
        <v>Tap 6 Clone (10/15/2021)</v>
      </c>
      <c r="H1547" s="19"/>
    </row>
    <row r="1548">
      <c r="A1548" s="9"/>
      <c r="B1548" s="15"/>
      <c r="C1548" s="9">
        <f>IFERROR(__xludf.DUMMYFUNCTION("""COMPUTED_VALUE"""),44495.5751417245)</f>
        <v>44495.57514</v>
      </c>
      <c r="D1548" s="15">
        <f>IFERROR(__xludf.DUMMYFUNCTION("""COMPUTED_VALUE"""),1.018)</f>
        <v>1.018</v>
      </c>
      <c r="E1548" s="16">
        <f>IFERROR(__xludf.DUMMYFUNCTION("""COMPUTED_VALUE"""),63.0)</f>
        <v>63</v>
      </c>
      <c r="F1548" s="19" t="str">
        <f>IFERROR(__xludf.DUMMYFUNCTION("""COMPUTED_VALUE"""),"BLACK")</f>
        <v>BLACK</v>
      </c>
      <c r="G1548" s="20" t="str">
        <f>IFERROR(__xludf.DUMMYFUNCTION("""COMPUTED_VALUE"""),"Tap 6 Clone (10/15/2021)")</f>
        <v>Tap 6 Clone (10/15/2021)</v>
      </c>
      <c r="H1548" s="19"/>
    </row>
    <row r="1549">
      <c r="A1549" s="9"/>
      <c r="B1549" s="15"/>
      <c r="C1549" s="9">
        <f>IFERROR(__xludf.DUMMYFUNCTION("""COMPUTED_VALUE"""),44495.5647081713)</f>
        <v>44495.56471</v>
      </c>
      <c r="D1549" s="15">
        <f>IFERROR(__xludf.DUMMYFUNCTION("""COMPUTED_VALUE"""),1.018)</f>
        <v>1.018</v>
      </c>
      <c r="E1549" s="16">
        <f>IFERROR(__xludf.DUMMYFUNCTION("""COMPUTED_VALUE"""),63.0)</f>
        <v>63</v>
      </c>
      <c r="F1549" s="19" t="str">
        <f>IFERROR(__xludf.DUMMYFUNCTION("""COMPUTED_VALUE"""),"BLACK")</f>
        <v>BLACK</v>
      </c>
      <c r="G1549" s="20" t="str">
        <f>IFERROR(__xludf.DUMMYFUNCTION("""COMPUTED_VALUE"""),"Tap 6 Clone (10/15/2021)")</f>
        <v>Tap 6 Clone (10/15/2021)</v>
      </c>
      <c r="H1549" s="19"/>
    </row>
    <row r="1550">
      <c r="A1550" s="9"/>
      <c r="B1550" s="15"/>
      <c r="C1550" s="9">
        <f>IFERROR(__xludf.DUMMYFUNCTION("""COMPUTED_VALUE"""),44495.5542869675)</f>
        <v>44495.55429</v>
      </c>
      <c r="D1550" s="15">
        <f>IFERROR(__xludf.DUMMYFUNCTION("""COMPUTED_VALUE"""),1.017)</f>
        <v>1.017</v>
      </c>
      <c r="E1550" s="16">
        <f>IFERROR(__xludf.DUMMYFUNCTION("""COMPUTED_VALUE"""),63.0)</f>
        <v>63</v>
      </c>
      <c r="F1550" s="19" t="str">
        <f>IFERROR(__xludf.DUMMYFUNCTION("""COMPUTED_VALUE"""),"BLACK")</f>
        <v>BLACK</v>
      </c>
      <c r="G1550" s="20" t="str">
        <f>IFERROR(__xludf.DUMMYFUNCTION("""COMPUTED_VALUE"""),"Tap 6 Clone (10/15/2021)")</f>
        <v>Tap 6 Clone (10/15/2021)</v>
      </c>
      <c r="H1550" s="19"/>
    </row>
    <row r="1551">
      <c r="A1551" s="9"/>
      <c r="B1551" s="15"/>
      <c r="C1551" s="9">
        <f>IFERROR(__xludf.DUMMYFUNCTION("""COMPUTED_VALUE"""),44495.5438527893)</f>
        <v>44495.54385</v>
      </c>
      <c r="D1551" s="15">
        <f>IFERROR(__xludf.DUMMYFUNCTION("""COMPUTED_VALUE"""),1.018)</f>
        <v>1.018</v>
      </c>
      <c r="E1551" s="16">
        <f>IFERROR(__xludf.DUMMYFUNCTION("""COMPUTED_VALUE"""),63.0)</f>
        <v>63</v>
      </c>
      <c r="F1551" s="19" t="str">
        <f>IFERROR(__xludf.DUMMYFUNCTION("""COMPUTED_VALUE"""),"BLACK")</f>
        <v>BLACK</v>
      </c>
      <c r="G1551" s="20" t="str">
        <f>IFERROR(__xludf.DUMMYFUNCTION("""COMPUTED_VALUE"""),"Tap 6 Clone (10/15/2021)")</f>
        <v>Tap 6 Clone (10/15/2021)</v>
      </c>
      <c r="H1551" s="19"/>
    </row>
    <row r="1552">
      <c r="A1552" s="9"/>
      <c r="B1552" s="15"/>
      <c r="C1552" s="9">
        <f>IFERROR(__xludf.DUMMYFUNCTION("""COMPUTED_VALUE"""),44495.5230118287)</f>
        <v>44495.52301</v>
      </c>
      <c r="D1552" s="15">
        <f>IFERROR(__xludf.DUMMYFUNCTION("""COMPUTED_VALUE"""),1.02)</f>
        <v>1.02</v>
      </c>
      <c r="E1552" s="16">
        <f>IFERROR(__xludf.DUMMYFUNCTION("""COMPUTED_VALUE"""),63.0)</f>
        <v>63</v>
      </c>
      <c r="F1552" s="19" t="str">
        <f>IFERROR(__xludf.DUMMYFUNCTION("""COMPUTED_VALUE"""),"BLACK")</f>
        <v>BLACK</v>
      </c>
      <c r="G1552" s="20" t="str">
        <f>IFERROR(__xludf.DUMMYFUNCTION("""COMPUTED_VALUE"""),"Tap 6 Clone (10/15/2021)")</f>
        <v>Tap 6 Clone (10/15/2021)</v>
      </c>
      <c r="H1552" s="19"/>
    </row>
    <row r="1553">
      <c r="A1553" s="9"/>
      <c r="B1553" s="15"/>
      <c r="C1553" s="9">
        <f>IFERROR(__xludf.DUMMYFUNCTION("""COMPUTED_VALUE"""),44495.5125916435)</f>
        <v>44495.51259</v>
      </c>
      <c r="D1553" s="15">
        <f>IFERROR(__xludf.DUMMYFUNCTION("""COMPUTED_VALUE"""),1.018)</f>
        <v>1.018</v>
      </c>
      <c r="E1553" s="16">
        <f>IFERROR(__xludf.DUMMYFUNCTION("""COMPUTED_VALUE"""),63.0)</f>
        <v>63</v>
      </c>
      <c r="F1553" s="19" t="str">
        <f>IFERROR(__xludf.DUMMYFUNCTION("""COMPUTED_VALUE"""),"BLACK")</f>
        <v>BLACK</v>
      </c>
      <c r="G1553" s="20" t="str">
        <f>IFERROR(__xludf.DUMMYFUNCTION("""COMPUTED_VALUE"""),"Tap 6 Clone (10/15/2021)")</f>
        <v>Tap 6 Clone (10/15/2021)</v>
      </c>
      <c r="H1553" s="19"/>
    </row>
    <row r="1554">
      <c r="A1554" s="9"/>
      <c r="B1554" s="15"/>
      <c r="C1554" s="9">
        <f>IFERROR(__xludf.DUMMYFUNCTION("""COMPUTED_VALUE"""),44495.5021695833)</f>
        <v>44495.50217</v>
      </c>
      <c r="D1554" s="15">
        <f>IFERROR(__xludf.DUMMYFUNCTION("""COMPUTED_VALUE"""),1.018)</f>
        <v>1.018</v>
      </c>
      <c r="E1554" s="16">
        <f>IFERROR(__xludf.DUMMYFUNCTION("""COMPUTED_VALUE"""),63.0)</f>
        <v>63</v>
      </c>
      <c r="F1554" s="19" t="str">
        <f>IFERROR(__xludf.DUMMYFUNCTION("""COMPUTED_VALUE"""),"BLACK")</f>
        <v>BLACK</v>
      </c>
      <c r="G1554" s="20" t="str">
        <f>IFERROR(__xludf.DUMMYFUNCTION("""COMPUTED_VALUE"""),"Tap 6 Clone (10/15/2021)")</f>
        <v>Tap 6 Clone (10/15/2021)</v>
      </c>
      <c r="H1554" s="19"/>
    </row>
    <row r="1555">
      <c r="A1555" s="9"/>
      <c r="B1555" s="15"/>
      <c r="C1555" s="9">
        <f>IFERROR(__xludf.DUMMYFUNCTION("""COMPUTED_VALUE"""),44495.4917479745)</f>
        <v>44495.49175</v>
      </c>
      <c r="D1555" s="15">
        <f>IFERROR(__xludf.DUMMYFUNCTION("""COMPUTED_VALUE"""),1.018)</f>
        <v>1.018</v>
      </c>
      <c r="E1555" s="16">
        <f>IFERROR(__xludf.DUMMYFUNCTION("""COMPUTED_VALUE"""),63.0)</f>
        <v>63</v>
      </c>
      <c r="F1555" s="19" t="str">
        <f>IFERROR(__xludf.DUMMYFUNCTION("""COMPUTED_VALUE"""),"BLACK")</f>
        <v>BLACK</v>
      </c>
      <c r="G1555" s="20" t="str">
        <f>IFERROR(__xludf.DUMMYFUNCTION("""COMPUTED_VALUE"""),"Tap 6 Clone (10/15/2021)")</f>
        <v>Tap 6 Clone (10/15/2021)</v>
      </c>
      <c r="H1555" s="19"/>
    </row>
    <row r="1556">
      <c r="A1556" s="9"/>
      <c r="B1556" s="15"/>
      <c r="C1556" s="9">
        <f>IFERROR(__xludf.DUMMYFUNCTION("""COMPUTED_VALUE"""),44495.4813143518)</f>
        <v>44495.48131</v>
      </c>
      <c r="D1556" s="15">
        <f>IFERROR(__xludf.DUMMYFUNCTION("""COMPUTED_VALUE"""),1.018)</f>
        <v>1.018</v>
      </c>
      <c r="E1556" s="16">
        <f>IFERROR(__xludf.DUMMYFUNCTION("""COMPUTED_VALUE"""),63.0)</f>
        <v>63</v>
      </c>
      <c r="F1556" s="19" t="str">
        <f>IFERROR(__xludf.DUMMYFUNCTION("""COMPUTED_VALUE"""),"BLACK")</f>
        <v>BLACK</v>
      </c>
      <c r="G1556" s="20" t="str">
        <f>IFERROR(__xludf.DUMMYFUNCTION("""COMPUTED_VALUE"""),"Tap 6 Clone (10/15/2021)")</f>
        <v>Tap 6 Clone (10/15/2021)</v>
      </c>
      <c r="H1556" s="19"/>
    </row>
    <row r="1557">
      <c r="A1557" s="9"/>
      <c r="B1557" s="15"/>
      <c r="C1557" s="9">
        <f>IFERROR(__xludf.DUMMYFUNCTION("""COMPUTED_VALUE"""),44495.4708821064)</f>
        <v>44495.47088</v>
      </c>
      <c r="D1557" s="15">
        <f>IFERROR(__xludf.DUMMYFUNCTION("""COMPUTED_VALUE"""),1.018)</f>
        <v>1.018</v>
      </c>
      <c r="E1557" s="16">
        <f>IFERROR(__xludf.DUMMYFUNCTION("""COMPUTED_VALUE"""),63.0)</f>
        <v>63</v>
      </c>
      <c r="F1557" s="19" t="str">
        <f>IFERROR(__xludf.DUMMYFUNCTION("""COMPUTED_VALUE"""),"BLACK")</f>
        <v>BLACK</v>
      </c>
      <c r="G1557" s="20" t="str">
        <f>IFERROR(__xludf.DUMMYFUNCTION("""COMPUTED_VALUE"""),"Tap 6 Clone (10/15/2021)")</f>
        <v>Tap 6 Clone (10/15/2021)</v>
      </c>
      <c r="H1557" s="19"/>
    </row>
    <row r="1558">
      <c r="A1558" s="9"/>
      <c r="B1558" s="15"/>
      <c r="C1558" s="9">
        <f>IFERROR(__xludf.DUMMYFUNCTION("""COMPUTED_VALUE"""),44495.4604612152)</f>
        <v>44495.46046</v>
      </c>
      <c r="D1558" s="15">
        <f>IFERROR(__xludf.DUMMYFUNCTION("""COMPUTED_VALUE"""),1.019)</f>
        <v>1.019</v>
      </c>
      <c r="E1558" s="16">
        <f>IFERROR(__xludf.DUMMYFUNCTION("""COMPUTED_VALUE"""),63.0)</f>
        <v>63</v>
      </c>
      <c r="F1558" s="19" t="str">
        <f>IFERROR(__xludf.DUMMYFUNCTION("""COMPUTED_VALUE"""),"BLACK")</f>
        <v>BLACK</v>
      </c>
      <c r="G1558" s="20" t="str">
        <f>IFERROR(__xludf.DUMMYFUNCTION("""COMPUTED_VALUE"""),"Tap 6 Clone (10/15/2021)")</f>
        <v>Tap 6 Clone (10/15/2021)</v>
      </c>
      <c r="H1558" s="19"/>
    </row>
    <row r="1559">
      <c r="A1559" s="9"/>
      <c r="B1559" s="15"/>
      <c r="C1559" s="9">
        <f>IFERROR(__xludf.DUMMYFUNCTION("""COMPUTED_VALUE"""),44495.4500390509)</f>
        <v>44495.45004</v>
      </c>
      <c r="D1559" s="15">
        <f>IFERROR(__xludf.DUMMYFUNCTION("""COMPUTED_VALUE"""),1.019)</f>
        <v>1.019</v>
      </c>
      <c r="E1559" s="16">
        <f>IFERROR(__xludf.DUMMYFUNCTION("""COMPUTED_VALUE"""),63.0)</f>
        <v>63</v>
      </c>
      <c r="F1559" s="19" t="str">
        <f>IFERROR(__xludf.DUMMYFUNCTION("""COMPUTED_VALUE"""),"BLACK")</f>
        <v>BLACK</v>
      </c>
      <c r="G1559" s="20" t="str">
        <f>IFERROR(__xludf.DUMMYFUNCTION("""COMPUTED_VALUE"""),"Tap 6 Clone (10/15/2021)")</f>
        <v>Tap 6 Clone (10/15/2021)</v>
      </c>
      <c r="H1559" s="19"/>
    </row>
    <row r="1560">
      <c r="A1560" s="9"/>
      <c r="B1560" s="15"/>
      <c r="C1560" s="9">
        <f>IFERROR(__xludf.DUMMYFUNCTION("""COMPUTED_VALUE"""),44495.4396079282)</f>
        <v>44495.43961</v>
      </c>
      <c r="D1560" s="15">
        <f>IFERROR(__xludf.DUMMYFUNCTION("""COMPUTED_VALUE"""),1.02)</f>
        <v>1.02</v>
      </c>
      <c r="E1560" s="16">
        <f>IFERROR(__xludf.DUMMYFUNCTION("""COMPUTED_VALUE"""),63.0)</f>
        <v>63</v>
      </c>
      <c r="F1560" s="19" t="str">
        <f>IFERROR(__xludf.DUMMYFUNCTION("""COMPUTED_VALUE"""),"BLACK")</f>
        <v>BLACK</v>
      </c>
      <c r="G1560" s="20" t="str">
        <f>IFERROR(__xludf.DUMMYFUNCTION("""COMPUTED_VALUE"""),"Tap 6 Clone (10/15/2021)")</f>
        <v>Tap 6 Clone (10/15/2021)</v>
      </c>
      <c r="H1560" s="19"/>
    </row>
    <row r="1561">
      <c r="A1561" s="9"/>
      <c r="B1561" s="15"/>
      <c r="C1561" s="9">
        <f>IFERROR(__xludf.DUMMYFUNCTION("""COMPUTED_VALUE"""),44495.4291873611)</f>
        <v>44495.42919</v>
      </c>
      <c r="D1561" s="15">
        <f>IFERROR(__xludf.DUMMYFUNCTION("""COMPUTED_VALUE"""),1.02)</f>
        <v>1.02</v>
      </c>
      <c r="E1561" s="16">
        <f>IFERROR(__xludf.DUMMYFUNCTION("""COMPUTED_VALUE"""),63.0)</f>
        <v>63</v>
      </c>
      <c r="F1561" s="19" t="str">
        <f>IFERROR(__xludf.DUMMYFUNCTION("""COMPUTED_VALUE"""),"BLACK")</f>
        <v>BLACK</v>
      </c>
      <c r="G1561" s="20" t="str">
        <f>IFERROR(__xludf.DUMMYFUNCTION("""COMPUTED_VALUE"""),"Tap 6 Clone (10/15/2021)")</f>
        <v>Tap 6 Clone (10/15/2021)</v>
      </c>
      <c r="H1561" s="19"/>
    </row>
    <row r="1562">
      <c r="A1562" s="9"/>
      <c r="B1562" s="15"/>
      <c r="C1562" s="9">
        <f>IFERROR(__xludf.DUMMYFUNCTION("""COMPUTED_VALUE"""),44495.418766875)</f>
        <v>44495.41877</v>
      </c>
      <c r="D1562" s="15">
        <f>IFERROR(__xludf.DUMMYFUNCTION("""COMPUTED_VALUE"""),1.019)</f>
        <v>1.019</v>
      </c>
      <c r="E1562" s="16">
        <f>IFERROR(__xludf.DUMMYFUNCTION("""COMPUTED_VALUE"""),63.0)</f>
        <v>63</v>
      </c>
      <c r="F1562" s="19" t="str">
        <f>IFERROR(__xludf.DUMMYFUNCTION("""COMPUTED_VALUE"""),"BLACK")</f>
        <v>BLACK</v>
      </c>
      <c r="G1562" s="20" t="str">
        <f>IFERROR(__xludf.DUMMYFUNCTION("""COMPUTED_VALUE"""),"Tap 6 Clone (10/15/2021)")</f>
        <v>Tap 6 Clone (10/15/2021)</v>
      </c>
      <c r="H1562" s="19"/>
    </row>
    <row r="1563">
      <c r="A1563" s="9"/>
      <c r="B1563" s="15"/>
      <c r="C1563" s="9">
        <f>IFERROR(__xludf.DUMMYFUNCTION("""COMPUTED_VALUE"""),44495.4083442476)</f>
        <v>44495.40834</v>
      </c>
      <c r="D1563" s="15">
        <f>IFERROR(__xludf.DUMMYFUNCTION("""COMPUTED_VALUE"""),1.019)</f>
        <v>1.019</v>
      </c>
      <c r="E1563" s="16">
        <f>IFERROR(__xludf.DUMMYFUNCTION("""COMPUTED_VALUE"""),63.0)</f>
        <v>63</v>
      </c>
      <c r="F1563" s="19" t="str">
        <f>IFERROR(__xludf.DUMMYFUNCTION("""COMPUTED_VALUE"""),"BLACK")</f>
        <v>BLACK</v>
      </c>
      <c r="G1563" s="20" t="str">
        <f>IFERROR(__xludf.DUMMYFUNCTION("""COMPUTED_VALUE"""),"Tap 6 Clone (10/15/2021)")</f>
        <v>Tap 6 Clone (10/15/2021)</v>
      </c>
      <c r="H1563" s="19"/>
    </row>
    <row r="1564">
      <c r="A1564" s="9"/>
      <c r="B1564" s="15"/>
      <c r="C1564" s="9">
        <f>IFERROR(__xludf.DUMMYFUNCTION("""COMPUTED_VALUE"""),44495.3979229745)</f>
        <v>44495.39792</v>
      </c>
      <c r="D1564" s="15">
        <f>IFERROR(__xludf.DUMMYFUNCTION("""COMPUTED_VALUE"""),1.019)</f>
        <v>1.019</v>
      </c>
      <c r="E1564" s="16">
        <f>IFERROR(__xludf.DUMMYFUNCTION("""COMPUTED_VALUE"""),63.0)</f>
        <v>63</v>
      </c>
      <c r="F1564" s="19" t="str">
        <f>IFERROR(__xludf.DUMMYFUNCTION("""COMPUTED_VALUE"""),"BLACK")</f>
        <v>BLACK</v>
      </c>
      <c r="G1564" s="20" t="str">
        <f>IFERROR(__xludf.DUMMYFUNCTION("""COMPUTED_VALUE"""),"Tap 6 Clone (10/15/2021)")</f>
        <v>Tap 6 Clone (10/15/2021)</v>
      </c>
      <c r="H1564" s="19"/>
    </row>
    <row r="1565">
      <c r="A1565" s="9"/>
      <c r="B1565" s="15"/>
      <c r="C1565" s="9">
        <f>IFERROR(__xludf.DUMMYFUNCTION("""COMPUTED_VALUE"""),44495.387501956)</f>
        <v>44495.3875</v>
      </c>
      <c r="D1565" s="15">
        <f>IFERROR(__xludf.DUMMYFUNCTION("""COMPUTED_VALUE"""),1.019)</f>
        <v>1.019</v>
      </c>
      <c r="E1565" s="16">
        <f>IFERROR(__xludf.DUMMYFUNCTION("""COMPUTED_VALUE"""),63.0)</f>
        <v>63</v>
      </c>
      <c r="F1565" s="19" t="str">
        <f>IFERROR(__xludf.DUMMYFUNCTION("""COMPUTED_VALUE"""),"BLACK")</f>
        <v>BLACK</v>
      </c>
      <c r="G1565" s="20" t="str">
        <f>IFERROR(__xludf.DUMMYFUNCTION("""COMPUTED_VALUE"""),"Tap 6 Clone (10/15/2021)")</f>
        <v>Tap 6 Clone (10/15/2021)</v>
      </c>
      <c r="H1565" s="19"/>
    </row>
    <row r="1566">
      <c r="A1566" s="9"/>
      <c r="B1566" s="15"/>
      <c r="C1566" s="9">
        <f>IFERROR(__xludf.DUMMYFUNCTION("""COMPUTED_VALUE"""),44495.37708125)</f>
        <v>44495.37708</v>
      </c>
      <c r="D1566" s="15">
        <f>IFERROR(__xludf.DUMMYFUNCTION("""COMPUTED_VALUE"""),1.019)</f>
        <v>1.019</v>
      </c>
      <c r="E1566" s="16">
        <f>IFERROR(__xludf.DUMMYFUNCTION("""COMPUTED_VALUE"""),63.0)</f>
        <v>63</v>
      </c>
      <c r="F1566" s="19" t="str">
        <f>IFERROR(__xludf.DUMMYFUNCTION("""COMPUTED_VALUE"""),"BLACK")</f>
        <v>BLACK</v>
      </c>
      <c r="G1566" s="20" t="str">
        <f>IFERROR(__xludf.DUMMYFUNCTION("""COMPUTED_VALUE"""),"Tap 6 Clone (10/15/2021)")</f>
        <v>Tap 6 Clone (10/15/2021)</v>
      </c>
      <c r="H1566" s="19"/>
    </row>
    <row r="1567">
      <c r="A1567" s="9"/>
      <c r="B1567" s="15"/>
      <c r="C1567" s="9">
        <f>IFERROR(__xludf.DUMMYFUNCTION("""COMPUTED_VALUE"""),44495.3666602777)</f>
        <v>44495.36666</v>
      </c>
      <c r="D1567" s="15">
        <f>IFERROR(__xludf.DUMMYFUNCTION("""COMPUTED_VALUE"""),1.019)</f>
        <v>1.019</v>
      </c>
      <c r="E1567" s="16">
        <f>IFERROR(__xludf.DUMMYFUNCTION("""COMPUTED_VALUE"""),63.0)</f>
        <v>63</v>
      </c>
      <c r="F1567" s="19" t="str">
        <f>IFERROR(__xludf.DUMMYFUNCTION("""COMPUTED_VALUE"""),"BLACK")</f>
        <v>BLACK</v>
      </c>
      <c r="G1567" s="20" t="str">
        <f>IFERROR(__xludf.DUMMYFUNCTION("""COMPUTED_VALUE"""),"Tap 6 Clone (10/15/2021)")</f>
        <v>Tap 6 Clone (10/15/2021)</v>
      </c>
      <c r="H1567" s="19"/>
    </row>
    <row r="1568">
      <c r="A1568" s="9"/>
      <c r="B1568" s="15"/>
      <c r="C1568" s="9">
        <f>IFERROR(__xludf.DUMMYFUNCTION("""COMPUTED_VALUE"""),44495.3562389351)</f>
        <v>44495.35624</v>
      </c>
      <c r="D1568" s="15">
        <f>IFERROR(__xludf.DUMMYFUNCTION("""COMPUTED_VALUE"""),1.019)</f>
        <v>1.019</v>
      </c>
      <c r="E1568" s="16">
        <f>IFERROR(__xludf.DUMMYFUNCTION("""COMPUTED_VALUE"""),63.0)</f>
        <v>63</v>
      </c>
      <c r="F1568" s="19" t="str">
        <f>IFERROR(__xludf.DUMMYFUNCTION("""COMPUTED_VALUE"""),"BLACK")</f>
        <v>BLACK</v>
      </c>
      <c r="G1568" s="20" t="str">
        <f>IFERROR(__xludf.DUMMYFUNCTION("""COMPUTED_VALUE"""),"Tap 6 Clone (10/15/2021)")</f>
        <v>Tap 6 Clone (10/15/2021)</v>
      </c>
      <c r="H1568" s="19"/>
    </row>
    <row r="1569">
      <c r="A1569" s="9"/>
      <c r="B1569" s="15"/>
      <c r="C1569" s="9">
        <f>IFERROR(__xludf.DUMMYFUNCTION("""COMPUTED_VALUE"""),44495.3458193634)</f>
        <v>44495.34582</v>
      </c>
      <c r="D1569" s="15">
        <f>IFERROR(__xludf.DUMMYFUNCTION("""COMPUTED_VALUE"""),1.019)</f>
        <v>1.019</v>
      </c>
      <c r="E1569" s="16">
        <f>IFERROR(__xludf.DUMMYFUNCTION("""COMPUTED_VALUE"""),63.0)</f>
        <v>63</v>
      </c>
      <c r="F1569" s="19" t="str">
        <f>IFERROR(__xludf.DUMMYFUNCTION("""COMPUTED_VALUE"""),"BLACK")</f>
        <v>BLACK</v>
      </c>
      <c r="G1569" s="20" t="str">
        <f>IFERROR(__xludf.DUMMYFUNCTION("""COMPUTED_VALUE"""),"Tap 6 Clone (10/15/2021)")</f>
        <v>Tap 6 Clone (10/15/2021)</v>
      </c>
      <c r="H1569" s="19"/>
    </row>
    <row r="1570">
      <c r="A1570" s="9"/>
      <c r="B1570" s="15"/>
      <c r="C1570" s="9">
        <f>IFERROR(__xludf.DUMMYFUNCTION("""COMPUTED_VALUE"""),44495.3353748958)</f>
        <v>44495.33537</v>
      </c>
      <c r="D1570" s="15">
        <f>IFERROR(__xludf.DUMMYFUNCTION("""COMPUTED_VALUE"""),1.019)</f>
        <v>1.019</v>
      </c>
      <c r="E1570" s="16">
        <f>IFERROR(__xludf.DUMMYFUNCTION("""COMPUTED_VALUE"""),63.0)</f>
        <v>63</v>
      </c>
      <c r="F1570" s="19" t="str">
        <f>IFERROR(__xludf.DUMMYFUNCTION("""COMPUTED_VALUE"""),"BLACK")</f>
        <v>BLACK</v>
      </c>
      <c r="G1570" s="20" t="str">
        <f>IFERROR(__xludf.DUMMYFUNCTION("""COMPUTED_VALUE"""),"Tap 6 Clone (10/15/2021)")</f>
        <v>Tap 6 Clone (10/15/2021)</v>
      </c>
      <c r="H1570" s="19"/>
    </row>
    <row r="1571">
      <c r="A1571" s="9"/>
      <c r="B1571" s="15"/>
      <c r="C1571" s="9">
        <f>IFERROR(__xludf.DUMMYFUNCTION("""COMPUTED_VALUE"""),44495.3249528009)</f>
        <v>44495.32495</v>
      </c>
      <c r="D1571" s="15">
        <f>IFERROR(__xludf.DUMMYFUNCTION("""COMPUTED_VALUE"""),1.019)</f>
        <v>1.019</v>
      </c>
      <c r="E1571" s="16">
        <f>IFERROR(__xludf.DUMMYFUNCTION("""COMPUTED_VALUE"""),63.0)</f>
        <v>63</v>
      </c>
      <c r="F1571" s="19" t="str">
        <f>IFERROR(__xludf.DUMMYFUNCTION("""COMPUTED_VALUE"""),"BLACK")</f>
        <v>BLACK</v>
      </c>
      <c r="G1571" s="20" t="str">
        <f>IFERROR(__xludf.DUMMYFUNCTION("""COMPUTED_VALUE"""),"Tap 6 Clone (10/15/2021)")</f>
        <v>Tap 6 Clone (10/15/2021)</v>
      </c>
      <c r="H1571" s="19"/>
    </row>
    <row r="1572">
      <c r="A1572" s="9"/>
      <c r="B1572" s="15"/>
      <c r="C1572" s="9">
        <f>IFERROR(__xludf.DUMMYFUNCTION("""COMPUTED_VALUE"""),44495.3145342592)</f>
        <v>44495.31453</v>
      </c>
      <c r="D1572" s="15">
        <f>IFERROR(__xludf.DUMMYFUNCTION("""COMPUTED_VALUE"""),1.018)</f>
        <v>1.018</v>
      </c>
      <c r="E1572" s="16">
        <f>IFERROR(__xludf.DUMMYFUNCTION("""COMPUTED_VALUE"""),63.0)</f>
        <v>63</v>
      </c>
      <c r="F1572" s="19" t="str">
        <f>IFERROR(__xludf.DUMMYFUNCTION("""COMPUTED_VALUE"""),"BLACK")</f>
        <v>BLACK</v>
      </c>
      <c r="G1572" s="20" t="str">
        <f>IFERROR(__xludf.DUMMYFUNCTION("""COMPUTED_VALUE"""),"Tap 6 Clone (10/15/2021)")</f>
        <v>Tap 6 Clone (10/15/2021)</v>
      </c>
      <c r="H1572" s="19"/>
    </row>
    <row r="1573">
      <c r="A1573" s="9"/>
      <c r="B1573" s="15"/>
      <c r="C1573" s="9">
        <f>IFERROR(__xludf.DUMMYFUNCTION("""COMPUTED_VALUE"""),44495.3041119444)</f>
        <v>44495.30411</v>
      </c>
      <c r="D1573" s="15">
        <f>IFERROR(__xludf.DUMMYFUNCTION("""COMPUTED_VALUE"""),1.019)</f>
        <v>1.019</v>
      </c>
      <c r="E1573" s="16">
        <f>IFERROR(__xludf.DUMMYFUNCTION("""COMPUTED_VALUE"""),63.0)</f>
        <v>63</v>
      </c>
      <c r="F1573" s="19" t="str">
        <f>IFERROR(__xludf.DUMMYFUNCTION("""COMPUTED_VALUE"""),"BLACK")</f>
        <v>BLACK</v>
      </c>
      <c r="G1573" s="20" t="str">
        <f>IFERROR(__xludf.DUMMYFUNCTION("""COMPUTED_VALUE"""),"Tap 6 Clone (10/15/2021)")</f>
        <v>Tap 6 Clone (10/15/2021)</v>
      </c>
      <c r="H1573" s="19"/>
    </row>
    <row r="1574">
      <c r="A1574" s="9"/>
      <c r="B1574" s="15"/>
      <c r="C1574" s="9">
        <f>IFERROR(__xludf.DUMMYFUNCTION("""COMPUTED_VALUE"""),44495.2936903703)</f>
        <v>44495.29369</v>
      </c>
      <c r="D1574" s="15">
        <f>IFERROR(__xludf.DUMMYFUNCTION("""COMPUTED_VALUE"""),1.02)</f>
        <v>1.02</v>
      </c>
      <c r="E1574" s="16">
        <f>IFERROR(__xludf.DUMMYFUNCTION("""COMPUTED_VALUE"""),63.0)</f>
        <v>63</v>
      </c>
      <c r="F1574" s="19" t="str">
        <f>IFERROR(__xludf.DUMMYFUNCTION("""COMPUTED_VALUE"""),"BLACK")</f>
        <v>BLACK</v>
      </c>
      <c r="G1574" s="20" t="str">
        <f>IFERROR(__xludf.DUMMYFUNCTION("""COMPUTED_VALUE"""),"Tap 6 Clone (10/15/2021)")</f>
        <v>Tap 6 Clone (10/15/2021)</v>
      </c>
      <c r="H1574" s="19"/>
    </row>
    <row r="1575">
      <c r="A1575" s="9"/>
      <c r="B1575" s="15"/>
      <c r="C1575" s="9">
        <f>IFERROR(__xludf.DUMMYFUNCTION("""COMPUTED_VALUE"""),44495.2832702083)</f>
        <v>44495.28327</v>
      </c>
      <c r="D1575" s="15">
        <f>IFERROR(__xludf.DUMMYFUNCTION("""COMPUTED_VALUE"""),1.02)</f>
        <v>1.02</v>
      </c>
      <c r="E1575" s="16">
        <f>IFERROR(__xludf.DUMMYFUNCTION("""COMPUTED_VALUE"""),63.0)</f>
        <v>63</v>
      </c>
      <c r="F1575" s="19" t="str">
        <f>IFERROR(__xludf.DUMMYFUNCTION("""COMPUTED_VALUE"""),"BLACK")</f>
        <v>BLACK</v>
      </c>
      <c r="G1575" s="20" t="str">
        <f>IFERROR(__xludf.DUMMYFUNCTION("""COMPUTED_VALUE"""),"Tap 6 Clone (10/15/2021)")</f>
        <v>Tap 6 Clone (10/15/2021)</v>
      </c>
      <c r="H1575" s="19"/>
    </row>
    <row r="1576">
      <c r="A1576" s="9"/>
      <c r="B1576" s="15"/>
      <c r="C1576" s="9">
        <f>IFERROR(__xludf.DUMMYFUNCTION("""COMPUTED_VALUE"""),44495.2728494907)</f>
        <v>44495.27285</v>
      </c>
      <c r="D1576" s="15">
        <f>IFERROR(__xludf.DUMMYFUNCTION("""COMPUTED_VALUE"""),1.02)</f>
        <v>1.02</v>
      </c>
      <c r="E1576" s="16">
        <f>IFERROR(__xludf.DUMMYFUNCTION("""COMPUTED_VALUE"""),62.0)</f>
        <v>62</v>
      </c>
      <c r="F1576" s="19" t="str">
        <f>IFERROR(__xludf.DUMMYFUNCTION("""COMPUTED_VALUE"""),"BLACK")</f>
        <v>BLACK</v>
      </c>
      <c r="G1576" s="20" t="str">
        <f>IFERROR(__xludf.DUMMYFUNCTION("""COMPUTED_VALUE"""),"Tap 6 Clone (10/15/2021)")</f>
        <v>Tap 6 Clone (10/15/2021)</v>
      </c>
      <c r="H1576" s="19"/>
    </row>
    <row r="1577">
      <c r="A1577" s="9"/>
      <c r="B1577" s="15"/>
      <c r="C1577" s="9">
        <f>IFERROR(__xludf.DUMMYFUNCTION("""COMPUTED_VALUE"""),44495.2624288078)</f>
        <v>44495.26243</v>
      </c>
      <c r="D1577" s="15">
        <f>IFERROR(__xludf.DUMMYFUNCTION("""COMPUTED_VALUE"""),1.019)</f>
        <v>1.019</v>
      </c>
      <c r="E1577" s="16">
        <f>IFERROR(__xludf.DUMMYFUNCTION("""COMPUTED_VALUE"""),62.0)</f>
        <v>62</v>
      </c>
      <c r="F1577" s="19" t="str">
        <f>IFERROR(__xludf.DUMMYFUNCTION("""COMPUTED_VALUE"""),"BLACK")</f>
        <v>BLACK</v>
      </c>
      <c r="G1577" s="20" t="str">
        <f>IFERROR(__xludf.DUMMYFUNCTION("""COMPUTED_VALUE"""),"Tap 6 Clone (10/15/2021)")</f>
        <v>Tap 6 Clone (10/15/2021)</v>
      </c>
      <c r="H1577" s="19"/>
    </row>
    <row r="1578">
      <c r="A1578" s="9"/>
      <c r="B1578" s="15"/>
      <c r="C1578" s="9">
        <f>IFERROR(__xludf.DUMMYFUNCTION("""COMPUTED_VALUE"""),44495.2520083449)</f>
        <v>44495.25201</v>
      </c>
      <c r="D1578" s="15">
        <f>IFERROR(__xludf.DUMMYFUNCTION("""COMPUTED_VALUE"""),1.02)</f>
        <v>1.02</v>
      </c>
      <c r="E1578" s="16">
        <f>IFERROR(__xludf.DUMMYFUNCTION("""COMPUTED_VALUE"""),62.0)</f>
        <v>62</v>
      </c>
      <c r="F1578" s="19" t="str">
        <f>IFERROR(__xludf.DUMMYFUNCTION("""COMPUTED_VALUE"""),"BLACK")</f>
        <v>BLACK</v>
      </c>
      <c r="G1578" s="20" t="str">
        <f>IFERROR(__xludf.DUMMYFUNCTION("""COMPUTED_VALUE"""),"Tap 6 Clone (10/15/2021)")</f>
        <v>Tap 6 Clone (10/15/2021)</v>
      </c>
      <c r="H1578" s="19"/>
    </row>
    <row r="1579">
      <c r="A1579" s="9"/>
      <c r="B1579" s="15"/>
      <c r="C1579" s="9">
        <f>IFERROR(__xludf.DUMMYFUNCTION("""COMPUTED_VALUE"""),44495.241585324)</f>
        <v>44495.24159</v>
      </c>
      <c r="D1579" s="15">
        <f>IFERROR(__xludf.DUMMYFUNCTION("""COMPUTED_VALUE"""),1.019)</f>
        <v>1.019</v>
      </c>
      <c r="E1579" s="16">
        <f>IFERROR(__xludf.DUMMYFUNCTION("""COMPUTED_VALUE"""),62.0)</f>
        <v>62</v>
      </c>
      <c r="F1579" s="19" t="str">
        <f>IFERROR(__xludf.DUMMYFUNCTION("""COMPUTED_VALUE"""),"BLACK")</f>
        <v>BLACK</v>
      </c>
      <c r="G1579" s="20" t="str">
        <f>IFERROR(__xludf.DUMMYFUNCTION("""COMPUTED_VALUE"""),"Tap 6 Clone (10/15/2021)")</f>
        <v>Tap 6 Clone (10/15/2021)</v>
      </c>
      <c r="H1579" s="19"/>
    </row>
    <row r="1580">
      <c r="A1580" s="9"/>
      <c r="B1580" s="15"/>
      <c r="C1580" s="9">
        <f>IFERROR(__xludf.DUMMYFUNCTION("""COMPUTED_VALUE"""),44495.2311642592)</f>
        <v>44495.23116</v>
      </c>
      <c r="D1580" s="15">
        <f>IFERROR(__xludf.DUMMYFUNCTION("""COMPUTED_VALUE"""),1.019)</f>
        <v>1.019</v>
      </c>
      <c r="E1580" s="16">
        <f>IFERROR(__xludf.DUMMYFUNCTION("""COMPUTED_VALUE"""),62.0)</f>
        <v>62</v>
      </c>
      <c r="F1580" s="19" t="str">
        <f>IFERROR(__xludf.DUMMYFUNCTION("""COMPUTED_VALUE"""),"BLACK")</f>
        <v>BLACK</v>
      </c>
      <c r="G1580" s="20" t="str">
        <f>IFERROR(__xludf.DUMMYFUNCTION("""COMPUTED_VALUE"""),"Tap 6 Clone (10/15/2021)")</f>
        <v>Tap 6 Clone (10/15/2021)</v>
      </c>
      <c r="H1580" s="19"/>
    </row>
    <row r="1581">
      <c r="A1581" s="9"/>
      <c r="B1581" s="15"/>
      <c r="C1581" s="9">
        <f>IFERROR(__xludf.DUMMYFUNCTION("""COMPUTED_VALUE"""),44495.2207427662)</f>
        <v>44495.22074</v>
      </c>
      <c r="D1581" s="15">
        <f>IFERROR(__xludf.DUMMYFUNCTION("""COMPUTED_VALUE"""),1.019)</f>
        <v>1.019</v>
      </c>
      <c r="E1581" s="16">
        <f>IFERROR(__xludf.DUMMYFUNCTION("""COMPUTED_VALUE"""),62.0)</f>
        <v>62</v>
      </c>
      <c r="F1581" s="19" t="str">
        <f>IFERROR(__xludf.DUMMYFUNCTION("""COMPUTED_VALUE"""),"BLACK")</f>
        <v>BLACK</v>
      </c>
      <c r="G1581" s="20" t="str">
        <f>IFERROR(__xludf.DUMMYFUNCTION("""COMPUTED_VALUE"""),"Tap 6 Clone (10/15/2021)")</f>
        <v>Tap 6 Clone (10/15/2021)</v>
      </c>
      <c r="H1581" s="19"/>
    </row>
    <row r="1582">
      <c r="A1582" s="9"/>
      <c r="B1582" s="15"/>
      <c r="C1582" s="9">
        <f>IFERROR(__xludf.DUMMYFUNCTION("""COMPUTED_VALUE"""),44495.2103212731)</f>
        <v>44495.21032</v>
      </c>
      <c r="D1582" s="15">
        <f>IFERROR(__xludf.DUMMYFUNCTION("""COMPUTED_VALUE"""),1.02)</f>
        <v>1.02</v>
      </c>
      <c r="E1582" s="16">
        <f>IFERROR(__xludf.DUMMYFUNCTION("""COMPUTED_VALUE"""),62.0)</f>
        <v>62</v>
      </c>
      <c r="F1582" s="19" t="str">
        <f>IFERROR(__xludf.DUMMYFUNCTION("""COMPUTED_VALUE"""),"BLACK")</f>
        <v>BLACK</v>
      </c>
      <c r="G1582" s="20" t="str">
        <f>IFERROR(__xludf.DUMMYFUNCTION("""COMPUTED_VALUE"""),"Tap 6 Clone (10/15/2021)")</f>
        <v>Tap 6 Clone (10/15/2021)</v>
      </c>
      <c r="H1582" s="19"/>
    </row>
    <row r="1583">
      <c r="A1583" s="9"/>
      <c r="B1583" s="15"/>
      <c r="C1583" s="9">
        <f>IFERROR(__xludf.DUMMYFUNCTION("""COMPUTED_VALUE"""),44495.1999006365)</f>
        <v>44495.1999</v>
      </c>
      <c r="D1583" s="15">
        <f>IFERROR(__xludf.DUMMYFUNCTION("""COMPUTED_VALUE"""),1.019)</f>
        <v>1.019</v>
      </c>
      <c r="E1583" s="16">
        <f>IFERROR(__xludf.DUMMYFUNCTION("""COMPUTED_VALUE"""),62.0)</f>
        <v>62</v>
      </c>
      <c r="F1583" s="19" t="str">
        <f>IFERROR(__xludf.DUMMYFUNCTION("""COMPUTED_VALUE"""),"BLACK")</f>
        <v>BLACK</v>
      </c>
      <c r="G1583" s="20" t="str">
        <f>IFERROR(__xludf.DUMMYFUNCTION("""COMPUTED_VALUE"""),"Tap 6 Clone (10/15/2021)")</f>
        <v>Tap 6 Clone (10/15/2021)</v>
      </c>
      <c r="H1583" s="19"/>
    </row>
    <row r="1584">
      <c r="A1584" s="9"/>
      <c r="B1584" s="15"/>
      <c r="C1584" s="9">
        <f>IFERROR(__xludf.DUMMYFUNCTION("""COMPUTED_VALUE"""),44495.1894790162)</f>
        <v>44495.18948</v>
      </c>
      <c r="D1584" s="15">
        <f>IFERROR(__xludf.DUMMYFUNCTION("""COMPUTED_VALUE"""),1.019)</f>
        <v>1.019</v>
      </c>
      <c r="E1584" s="16">
        <f>IFERROR(__xludf.DUMMYFUNCTION("""COMPUTED_VALUE"""),62.0)</f>
        <v>62</v>
      </c>
      <c r="F1584" s="19" t="str">
        <f>IFERROR(__xludf.DUMMYFUNCTION("""COMPUTED_VALUE"""),"BLACK")</f>
        <v>BLACK</v>
      </c>
      <c r="G1584" s="20" t="str">
        <f>IFERROR(__xludf.DUMMYFUNCTION("""COMPUTED_VALUE"""),"Tap 6 Clone (10/15/2021)")</f>
        <v>Tap 6 Clone (10/15/2021)</v>
      </c>
      <c r="H1584" s="19"/>
    </row>
    <row r="1585">
      <c r="A1585" s="9"/>
      <c r="B1585" s="15"/>
      <c r="C1585" s="9">
        <f>IFERROR(__xludf.DUMMYFUNCTION("""COMPUTED_VALUE"""),44495.1790473842)</f>
        <v>44495.17905</v>
      </c>
      <c r="D1585" s="15">
        <f>IFERROR(__xludf.DUMMYFUNCTION("""COMPUTED_VALUE"""),1.02)</f>
        <v>1.02</v>
      </c>
      <c r="E1585" s="16">
        <f>IFERROR(__xludf.DUMMYFUNCTION("""COMPUTED_VALUE"""),62.0)</f>
        <v>62</v>
      </c>
      <c r="F1585" s="19" t="str">
        <f>IFERROR(__xludf.DUMMYFUNCTION("""COMPUTED_VALUE"""),"BLACK")</f>
        <v>BLACK</v>
      </c>
      <c r="G1585" s="20" t="str">
        <f>IFERROR(__xludf.DUMMYFUNCTION("""COMPUTED_VALUE"""),"Tap 6 Clone (10/15/2021)")</f>
        <v>Tap 6 Clone (10/15/2021)</v>
      </c>
      <c r="H1585" s="19"/>
    </row>
    <row r="1586">
      <c r="A1586" s="9"/>
      <c r="B1586" s="15"/>
      <c r="C1586" s="9">
        <f>IFERROR(__xludf.DUMMYFUNCTION("""COMPUTED_VALUE"""),44495.1686261921)</f>
        <v>44495.16863</v>
      </c>
      <c r="D1586" s="15">
        <f>IFERROR(__xludf.DUMMYFUNCTION("""COMPUTED_VALUE"""),1.02)</f>
        <v>1.02</v>
      </c>
      <c r="E1586" s="16">
        <f>IFERROR(__xludf.DUMMYFUNCTION("""COMPUTED_VALUE"""),62.0)</f>
        <v>62</v>
      </c>
      <c r="F1586" s="19" t="str">
        <f>IFERROR(__xludf.DUMMYFUNCTION("""COMPUTED_VALUE"""),"BLACK")</f>
        <v>BLACK</v>
      </c>
      <c r="G1586" s="20" t="str">
        <f>IFERROR(__xludf.DUMMYFUNCTION("""COMPUTED_VALUE"""),"Tap 6 Clone (10/15/2021)")</f>
        <v>Tap 6 Clone (10/15/2021)</v>
      </c>
      <c r="H1586" s="19"/>
    </row>
    <row r="1587">
      <c r="A1587" s="9"/>
      <c r="B1587" s="15"/>
      <c r="C1587" s="9">
        <f>IFERROR(__xludf.DUMMYFUNCTION("""COMPUTED_VALUE"""),44495.1582059606)</f>
        <v>44495.15821</v>
      </c>
      <c r="D1587" s="15">
        <f>IFERROR(__xludf.DUMMYFUNCTION("""COMPUTED_VALUE"""),1.02)</f>
        <v>1.02</v>
      </c>
      <c r="E1587" s="16">
        <f>IFERROR(__xludf.DUMMYFUNCTION("""COMPUTED_VALUE"""),62.0)</f>
        <v>62</v>
      </c>
      <c r="F1587" s="19" t="str">
        <f>IFERROR(__xludf.DUMMYFUNCTION("""COMPUTED_VALUE"""),"BLACK")</f>
        <v>BLACK</v>
      </c>
      <c r="G1587" s="20" t="str">
        <f>IFERROR(__xludf.DUMMYFUNCTION("""COMPUTED_VALUE"""),"Tap 6 Clone (10/15/2021)")</f>
        <v>Tap 6 Clone (10/15/2021)</v>
      </c>
      <c r="H1587" s="19"/>
    </row>
    <row r="1588">
      <c r="A1588" s="9"/>
      <c r="B1588" s="15"/>
      <c r="C1588" s="9">
        <f>IFERROR(__xludf.DUMMYFUNCTION("""COMPUTED_VALUE"""),44495.1477867592)</f>
        <v>44495.14779</v>
      </c>
      <c r="D1588" s="15">
        <f>IFERROR(__xludf.DUMMYFUNCTION("""COMPUTED_VALUE"""),1.02)</f>
        <v>1.02</v>
      </c>
      <c r="E1588" s="16">
        <f>IFERROR(__xludf.DUMMYFUNCTION("""COMPUTED_VALUE"""),62.0)</f>
        <v>62</v>
      </c>
      <c r="F1588" s="19" t="str">
        <f>IFERROR(__xludf.DUMMYFUNCTION("""COMPUTED_VALUE"""),"BLACK")</f>
        <v>BLACK</v>
      </c>
      <c r="G1588" s="20" t="str">
        <f>IFERROR(__xludf.DUMMYFUNCTION("""COMPUTED_VALUE"""),"Tap 6 Clone (10/15/2021)")</f>
        <v>Tap 6 Clone (10/15/2021)</v>
      </c>
      <c r="H1588" s="19"/>
    </row>
    <row r="1589">
      <c r="A1589" s="9"/>
      <c r="B1589" s="15"/>
      <c r="C1589" s="9">
        <f>IFERROR(__xludf.DUMMYFUNCTION("""COMPUTED_VALUE"""),44495.1373644097)</f>
        <v>44495.13736</v>
      </c>
      <c r="D1589" s="15">
        <f>IFERROR(__xludf.DUMMYFUNCTION("""COMPUTED_VALUE"""),1.02)</f>
        <v>1.02</v>
      </c>
      <c r="E1589" s="16">
        <f>IFERROR(__xludf.DUMMYFUNCTION("""COMPUTED_VALUE"""),62.0)</f>
        <v>62</v>
      </c>
      <c r="F1589" s="19" t="str">
        <f>IFERROR(__xludf.DUMMYFUNCTION("""COMPUTED_VALUE"""),"BLACK")</f>
        <v>BLACK</v>
      </c>
      <c r="G1589" s="20" t="str">
        <f>IFERROR(__xludf.DUMMYFUNCTION("""COMPUTED_VALUE"""),"Tap 6 Clone (10/15/2021)")</f>
        <v>Tap 6 Clone (10/15/2021)</v>
      </c>
      <c r="H1589" s="19"/>
    </row>
    <row r="1590">
      <c r="A1590" s="9"/>
      <c r="B1590" s="15"/>
      <c r="C1590" s="9">
        <f>IFERROR(__xludf.DUMMYFUNCTION("""COMPUTED_VALUE"""),44495.1269431481)</f>
        <v>44495.12694</v>
      </c>
      <c r="D1590" s="15">
        <f>IFERROR(__xludf.DUMMYFUNCTION("""COMPUTED_VALUE"""),1.021)</f>
        <v>1.021</v>
      </c>
      <c r="E1590" s="16">
        <f>IFERROR(__xludf.DUMMYFUNCTION("""COMPUTED_VALUE"""),62.0)</f>
        <v>62</v>
      </c>
      <c r="F1590" s="19" t="str">
        <f>IFERROR(__xludf.DUMMYFUNCTION("""COMPUTED_VALUE"""),"BLACK")</f>
        <v>BLACK</v>
      </c>
      <c r="G1590" s="20" t="str">
        <f>IFERROR(__xludf.DUMMYFUNCTION("""COMPUTED_VALUE"""),"Tap 6 Clone (10/15/2021)")</f>
        <v>Tap 6 Clone (10/15/2021)</v>
      </c>
      <c r="H1590" s="19"/>
    </row>
    <row r="1591">
      <c r="A1591" s="9"/>
      <c r="B1591" s="15"/>
      <c r="C1591" s="9">
        <f>IFERROR(__xludf.DUMMYFUNCTION("""COMPUTED_VALUE"""),44495.1061026967)</f>
        <v>44495.1061</v>
      </c>
      <c r="D1591" s="15">
        <f>IFERROR(__xludf.DUMMYFUNCTION("""COMPUTED_VALUE"""),1.02)</f>
        <v>1.02</v>
      </c>
      <c r="E1591" s="16">
        <f>IFERROR(__xludf.DUMMYFUNCTION("""COMPUTED_VALUE"""),62.0)</f>
        <v>62</v>
      </c>
      <c r="F1591" s="19" t="str">
        <f>IFERROR(__xludf.DUMMYFUNCTION("""COMPUTED_VALUE"""),"BLACK")</f>
        <v>BLACK</v>
      </c>
      <c r="G1591" s="20" t="str">
        <f>IFERROR(__xludf.DUMMYFUNCTION("""COMPUTED_VALUE"""),"Tap 6 Clone (10/15/2021)")</f>
        <v>Tap 6 Clone (10/15/2021)</v>
      </c>
      <c r="H1591" s="19"/>
    </row>
    <row r="1592">
      <c r="A1592" s="9"/>
      <c r="B1592" s="15"/>
      <c r="C1592" s="9">
        <f>IFERROR(__xludf.DUMMYFUNCTION("""COMPUTED_VALUE"""),44495.0956793402)</f>
        <v>44495.09568</v>
      </c>
      <c r="D1592" s="15">
        <f>IFERROR(__xludf.DUMMYFUNCTION("""COMPUTED_VALUE"""),1.021)</f>
        <v>1.021</v>
      </c>
      <c r="E1592" s="16">
        <f>IFERROR(__xludf.DUMMYFUNCTION("""COMPUTED_VALUE"""),62.0)</f>
        <v>62</v>
      </c>
      <c r="F1592" s="19" t="str">
        <f>IFERROR(__xludf.DUMMYFUNCTION("""COMPUTED_VALUE"""),"BLACK")</f>
        <v>BLACK</v>
      </c>
      <c r="G1592" s="20" t="str">
        <f>IFERROR(__xludf.DUMMYFUNCTION("""COMPUTED_VALUE"""),"Tap 6 Clone (10/15/2021)")</f>
        <v>Tap 6 Clone (10/15/2021)</v>
      </c>
      <c r="H1592" s="19"/>
    </row>
    <row r="1593">
      <c r="A1593" s="9"/>
      <c r="B1593" s="15"/>
      <c r="C1593" s="9">
        <f>IFERROR(__xludf.DUMMYFUNCTION("""COMPUTED_VALUE"""),44495.0852451273)</f>
        <v>44495.08525</v>
      </c>
      <c r="D1593" s="15">
        <f>IFERROR(__xludf.DUMMYFUNCTION("""COMPUTED_VALUE"""),1.02)</f>
        <v>1.02</v>
      </c>
      <c r="E1593" s="16">
        <f>IFERROR(__xludf.DUMMYFUNCTION("""COMPUTED_VALUE"""),62.0)</f>
        <v>62</v>
      </c>
      <c r="F1593" s="19" t="str">
        <f>IFERROR(__xludf.DUMMYFUNCTION("""COMPUTED_VALUE"""),"BLACK")</f>
        <v>BLACK</v>
      </c>
      <c r="G1593" s="20" t="str">
        <f>IFERROR(__xludf.DUMMYFUNCTION("""COMPUTED_VALUE"""),"Tap 6 Clone (10/15/2021)")</f>
        <v>Tap 6 Clone (10/15/2021)</v>
      </c>
      <c r="H1593" s="19"/>
    </row>
    <row r="1594">
      <c r="A1594" s="9"/>
      <c r="B1594" s="15"/>
      <c r="C1594" s="9">
        <f>IFERROR(__xludf.DUMMYFUNCTION("""COMPUTED_VALUE"""),44495.0748243981)</f>
        <v>44495.07482</v>
      </c>
      <c r="D1594" s="15">
        <f>IFERROR(__xludf.DUMMYFUNCTION("""COMPUTED_VALUE"""),1.02)</f>
        <v>1.02</v>
      </c>
      <c r="E1594" s="16">
        <f>IFERROR(__xludf.DUMMYFUNCTION("""COMPUTED_VALUE"""),62.0)</f>
        <v>62</v>
      </c>
      <c r="F1594" s="19" t="str">
        <f>IFERROR(__xludf.DUMMYFUNCTION("""COMPUTED_VALUE"""),"BLACK")</f>
        <v>BLACK</v>
      </c>
      <c r="G1594" s="20" t="str">
        <f>IFERROR(__xludf.DUMMYFUNCTION("""COMPUTED_VALUE"""),"Tap 6 Clone (10/15/2021)")</f>
        <v>Tap 6 Clone (10/15/2021)</v>
      </c>
      <c r="H1594" s="19"/>
    </row>
    <row r="1595">
      <c r="A1595" s="9"/>
      <c r="B1595" s="15"/>
      <c r="C1595" s="9">
        <f>IFERROR(__xludf.DUMMYFUNCTION("""COMPUTED_VALUE"""),44495.0644037963)</f>
        <v>44495.0644</v>
      </c>
      <c r="D1595" s="15">
        <f>IFERROR(__xludf.DUMMYFUNCTION("""COMPUTED_VALUE"""),1.021)</f>
        <v>1.021</v>
      </c>
      <c r="E1595" s="16">
        <f>IFERROR(__xludf.DUMMYFUNCTION("""COMPUTED_VALUE"""),62.0)</f>
        <v>62</v>
      </c>
      <c r="F1595" s="19" t="str">
        <f>IFERROR(__xludf.DUMMYFUNCTION("""COMPUTED_VALUE"""),"BLACK")</f>
        <v>BLACK</v>
      </c>
      <c r="G1595" s="20" t="str">
        <f>IFERROR(__xludf.DUMMYFUNCTION("""COMPUTED_VALUE"""),"Tap 6 Clone (10/15/2021)")</f>
        <v>Tap 6 Clone (10/15/2021)</v>
      </c>
      <c r="H1595" s="19"/>
    </row>
    <row r="1596">
      <c r="A1596" s="9"/>
      <c r="B1596" s="15"/>
      <c r="C1596" s="9">
        <f>IFERROR(__xludf.DUMMYFUNCTION("""COMPUTED_VALUE"""),44495.0539816203)</f>
        <v>44495.05398</v>
      </c>
      <c r="D1596" s="15">
        <f>IFERROR(__xludf.DUMMYFUNCTION("""COMPUTED_VALUE"""),1.021)</f>
        <v>1.021</v>
      </c>
      <c r="E1596" s="16">
        <f>IFERROR(__xludf.DUMMYFUNCTION("""COMPUTED_VALUE"""),62.0)</f>
        <v>62</v>
      </c>
      <c r="F1596" s="19" t="str">
        <f>IFERROR(__xludf.DUMMYFUNCTION("""COMPUTED_VALUE"""),"BLACK")</f>
        <v>BLACK</v>
      </c>
      <c r="G1596" s="20" t="str">
        <f>IFERROR(__xludf.DUMMYFUNCTION("""COMPUTED_VALUE"""),"Tap 6 Clone (10/15/2021)")</f>
        <v>Tap 6 Clone (10/15/2021)</v>
      </c>
      <c r="H1596" s="19"/>
    </row>
    <row r="1597">
      <c r="A1597" s="9"/>
      <c r="B1597" s="15"/>
      <c r="C1597" s="9">
        <f>IFERROR(__xludf.DUMMYFUNCTION("""COMPUTED_VALUE"""),44495.0435472338)</f>
        <v>44495.04355</v>
      </c>
      <c r="D1597" s="15">
        <f>IFERROR(__xludf.DUMMYFUNCTION("""COMPUTED_VALUE"""),1.021)</f>
        <v>1.021</v>
      </c>
      <c r="E1597" s="16">
        <f>IFERROR(__xludf.DUMMYFUNCTION("""COMPUTED_VALUE"""),62.0)</f>
        <v>62</v>
      </c>
      <c r="F1597" s="19" t="str">
        <f>IFERROR(__xludf.DUMMYFUNCTION("""COMPUTED_VALUE"""),"BLACK")</f>
        <v>BLACK</v>
      </c>
      <c r="G1597" s="20" t="str">
        <f>IFERROR(__xludf.DUMMYFUNCTION("""COMPUTED_VALUE"""),"Tap 6 Clone (10/15/2021)")</f>
        <v>Tap 6 Clone (10/15/2021)</v>
      </c>
      <c r="H1597" s="19"/>
    </row>
    <row r="1598">
      <c r="A1598" s="9"/>
      <c r="B1598" s="15"/>
      <c r="C1598" s="9">
        <f>IFERROR(__xludf.DUMMYFUNCTION("""COMPUTED_VALUE"""),44495.033125787)</f>
        <v>44495.03313</v>
      </c>
      <c r="D1598" s="15">
        <f>IFERROR(__xludf.DUMMYFUNCTION("""COMPUTED_VALUE"""),1.022)</f>
        <v>1.022</v>
      </c>
      <c r="E1598" s="16">
        <f>IFERROR(__xludf.DUMMYFUNCTION("""COMPUTED_VALUE"""),62.0)</f>
        <v>62</v>
      </c>
      <c r="F1598" s="19" t="str">
        <f>IFERROR(__xludf.DUMMYFUNCTION("""COMPUTED_VALUE"""),"BLACK")</f>
        <v>BLACK</v>
      </c>
      <c r="G1598" s="20" t="str">
        <f>IFERROR(__xludf.DUMMYFUNCTION("""COMPUTED_VALUE"""),"Tap 6 Clone (10/15/2021)")</f>
        <v>Tap 6 Clone (10/15/2021)</v>
      </c>
      <c r="H1598" s="19"/>
    </row>
    <row r="1599">
      <c r="A1599" s="9"/>
      <c r="B1599" s="15"/>
      <c r="C1599" s="9">
        <f>IFERROR(__xludf.DUMMYFUNCTION("""COMPUTED_VALUE"""),44495.0227055787)</f>
        <v>44495.02271</v>
      </c>
      <c r="D1599" s="15">
        <f>IFERROR(__xludf.DUMMYFUNCTION("""COMPUTED_VALUE"""),1.021)</f>
        <v>1.021</v>
      </c>
      <c r="E1599" s="16">
        <f>IFERROR(__xludf.DUMMYFUNCTION("""COMPUTED_VALUE"""),62.0)</f>
        <v>62</v>
      </c>
      <c r="F1599" s="19" t="str">
        <f>IFERROR(__xludf.DUMMYFUNCTION("""COMPUTED_VALUE"""),"BLACK")</f>
        <v>BLACK</v>
      </c>
      <c r="G1599" s="20" t="str">
        <f>IFERROR(__xludf.DUMMYFUNCTION("""COMPUTED_VALUE"""),"Tap 6 Clone (10/15/2021)")</f>
        <v>Tap 6 Clone (10/15/2021)</v>
      </c>
      <c r="H1599" s="19"/>
    </row>
    <row r="1600">
      <c r="A1600" s="9"/>
      <c r="B1600" s="15"/>
      <c r="C1600" s="9">
        <f>IFERROR(__xludf.DUMMYFUNCTION("""COMPUTED_VALUE"""),44495.0122839351)</f>
        <v>44495.01228</v>
      </c>
      <c r="D1600" s="15">
        <f>IFERROR(__xludf.DUMMYFUNCTION("""COMPUTED_VALUE"""),1.021)</f>
        <v>1.021</v>
      </c>
      <c r="E1600" s="16">
        <f>IFERROR(__xludf.DUMMYFUNCTION("""COMPUTED_VALUE"""),62.0)</f>
        <v>62</v>
      </c>
      <c r="F1600" s="19" t="str">
        <f>IFERROR(__xludf.DUMMYFUNCTION("""COMPUTED_VALUE"""),"BLACK")</f>
        <v>BLACK</v>
      </c>
      <c r="G1600" s="20" t="str">
        <f>IFERROR(__xludf.DUMMYFUNCTION("""COMPUTED_VALUE"""),"Tap 6 Clone (10/15/2021)")</f>
        <v>Tap 6 Clone (10/15/2021)</v>
      </c>
      <c r="H1600" s="19"/>
    </row>
    <row r="1601">
      <c r="A1601" s="9"/>
      <c r="B1601" s="15"/>
      <c r="C1601" s="9">
        <f>IFERROR(__xludf.DUMMYFUNCTION("""COMPUTED_VALUE"""),44495.0018634606)</f>
        <v>44495.00186</v>
      </c>
      <c r="D1601" s="15">
        <f>IFERROR(__xludf.DUMMYFUNCTION("""COMPUTED_VALUE"""),1.021)</f>
        <v>1.021</v>
      </c>
      <c r="E1601" s="16">
        <f>IFERROR(__xludf.DUMMYFUNCTION("""COMPUTED_VALUE"""),62.0)</f>
        <v>62</v>
      </c>
      <c r="F1601" s="19" t="str">
        <f>IFERROR(__xludf.DUMMYFUNCTION("""COMPUTED_VALUE"""),"BLACK")</f>
        <v>BLACK</v>
      </c>
      <c r="G1601" s="20" t="str">
        <f>IFERROR(__xludf.DUMMYFUNCTION("""COMPUTED_VALUE"""),"Tap 6 Clone (10/15/2021)")</f>
        <v>Tap 6 Clone (10/15/2021)</v>
      </c>
      <c r="H1601" s="19"/>
    </row>
    <row r="1602">
      <c r="A1602" s="9"/>
      <c r="B1602" s="15"/>
      <c r="C1602" s="9">
        <f>IFERROR(__xludf.DUMMYFUNCTION("""COMPUTED_VALUE"""),44494.9914432291)</f>
        <v>44494.99144</v>
      </c>
      <c r="D1602" s="15">
        <f>IFERROR(__xludf.DUMMYFUNCTION("""COMPUTED_VALUE"""),1.021)</f>
        <v>1.021</v>
      </c>
      <c r="E1602" s="16">
        <f>IFERROR(__xludf.DUMMYFUNCTION("""COMPUTED_VALUE"""),62.0)</f>
        <v>62</v>
      </c>
      <c r="F1602" s="19" t="str">
        <f>IFERROR(__xludf.DUMMYFUNCTION("""COMPUTED_VALUE"""),"BLACK")</f>
        <v>BLACK</v>
      </c>
      <c r="G1602" s="20" t="str">
        <f>IFERROR(__xludf.DUMMYFUNCTION("""COMPUTED_VALUE"""),"Tap 6 Clone (10/15/2021)")</f>
        <v>Tap 6 Clone (10/15/2021)</v>
      </c>
      <c r="H1602" s="19"/>
    </row>
    <row r="1603">
      <c r="A1603" s="9"/>
      <c r="B1603" s="15"/>
      <c r="C1603" s="9">
        <f>IFERROR(__xludf.DUMMYFUNCTION("""COMPUTED_VALUE"""),44494.9810220833)</f>
        <v>44494.98102</v>
      </c>
      <c r="D1603" s="15">
        <f>IFERROR(__xludf.DUMMYFUNCTION("""COMPUTED_VALUE"""),1.021)</f>
        <v>1.021</v>
      </c>
      <c r="E1603" s="16">
        <f>IFERROR(__xludf.DUMMYFUNCTION("""COMPUTED_VALUE"""),62.0)</f>
        <v>62</v>
      </c>
      <c r="F1603" s="19" t="str">
        <f>IFERROR(__xludf.DUMMYFUNCTION("""COMPUTED_VALUE"""),"BLACK")</f>
        <v>BLACK</v>
      </c>
      <c r="G1603" s="20" t="str">
        <f>IFERROR(__xludf.DUMMYFUNCTION("""COMPUTED_VALUE"""),"Tap 6 Clone (10/15/2021)")</f>
        <v>Tap 6 Clone (10/15/2021)</v>
      </c>
      <c r="H1603" s="19"/>
    </row>
    <row r="1604">
      <c r="A1604" s="9"/>
      <c r="B1604" s="15"/>
      <c r="C1604" s="9">
        <f>IFERROR(__xludf.DUMMYFUNCTION("""COMPUTED_VALUE"""),44494.970600324)</f>
        <v>44494.9706</v>
      </c>
      <c r="D1604" s="15">
        <f>IFERROR(__xludf.DUMMYFUNCTION("""COMPUTED_VALUE"""),1.022)</f>
        <v>1.022</v>
      </c>
      <c r="E1604" s="16">
        <f>IFERROR(__xludf.DUMMYFUNCTION("""COMPUTED_VALUE"""),61.0)</f>
        <v>61</v>
      </c>
      <c r="F1604" s="19" t="str">
        <f>IFERROR(__xludf.DUMMYFUNCTION("""COMPUTED_VALUE"""),"BLACK")</f>
        <v>BLACK</v>
      </c>
      <c r="G1604" s="20" t="str">
        <f>IFERROR(__xludf.DUMMYFUNCTION("""COMPUTED_VALUE"""),"Tap 6 Clone (10/15/2021)")</f>
        <v>Tap 6 Clone (10/15/2021)</v>
      </c>
      <c r="H1604" s="19"/>
    </row>
    <row r="1605">
      <c r="A1605" s="9"/>
      <c r="B1605" s="15"/>
      <c r="C1605" s="9">
        <f>IFERROR(__xludf.DUMMYFUNCTION("""COMPUTED_VALUE"""),44494.9601797338)</f>
        <v>44494.96018</v>
      </c>
      <c r="D1605" s="15">
        <f>IFERROR(__xludf.DUMMYFUNCTION("""COMPUTED_VALUE"""),1.021)</f>
        <v>1.021</v>
      </c>
      <c r="E1605" s="16">
        <f>IFERROR(__xludf.DUMMYFUNCTION("""COMPUTED_VALUE"""),61.0)</f>
        <v>61</v>
      </c>
      <c r="F1605" s="19" t="str">
        <f>IFERROR(__xludf.DUMMYFUNCTION("""COMPUTED_VALUE"""),"BLACK")</f>
        <v>BLACK</v>
      </c>
      <c r="G1605" s="20" t="str">
        <f>IFERROR(__xludf.DUMMYFUNCTION("""COMPUTED_VALUE"""),"Tap 6 Clone (10/15/2021)")</f>
        <v>Tap 6 Clone (10/15/2021)</v>
      </c>
      <c r="H1605" s="19"/>
    </row>
    <row r="1606">
      <c r="A1606" s="9"/>
      <c r="B1606" s="15"/>
      <c r="C1606" s="9">
        <f>IFERROR(__xludf.DUMMYFUNCTION("""COMPUTED_VALUE"""),44494.949758912)</f>
        <v>44494.94976</v>
      </c>
      <c r="D1606" s="15">
        <f>IFERROR(__xludf.DUMMYFUNCTION("""COMPUTED_VALUE"""),1.022)</f>
        <v>1.022</v>
      </c>
      <c r="E1606" s="16">
        <f>IFERROR(__xludf.DUMMYFUNCTION("""COMPUTED_VALUE"""),61.0)</f>
        <v>61</v>
      </c>
      <c r="F1606" s="19" t="str">
        <f>IFERROR(__xludf.DUMMYFUNCTION("""COMPUTED_VALUE"""),"BLACK")</f>
        <v>BLACK</v>
      </c>
      <c r="G1606" s="20" t="str">
        <f>IFERROR(__xludf.DUMMYFUNCTION("""COMPUTED_VALUE"""),"Tap 6 Clone (10/15/2021)")</f>
        <v>Tap 6 Clone (10/15/2021)</v>
      </c>
      <c r="H1606" s="19"/>
    </row>
    <row r="1607">
      <c r="A1607" s="9"/>
      <c r="B1607" s="15"/>
      <c r="C1607" s="9">
        <f>IFERROR(__xludf.DUMMYFUNCTION("""COMPUTED_VALUE"""),44494.939339456)</f>
        <v>44494.93934</v>
      </c>
      <c r="D1607" s="15">
        <f>IFERROR(__xludf.DUMMYFUNCTION("""COMPUTED_VALUE"""),1.022)</f>
        <v>1.022</v>
      </c>
      <c r="E1607" s="16">
        <f>IFERROR(__xludf.DUMMYFUNCTION("""COMPUTED_VALUE"""),61.0)</f>
        <v>61</v>
      </c>
      <c r="F1607" s="19" t="str">
        <f>IFERROR(__xludf.DUMMYFUNCTION("""COMPUTED_VALUE"""),"BLACK")</f>
        <v>BLACK</v>
      </c>
      <c r="G1607" s="20" t="str">
        <f>IFERROR(__xludf.DUMMYFUNCTION("""COMPUTED_VALUE"""),"Tap 6 Clone (10/15/2021)")</f>
        <v>Tap 6 Clone (10/15/2021)</v>
      </c>
      <c r="H1607" s="19"/>
    </row>
    <row r="1608">
      <c r="A1608" s="9"/>
      <c r="B1608" s="15"/>
      <c r="C1608" s="9">
        <f>IFERROR(__xludf.DUMMYFUNCTION("""COMPUTED_VALUE"""),44494.9289197453)</f>
        <v>44494.92892</v>
      </c>
      <c r="D1608" s="15">
        <f>IFERROR(__xludf.DUMMYFUNCTION("""COMPUTED_VALUE"""),1.021)</f>
        <v>1.021</v>
      </c>
      <c r="E1608" s="16">
        <f>IFERROR(__xludf.DUMMYFUNCTION("""COMPUTED_VALUE"""),61.0)</f>
        <v>61</v>
      </c>
      <c r="F1608" s="19" t="str">
        <f>IFERROR(__xludf.DUMMYFUNCTION("""COMPUTED_VALUE"""),"BLACK")</f>
        <v>BLACK</v>
      </c>
      <c r="G1608" s="20" t="str">
        <f>IFERROR(__xludf.DUMMYFUNCTION("""COMPUTED_VALUE"""),"Tap 6 Clone (10/15/2021)")</f>
        <v>Tap 6 Clone (10/15/2021)</v>
      </c>
      <c r="H1608" s="19"/>
    </row>
    <row r="1609">
      <c r="A1609" s="9"/>
      <c r="B1609" s="15"/>
      <c r="C1609" s="9">
        <f>IFERROR(__xludf.DUMMYFUNCTION("""COMPUTED_VALUE"""),44494.9184971875)</f>
        <v>44494.9185</v>
      </c>
      <c r="D1609" s="15">
        <f>IFERROR(__xludf.DUMMYFUNCTION("""COMPUTED_VALUE"""),1.021)</f>
        <v>1.021</v>
      </c>
      <c r="E1609" s="16">
        <f>IFERROR(__xludf.DUMMYFUNCTION("""COMPUTED_VALUE"""),61.0)</f>
        <v>61</v>
      </c>
      <c r="F1609" s="19" t="str">
        <f>IFERROR(__xludf.DUMMYFUNCTION("""COMPUTED_VALUE"""),"BLACK")</f>
        <v>BLACK</v>
      </c>
      <c r="G1609" s="20" t="str">
        <f>IFERROR(__xludf.DUMMYFUNCTION("""COMPUTED_VALUE"""),"Tap 6 Clone (10/15/2021)")</f>
        <v>Tap 6 Clone (10/15/2021)</v>
      </c>
      <c r="H1609" s="19"/>
    </row>
    <row r="1610">
      <c r="A1610" s="9"/>
      <c r="B1610" s="15"/>
      <c r="C1610" s="9">
        <f>IFERROR(__xludf.DUMMYFUNCTION("""COMPUTED_VALUE"""),44494.9080767708)</f>
        <v>44494.90808</v>
      </c>
      <c r="D1610" s="15">
        <f>IFERROR(__xludf.DUMMYFUNCTION("""COMPUTED_VALUE"""),1.021)</f>
        <v>1.021</v>
      </c>
      <c r="E1610" s="16">
        <f>IFERROR(__xludf.DUMMYFUNCTION("""COMPUTED_VALUE"""),61.0)</f>
        <v>61</v>
      </c>
      <c r="F1610" s="19" t="str">
        <f>IFERROR(__xludf.DUMMYFUNCTION("""COMPUTED_VALUE"""),"BLACK")</f>
        <v>BLACK</v>
      </c>
      <c r="G1610" s="20" t="str">
        <f>IFERROR(__xludf.DUMMYFUNCTION("""COMPUTED_VALUE"""),"Tap 6 Clone (10/15/2021)")</f>
        <v>Tap 6 Clone (10/15/2021)</v>
      </c>
      <c r="H1610" s="19"/>
    </row>
    <row r="1611">
      <c r="A1611" s="9"/>
      <c r="B1611" s="15"/>
      <c r="C1611" s="9">
        <f>IFERROR(__xludf.DUMMYFUNCTION("""COMPUTED_VALUE"""),44494.8976559722)</f>
        <v>44494.89766</v>
      </c>
      <c r="D1611" s="15">
        <f>IFERROR(__xludf.DUMMYFUNCTION("""COMPUTED_VALUE"""),1.021)</f>
        <v>1.021</v>
      </c>
      <c r="E1611" s="16">
        <f>IFERROR(__xludf.DUMMYFUNCTION("""COMPUTED_VALUE"""),61.0)</f>
        <v>61</v>
      </c>
      <c r="F1611" s="19" t="str">
        <f>IFERROR(__xludf.DUMMYFUNCTION("""COMPUTED_VALUE"""),"BLACK")</f>
        <v>BLACK</v>
      </c>
      <c r="G1611" s="20" t="str">
        <f>IFERROR(__xludf.DUMMYFUNCTION("""COMPUTED_VALUE"""),"Tap 6 Clone (10/15/2021)")</f>
        <v>Tap 6 Clone (10/15/2021)</v>
      </c>
      <c r="H1611" s="19"/>
    </row>
    <row r="1612">
      <c r="A1612" s="9"/>
      <c r="B1612" s="15"/>
      <c r="C1612" s="9">
        <f>IFERROR(__xludf.DUMMYFUNCTION("""COMPUTED_VALUE"""),44494.8872238657)</f>
        <v>44494.88722</v>
      </c>
      <c r="D1612" s="15">
        <f>IFERROR(__xludf.DUMMYFUNCTION("""COMPUTED_VALUE"""),1.021)</f>
        <v>1.021</v>
      </c>
      <c r="E1612" s="16">
        <f>IFERROR(__xludf.DUMMYFUNCTION("""COMPUTED_VALUE"""),61.0)</f>
        <v>61</v>
      </c>
      <c r="F1612" s="19" t="str">
        <f>IFERROR(__xludf.DUMMYFUNCTION("""COMPUTED_VALUE"""),"BLACK")</f>
        <v>BLACK</v>
      </c>
      <c r="G1612" s="20" t="str">
        <f>IFERROR(__xludf.DUMMYFUNCTION("""COMPUTED_VALUE"""),"Tap 6 Clone (10/15/2021)")</f>
        <v>Tap 6 Clone (10/15/2021)</v>
      </c>
      <c r="H1612" s="19"/>
    </row>
    <row r="1613">
      <c r="A1613" s="9"/>
      <c r="B1613" s="15"/>
      <c r="C1613" s="9">
        <f>IFERROR(__xludf.DUMMYFUNCTION("""COMPUTED_VALUE"""),44494.8768025115)</f>
        <v>44494.8768</v>
      </c>
      <c r="D1613" s="15">
        <f>IFERROR(__xludf.DUMMYFUNCTION("""COMPUTED_VALUE"""),1.021)</f>
        <v>1.021</v>
      </c>
      <c r="E1613" s="16">
        <f>IFERROR(__xludf.DUMMYFUNCTION("""COMPUTED_VALUE"""),61.0)</f>
        <v>61</v>
      </c>
      <c r="F1613" s="19" t="str">
        <f>IFERROR(__xludf.DUMMYFUNCTION("""COMPUTED_VALUE"""),"BLACK")</f>
        <v>BLACK</v>
      </c>
      <c r="G1613" s="20" t="str">
        <f>IFERROR(__xludf.DUMMYFUNCTION("""COMPUTED_VALUE"""),"Tap 6 Clone (10/15/2021)")</f>
        <v>Tap 6 Clone (10/15/2021)</v>
      </c>
      <c r="H1613" s="19"/>
    </row>
    <row r="1614">
      <c r="A1614" s="9"/>
      <c r="B1614" s="15"/>
      <c r="C1614" s="9">
        <f>IFERROR(__xludf.DUMMYFUNCTION("""COMPUTED_VALUE"""),44494.8663824652)</f>
        <v>44494.86638</v>
      </c>
      <c r="D1614" s="15">
        <f>IFERROR(__xludf.DUMMYFUNCTION("""COMPUTED_VALUE"""),1.02)</f>
        <v>1.02</v>
      </c>
      <c r="E1614" s="16">
        <f>IFERROR(__xludf.DUMMYFUNCTION("""COMPUTED_VALUE"""),61.0)</f>
        <v>61</v>
      </c>
      <c r="F1614" s="19" t="str">
        <f>IFERROR(__xludf.DUMMYFUNCTION("""COMPUTED_VALUE"""),"BLACK")</f>
        <v>BLACK</v>
      </c>
      <c r="G1614" s="20" t="str">
        <f>IFERROR(__xludf.DUMMYFUNCTION("""COMPUTED_VALUE"""),"Tap 6 Clone (10/15/2021)")</f>
        <v>Tap 6 Clone (10/15/2021)</v>
      </c>
      <c r="H1614" s="19"/>
    </row>
    <row r="1615">
      <c r="A1615" s="9"/>
      <c r="B1615" s="15"/>
      <c r="C1615" s="9">
        <f>IFERROR(__xludf.DUMMYFUNCTION("""COMPUTED_VALUE"""),44494.8559619213)</f>
        <v>44494.85596</v>
      </c>
      <c r="D1615" s="15">
        <f>IFERROR(__xludf.DUMMYFUNCTION("""COMPUTED_VALUE"""),1.019)</f>
        <v>1.019</v>
      </c>
      <c r="E1615" s="16">
        <f>IFERROR(__xludf.DUMMYFUNCTION("""COMPUTED_VALUE"""),61.0)</f>
        <v>61</v>
      </c>
      <c r="F1615" s="19" t="str">
        <f>IFERROR(__xludf.DUMMYFUNCTION("""COMPUTED_VALUE"""),"BLACK")</f>
        <v>BLACK</v>
      </c>
      <c r="G1615" s="20" t="str">
        <f>IFERROR(__xludf.DUMMYFUNCTION("""COMPUTED_VALUE"""),"Tap 6 Clone (10/15/2021)")</f>
        <v>Tap 6 Clone (10/15/2021)</v>
      </c>
      <c r="H1615" s="19"/>
    </row>
    <row r="1616">
      <c r="A1616" s="9"/>
      <c r="B1616" s="15"/>
      <c r="C1616" s="9">
        <f>IFERROR(__xludf.DUMMYFUNCTION("""COMPUTED_VALUE"""),44494.845540081)</f>
        <v>44494.84554</v>
      </c>
      <c r="D1616" s="15">
        <f>IFERROR(__xludf.DUMMYFUNCTION("""COMPUTED_VALUE"""),1.019)</f>
        <v>1.019</v>
      </c>
      <c r="E1616" s="16">
        <f>IFERROR(__xludf.DUMMYFUNCTION("""COMPUTED_VALUE"""),61.0)</f>
        <v>61</v>
      </c>
      <c r="F1616" s="19" t="str">
        <f>IFERROR(__xludf.DUMMYFUNCTION("""COMPUTED_VALUE"""),"BLACK")</f>
        <v>BLACK</v>
      </c>
      <c r="G1616" s="20" t="str">
        <f>IFERROR(__xludf.DUMMYFUNCTION("""COMPUTED_VALUE"""),"Tap 6 Clone (10/15/2021)")</f>
        <v>Tap 6 Clone (10/15/2021)</v>
      </c>
      <c r="H1616" s="19"/>
    </row>
    <row r="1617">
      <c r="A1617" s="9"/>
      <c r="B1617" s="15"/>
      <c r="C1617" s="9">
        <f>IFERROR(__xludf.DUMMYFUNCTION("""COMPUTED_VALUE"""),44494.8351167129)</f>
        <v>44494.83512</v>
      </c>
      <c r="D1617" s="15">
        <f>IFERROR(__xludf.DUMMYFUNCTION("""COMPUTED_VALUE"""),1.019)</f>
        <v>1.019</v>
      </c>
      <c r="E1617" s="16">
        <f>IFERROR(__xludf.DUMMYFUNCTION("""COMPUTED_VALUE"""),61.0)</f>
        <v>61</v>
      </c>
      <c r="F1617" s="19" t="str">
        <f>IFERROR(__xludf.DUMMYFUNCTION("""COMPUTED_VALUE"""),"BLACK")</f>
        <v>BLACK</v>
      </c>
      <c r="G1617" s="20" t="str">
        <f>IFERROR(__xludf.DUMMYFUNCTION("""COMPUTED_VALUE"""),"Tap 6 Clone (10/15/2021)")</f>
        <v>Tap 6 Clone (10/15/2021)</v>
      </c>
      <c r="H1617" s="19"/>
    </row>
    <row r="1618">
      <c r="A1618" s="9"/>
      <c r="B1618" s="15"/>
      <c r="C1618" s="9">
        <f>IFERROR(__xludf.DUMMYFUNCTION("""COMPUTED_VALUE"""),44494.8246953819)</f>
        <v>44494.8247</v>
      </c>
      <c r="D1618" s="15">
        <f>IFERROR(__xludf.DUMMYFUNCTION("""COMPUTED_VALUE"""),1.019)</f>
        <v>1.019</v>
      </c>
      <c r="E1618" s="16">
        <f>IFERROR(__xludf.DUMMYFUNCTION("""COMPUTED_VALUE"""),61.0)</f>
        <v>61</v>
      </c>
      <c r="F1618" s="19" t="str">
        <f>IFERROR(__xludf.DUMMYFUNCTION("""COMPUTED_VALUE"""),"BLACK")</f>
        <v>BLACK</v>
      </c>
      <c r="G1618" s="20" t="str">
        <f>IFERROR(__xludf.DUMMYFUNCTION("""COMPUTED_VALUE"""),"Tap 6 Clone (10/15/2021)")</f>
        <v>Tap 6 Clone (10/15/2021)</v>
      </c>
      <c r="H1618" s="19"/>
    </row>
    <row r="1619">
      <c r="A1619" s="9"/>
      <c r="B1619" s="15"/>
      <c r="C1619" s="9">
        <f>IFERROR(__xludf.DUMMYFUNCTION("""COMPUTED_VALUE"""),44494.8142752199)</f>
        <v>44494.81428</v>
      </c>
      <c r="D1619" s="15">
        <f>IFERROR(__xludf.DUMMYFUNCTION("""COMPUTED_VALUE"""),1.019)</f>
        <v>1.019</v>
      </c>
      <c r="E1619" s="16">
        <f>IFERROR(__xludf.DUMMYFUNCTION("""COMPUTED_VALUE"""),61.0)</f>
        <v>61</v>
      </c>
      <c r="F1619" s="19" t="str">
        <f>IFERROR(__xludf.DUMMYFUNCTION("""COMPUTED_VALUE"""),"BLACK")</f>
        <v>BLACK</v>
      </c>
      <c r="G1619" s="20" t="str">
        <f>IFERROR(__xludf.DUMMYFUNCTION("""COMPUTED_VALUE"""),"Tap 6 Clone (10/15/2021)")</f>
        <v>Tap 6 Clone (10/15/2021)</v>
      </c>
      <c r="H1619" s="19"/>
    </row>
    <row r="1620">
      <c r="A1620" s="9"/>
      <c r="B1620" s="15"/>
      <c r="C1620" s="9">
        <f>IFERROR(__xludf.DUMMYFUNCTION("""COMPUTED_VALUE"""),44494.8038424768)</f>
        <v>44494.80384</v>
      </c>
      <c r="D1620" s="15">
        <f>IFERROR(__xludf.DUMMYFUNCTION("""COMPUTED_VALUE"""),1.019)</f>
        <v>1.019</v>
      </c>
      <c r="E1620" s="16">
        <f>IFERROR(__xludf.DUMMYFUNCTION("""COMPUTED_VALUE"""),61.0)</f>
        <v>61</v>
      </c>
      <c r="F1620" s="19" t="str">
        <f>IFERROR(__xludf.DUMMYFUNCTION("""COMPUTED_VALUE"""),"BLACK")</f>
        <v>BLACK</v>
      </c>
      <c r="G1620" s="20" t="str">
        <f>IFERROR(__xludf.DUMMYFUNCTION("""COMPUTED_VALUE"""),"Tap 6 Clone (10/15/2021)")</f>
        <v>Tap 6 Clone (10/15/2021)</v>
      </c>
      <c r="H1620" s="19"/>
    </row>
    <row r="1621">
      <c r="A1621" s="9"/>
      <c r="B1621" s="15"/>
      <c r="C1621" s="9">
        <f>IFERROR(__xludf.DUMMYFUNCTION("""COMPUTED_VALUE"""),44494.7934225347)</f>
        <v>44494.79342</v>
      </c>
      <c r="D1621" s="15">
        <f>IFERROR(__xludf.DUMMYFUNCTION("""COMPUTED_VALUE"""),1.018)</f>
        <v>1.018</v>
      </c>
      <c r="E1621" s="16">
        <f>IFERROR(__xludf.DUMMYFUNCTION("""COMPUTED_VALUE"""),62.0)</f>
        <v>62</v>
      </c>
      <c r="F1621" s="19" t="str">
        <f>IFERROR(__xludf.DUMMYFUNCTION("""COMPUTED_VALUE"""),"BLACK")</f>
        <v>BLACK</v>
      </c>
      <c r="G1621" s="20" t="str">
        <f>IFERROR(__xludf.DUMMYFUNCTION("""COMPUTED_VALUE"""),"Tap 6 Clone (10/15/2021)")</f>
        <v>Tap 6 Clone (10/15/2021)</v>
      </c>
      <c r="H1621" s="19"/>
    </row>
    <row r="1622">
      <c r="A1622" s="9"/>
      <c r="B1622" s="15"/>
      <c r="C1622" s="9">
        <f>IFERROR(__xludf.DUMMYFUNCTION("""COMPUTED_VALUE"""),44494.7830026851)</f>
        <v>44494.783</v>
      </c>
      <c r="D1622" s="15">
        <f>IFERROR(__xludf.DUMMYFUNCTION("""COMPUTED_VALUE"""),1.018)</f>
        <v>1.018</v>
      </c>
      <c r="E1622" s="16">
        <f>IFERROR(__xludf.DUMMYFUNCTION("""COMPUTED_VALUE"""),62.0)</f>
        <v>62</v>
      </c>
      <c r="F1622" s="19" t="str">
        <f>IFERROR(__xludf.DUMMYFUNCTION("""COMPUTED_VALUE"""),"BLACK")</f>
        <v>BLACK</v>
      </c>
      <c r="G1622" s="20" t="str">
        <f>IFERROR(__xludf.DUMMYFUNCTION("""COMPUTED_VALUE"""),"Tap 6 Clone (10/15/2021)")</f>
        <v>Tap 6 Clone (10/15/2021)</v>
      </c>
      <c r="H1622" s="19"/>
    </row>
    <row r="1623">
      <c r="A1623" s="9"/>
      <c r="B1623" s="15"/>
      <c r="C1623" s="9">
        <f>IFERROR(__xludf.DUMMYFUNCTION("""COMPUTED_VALUE"""),44494.7725815625)</f>
        <v>44494.77258</v>
      </c>
      <c r="D1623" s="15">
        <f>IFERROR(__xludf.DUMMYFUNCTION("""COMPUTED_VALUE"""),1.018)</f>
        <v>1.018</v>
      </c>
      <c r="E1623" s="16">
        <f>IFERROR(__xludf.DUMMYFUNCTION("""COMPUTED_VALUE"""),62.0)</f>
        <v>62</v>
      </c>
      <c r="F1623" s="19" t="str">
        <f>IFERROR(__xludf.DUMMYFUNCTION("""COMPUTED_VALUE"""),"BLACK")</f>
        <v>BLACK</v>
      </c>
      <c r="G1623" s="20" t="str">
        <f>IFERROR(__xludf.DUMMYFUNCTION("""COMPUTED_VALUE"""),"Tap 6 Clone (10/15/2021)")</f>
        <v>Tap 6 Clone (10/15/2021)</v>
      </c>
      <c r="H1623" s="19"/>
    </row>
    <row r="1624">
      <c r="A1624" s="9"/>
      <c r="B1624" s="15"/>
      <c r="C1624" s="9">
        <f>IFERROR(__xludf.DUMMYFUNCTION("""COMPUTED_VALUE"""),44494.7621620486)</f>
        <v>44494.76216</v>
      </c>
      <c r="D1624" s="15">
        <f>IFERROR(__xludf.DUMMYFUNCTION("""COMPUTED_VALUE"""),1.017)</f>
        <v>1.017</v>
      </c>
      <c r="E1624" s="16">
        <f>IFERROR(__xludf.DUMMYFUNCTION("""COMPUTED_VALUE"""),62.0)</f>
        <v>62</v>
      </c>
      <c r="F1624" s="19" t="str">
        <f>IFERROR(__xludf.DUMMYFUNCTION("""COMPUTED_VALUE"""),"BLACK")</f>
        <v>BLACK</v>
      </c>
      <c r="G1624" s="20" t="str">
        <f>IFERROR(__xludf.DUMMYFUNCTION("""COMPUTED_VALUE"""),"Tap 6 Clone (10/15/2021)")</f>
        <v>Tap 6 Clone (10/15/2021)</v>
      </c>
      <c r="H1624" s="19"/>
    </row>
    <row r="1625">
      <c r="A1625" s="9"/>
      <c r="B1625" s="15"/>
      <c r="C1625" s="9">
        <f>IFERROR(__xludf.DUMMYFUNCTION("""COMPUTED_VALUE"""),44494.7517284606)</f>
        <v>44494.75173</v>
      </c>
      <c r="D1625" s="15">
        <f>IFERROR(__xludf.DUMMYFUNCTION("""COMPUTED_VALUE"""),1.016)</f>
        <v>1.016</v>
      </c>
      <c r="E1625" s="16">
        <f>IFERROR(__xludf.DUMMYFUNCTION("""COMPUTED_VALUE"""),62.0)</f>
        <v>62</v>
      </c>
      <c r="F1625" s="19" t="str">
        <f>IFERROR(__xludf.DUMMYFUNCTION("""COMPUTED_VALUE"""),"BLACK")</f>
        <v>BLACK</v>
      </c>
      <c r="G1625" s="20" t="str">
        <f>IFERROR(__xludf.DUMMYFUNCTION("""COMPUTED_VALUE"""),"Tap 6 Clone (10/15/2021)")</f>
        <v>Tap 6 Clone (10/15/2021)</v>
      </c>
      <c r="H1625" s="19"/>
    </row>
    <row r="1626">
      <c r="A1626" s="9"/>
      <c r="B1626" s="15"/>
      <c r="C1626" s="9">
        <f>IFERROR(__xludf.DUMMYFUNCTION("""COMPUTED_VALUE"""),44494.7413081365)</f>
        <v>44494.74131</v>
      </c>
      <c r="D1626" s="15">
        <f>IFERROR(__xludf.DUMMYFUNCTION("""COMPUTED_VALUE"""),1.016)</f>
        <v>1.016</v>
      </c>
      <c r="E1626" s="16">
        <f>IFERROR(__xludf.DUMMYFUNCTION("""COMPUTED_VALUE"""),62.0)</f>
        <v>62</v>
      </c>
      <c r="F1626" s="19" t="str">
        <f>IFERROR(__xludf.DUMMYFUNCTION("""COMPUTED_VALUE"""),"BLACK")</f>
        <v>BLACK</v>
      </c>
      <c r="G1626" s="20" t="str">
        <f>IFERROR(__xludf.DUMMYFUNCTION("""COMPUTED_VALUE"""),"Tap 6 Clone (10/15/2021)")</f>
        <v>Tap 6 Clone (10/15/2021)</v>
      </c>
      <c r="H1626" s="19"/>
    </row>
    <row r="1627">
      <c r="A1627" s="9"/>
      <c r="B1627" s="15"/>
      <c r="C1627" s="9">
        <f>IFERROR(__xludf.DUMMYFUNCTION("""COMPUTED_VALUE"""),44494.7308862731)</f>
        <v>44494.73089</v>
      </c>
      <c r="D1627" s="15">
        <f>IFERROR(__xludf.DUMMYFUNCTION("""COMPUTED_VALUE"""),1.016)</f>
        <v>1.016</v>
      </c>
      <c r="E1627" s="16">
        <f>IFERROR(__xludf.DUMMYFUNCTION("""COMPUTED_VALUE"""),62.0)</f>
        <v>62</v>
      </c>
      <c r="F1627" s="19" t="str">
        <f>IFERROR(__xludf.DUMMYFUNCTION("""COMPUTED_VALUE"""),"BLACK")</f>
        <v>BLACK</v>
      </c>
      <c r="G1627" s="20" t="str">
        <f>IFERROR(__xludf.DUMMYFUNCTION("""COMPUTED_VALUE"""),"Tap 6 Clone (10/15/2021)")</f>
        <v>Tap 6 Clone (10/15/2021)</v>
      </c>
      <c r="H1627" s="19"/>
    </row>
    <row r="1628">
      <c r="A1628" s="9"/>
      <c r="B1628" s="15"/>
      <c r="C1628" s="9">
        <f>IFERROR(__xludf.DUMMYFUNCTION("""COMPUTED_VALUE"""),44494.7204665162)</f>
        <v>44494.72047</v>
      </c>
      <c r="D1628" s="15">
        <f>IFERROR(__xludf.DUMMYFUNCTION("""COMPUTED_VALUE"""),1.016)</f>
        <v>1.016</v>
      </c>
      <c r="E1628" s="16">
        <f>IFERROR(__xludf.DUMMYFUNCTION("""COMPUTED_VALUE"""),62.0)</f>
        <v>62</v>
      </c>
      <c r="F1628" s="19" t="str">
        <f>IFERROR(__xludf.DUMMYFUNCTION("""COMPUTED_VALUE"""),"BLACK")</f>
        <v>BLACK</v>
      </c>
      <c r="G1628" s="20" t="str">
        <f>IFERROR(__xludf.DUMMYFUNCTION("""COMPUTED_VALUE"""),"Tap 6 Clone (10/15/2021)")</f>
        <v>Tap 6 Clone (10/15/2021)</v>
      </c>
      <c r="H1628" s="19"/>
    </row>
    <row r="1629">
      <c r="A1629" s="9"/>
      <c r="B1629" s="15"/>
      <c r="C1629" s="9">
        <f>IFERROR(__xludf.DUMMYFUNCTION("""COMPUTED_VALUE"""),44494.7100448379)</f>
        <v>44494.71004</v>
      </c>
      <c r="D1629" s="15">
        <f>IFERROR(__xludf.DUMMYFUNCTION("""COMPUTED_VALUE"""),1.017)</f>
        <v>1.017</v>
      </c>
      <c r="E1629" s="16">
        <f>IFERROR(__xludf.DUMMYFUNCTION("""COMPUTED_VALUE"""),63.0)</f>
        <v>63</v>
      </c>
      <c r="F1629" s="19" t="str">
        <f>IFERROR(__xludf.DUMMYFUNCTION("""COMPUTED_VALUE"""),"BLACK")</f>
        <v>BLACK</v>
      </c>
      <c r="G1629" s="20" t="str">
        <f>IFERROR(__xludf.DUMMYFUNCTION("""COMPUTED_VALUE"""),"Tap 6 Clone (10/15/2021)")</f>
        <v>Tap 6 Clone (10/15/2021)</v>
      </c>
      <c r="H1629" s="19"/>
    </row>
    <row r="1630">
      <c r="A1630" s="9"/>
      <c r="B1630" s="15"/>
      <c r="C1630" s="9">
        <f>IFERROR(__xludf.DUMMYFUNCTION("""COMPUTED_VALUE"""),44494.699611412)</f>
        <v>44494.69961</v>
      </c>
      <c r="D1630" s="15">
        <f>IFERROR(__xludf.DUMMYFUNCTION("""COMPUTED_VALUE"""),1.019)</f>
        <v>1.019</v>
      </c>
      <c r="E1630" s="16">
        <f>IFERROR(__xludf.DUMMYFUNCTION("""COMPUTED_VALUE"""),63.0)</f>
        <v>63</v>
      </c>
      <c r="F1630" s="19" t="str">
        <f>IFERROR(__xludf.DUMMYFUNCTION("""COMPUTED_VALUE"""),"BLACK")</f>
        <v>BLACK</v>
      </c>
      <c r="G1630" s="20" t="str">
        <f>IFERROR(__xludf.DUMMYFUNCTION("""COMPUTED_VALUE"""),"Tap 6 Clone (10/15/2021)")</f>
        <v>Tap 6 Clone (10/15/2021)</v>
      </c>
      <c r="H1630" s="19"/>
    </row>
    <row r="1631">
      <c r="A1631" s="9"/>
      <c r="B1631" s="15"/>
      <c r="C1631" s="9">
        <f>IFERROR(__xludf.DUMMYFUNCTION("""COMPUTED_VALUE"""),44494.6891892939)</f>
        <v>44494.68919</v>
      </c>
      <c r="D1631" s="15">
        <f>IFERROR(__xludf.DUMMYFUNCTION("""COMPUTED_VALUE"""),1.02)</f>
        <v>1.02</v>
      </c>
      <c r="E1631" s="16">
        <f>IFERROR(__xludf.DUMMYFUNCTION("""COMPUTED_VALUE"""),64.0)</f>
        <v>64</v>
      </c>
      <c r="F1631" s="19" t="str">
        <f>IFERROR(__xludf.DUMMYFUNCTION("""COMPUTED_VALUE"""),"BLACK")</f>
        <v>BLACK</v>
      </c>
      <c r="G1631" s="20" t="str">
        <f>IFERROR(__xludf.DUMMYFUNCTION("""COMPUTED_VALUE"""),"Tap 6 Clone (10/15/2021)")</f>
        <v>Tap 6 Clone (10/15/2021)</v>
      </c>
      <c r="H1631" s="19"/>
    </row>
    <row r="1632">
      <c r="A1632" s="9"/>
      <c r="B1632" s="15"/>
      <c r="C1632" s="9">
        <f>IFERROR(__xludf.DUMMYFUNCTION("""COMPUTED_VALUE"""),44494.6787661574)</f>
        <v>44494.67877</v>
      </c>
      <c r="D1632" s="15">
        <f>IFERROR(__xludf.DUMMYFUNCTION("""COMPUTED_VALUE"""),1.022)</f>
        <v>1.022</v>
      </c>
      <c r="E1632" s="16">
        <f>IFERROR(__xludf.DUMMYFUNCTION("""COMPUTED_VALUE"""),65.0)</f>
        <v>65</v>
      </c>
      <c r="F1632" s="19" t="str">
        <f>IFERROR(__xludf.DUMMYFUNCTION("""COMPUTED_VALUE"""),"BLACK")</f>
        <v>BLACK</v>
      </c>
      <c r="G1632" s="20" t="str">
        <f>IFERROR(__xludf.DUMMYFUNCTION("""COMPUTED_VALUE"""),"Tap 6 Clone (10/15/2021)")</f>
        <v>Tap 6 Clone (10/15/2021)</v>
      </c>
      <c r="H1632" s="19"/>
    </row>
    <row r="1633">
      <c r="A1633" s="9"/>
      <c r="B1633" s="15"/>
      <c r="C1633" s="9">
        <f>IFERROR(__xludf.DUMMYFUNCTION("""COMPUTED_VALUE"""),44494.6683453703)</f>
        <v>44494.66835</v>
      </c>
      <c r="D1633" s="15">
        <f>IFERROR(__xludf.DUMMYFUNCTION("""COMPUTED_VALUE"""),1.021)</f>
        <v>1.021</v>
      </c>
      <c r="E1633" s="16">
        <f>IFERROR(__xludf.DUMMYFUNCTION("""COMPUTED_VALUE"""),66.0)</f>
        <v>66</v>
      </c>
      <c r="F1633" s="19" t="str">
        <f>IFERROR(__xludf.DUMMYFUNCTION("""COMPUTED_VALUE"""),"BLACK")</f>
        <v>BLACK</v>
      </c>
      <c r="G1633" s="20" t="str">
        <f>IFERROR(__xludf.DUMMYFUNCTION("""COMPUTED_VALUE"""),"Tap 6 Clone (10/15/2021)")</f>
        <v>Tap 6 Clone (10/15/2021)</v>
      </c>
      <c r="H1633" s="19"/>
    </row>
    <row r="1634">
      <c r="A1634" s="9"/>
      <c r="B1634" s="15"/>
      <c r="C1634" s="9">
        <f>IFERROR(__xludf.DUMMYFUNCTION("""COMPUTED_VALUE"""),44494.6579115972)</f>
        <v>44494.65791</v>
      </c>
      <c r="D1634" s="15">
        <f>IFERROR(__xludf.DUMMYFUNCTION("""COMPUTED_VALUE"""),1.022)</f>
        <v>1.022</v>
      </c>
      <c r="E1634" s="16">
        <f>IFERROR(__xludf.DUMMYFUNCTION("""COMPUTED_VALUE"""),66.0)</f>
        <v>66</v>
      </c>
      <c r="F1634" s="19" t="str">
        <f>IFERROR(__xludf.DUMMYFUNCTION("""COMPUTED_VALUE"""),"BLACK")</f>
        <v>BLACK</v>
      </c>
      <c r="G1634" s="20" t="str">
        <f>IFERROR(__xludf.DUMMYFUNCTION("""COMPUTED_VALUE"""),"Tap 6 Clone (10/15/2021)")</f>
        <v>Tap 6 Clone (10/15/2021)</v>
      </c>
      <c r="H1634" s="19"/>
    </row>
    <row r="1635">
      <c r="A1635" s="9"/>
      <c r="B1635" s="15"/>
      <c r="C1635" s="9">
        <f>IFERROR(__xludf.DUMMYFUNCTION("""COMPUTED_VALUE"""),44494.647490081)</f>
        <v>44494.64749</v>
      </c>
      <c r="D1635" s="15">
        <f>IFERROR(__xludf.DUMMYFUNCTION("""COMPUTED_VALUE"""),1.021)</f>
        <v>1.021</v>
      </c>
      <c r="E1635" s="16">
        <f>IFERROR(__xludf.DUMMYFUNCTION("""COMPUTED_VALUE"""),66.0)</f>
        <v>66</v>
      </c>
      <c r="F1635" s="19" t="str">
        <f>IFERROR(__xludf.DUMMYFUNCTION("""COMPUTED_VALUE"""),"BLACK")</f>
        <v>BLACK</v>
      </c>
      <c r="G1635" s="20" t="str">
        <f>IFERROR(__xludf.DUMMYFUNCTION("""COMPUTED_VALUE"""),"Tap 6 Clone (10/15/2021)")</f>
        <v>Tap 6 Clone (10/15/2021)</v>
      </c>
      <c r="H1635" s="19"/>
    </row>
    <row r="1636">
      <c r="A1636" s="9"/>
      <c r="B1636" s="15"/>
      <c r="C1636" s="9">
        <f>IFERROR(__xludf.DUMMYFUNCTION("""COMPUTED_VALUE"""),44494.6370692013)</f>
        <v>44494.63707</v>
      </c>
      <c r="D1636" s="15">
        <f>IFERROR(__xludf.DUMMYFUNCTION("""COMPUTED_VALUE"""),1.02)</f>
        <v>1.02</v>
      </c>
      <c r="E1636" s="16">
        <f>IFERROR(__xludf.DUMMYFUNCTION("""COMPUTED_VALUE"""),66.0)</f>
        <v>66</v>
      </c>
      <c r="F1636" s="19" t="str">
        <f>IFERROR(__xludf.DUMMYFUNCTION("""COMPUTED_VALUE"""),"BLACK")</f>
        <v>BLACK</v>
      </c>
      <c r="G1636" s="20" t="str">
        <f>IFERROR(__xludf.DUMMYFUNCTION("""COMPUTED_VALUE"""),"Tap 6 Clone (10/15/2021)")</f>
        <v>Tap 6 Clone (10/15/2021)</v>
      </c>
      <c r="H1636" s="19"/>
    </row>
    <row r="1637">
      <c r="A1637" s="9"/>
      <c r="B1637" s="15"/>
      <c r="C1637" s="9">
        <f>IFERROR(__xludf.DUMMYFUNCTION("""COMPUTED_VALUE"""),44494.6266473263)</f>
        <v>44494.62665</v>
      </c>
      <c r="D1637" s="15">
        <f>IFERROR(__xludf.DUMMYFUNCTION("""COMPUTED_VALUE"""),1.021)</f>
        <v>1.021</v>
      </c>
      <c r="E1637" s="16">
        <f>IFERROR(__xludf.DUMMYFUNCTION("""COMPUTED_VALUE"""),66.0)</f>
        <v>66</v>
      </c>
      <c r="F1637" s="19" t="str">
        <f>IFERROR(__xludf.DUMMYFUNCTION("""COMPUTED_VALUE"""),"BLACK")</f>
        <v>BLACK</v>
      </c>
      <c r="G1637" s="20" t="str">
        <f>IFERROR(__xludf.DUMMYFUNCTION("""COMPUTED_VALUE"""),"Tap 6 Clone (10/15/2021)")</f>
        <v>Tap 6 Clone (10/15/2021)</v>
      </c>
      <c r="H1637" s="19"/>
    </row>
    <row r="1638">
      <c r="A1638" s="9"/>
      <c r="B1638" s="15"/>
      <c r="C1638" s="9">
        <f>IFERROR(__xludf.DUMMYFUNCTION("""COMPUTED_VALUE"""),44494.6162267939)</f>
        <v>44494.61623</v>
      </c>
      <c r="D1638" s="15">
        <f>IFERROR(__xludf.DUMMYFUNCTION("""COMPUTED_VALUE"""),1.021)</f>
        <v>1.021</v>
      </c>
      <c r="E1638" s="16">
        <f>IFERROR(__xludf.DUMMYFUNCTION("""COMPUTED_VALUE"""),66.0)</f>
        <v>66</v>
      </c>
      <c r="F1638" s="19" t="str">
        <f>IFERROR(__xludf.DUMMYFUNCTION("""COMPUTED_VALUE"""),"BLACK")</f>
        <v>BLACK</v>
      </c>
      <c r="G1638" s="20" t="str">
        <f>IFERROR(__xludf.DUMMYFUNCTION("""COMPUTED_VALUE"""),"Tap 6 Clone (10/15/2021)")</f>
        <v>Tap 6 Clone (10/15/2021)</v>
      </c>
      <c r="H1638" s="19"/>
    </row>
    <row r="1639">
      <c r="A1639" s="9"/>
      <c r="B1639" s="15"/>
      <c r="C1639" s="9">
        <f>IFERROR(__xludf.DUMMYFUNCTION("""COMPUTED_VALUE"""),44494.6057954861)</f>
        <v>44494.6058</v>
      </c>
      <c r="D1639" s="15">
        <f>IFERROR(__xludf.DUMMYFUNCTION("""COMPUTED_VALUE"""),1.021)</f>
        <v>1.021</v>
      </c>
      <c r="E1639" s="16">
        <f>IFERROR(__xludf.DUMMYFUNCTION("""COMPUTED_VALUE"""),66.0)</f>
        <v>66</v>
      </c>
      <c r="F1639" s="19" t="str">
        <f>IFERROR(__xludf.DUMMYFUNCTION("""COMPUTED_VALUE"""),"BLACK")</f>
        <v>BLACK</v>
      </c>
      <c r="G1639" s="20" t="str">
        <f>IFERROR(__xludf.DUMMYFUNCTION("""COMPUTED_VALUE"""),"Tap 6 Clone (10/15/2021)")</f>
        <v>Tap 6 Clone (10/15/2021)</v>
      </c>
      <c r="H1639" s="19"/>
    </row>
    <row r="1640">
      <c r="A1640" s="9"/>
      <c r="B1640" s="15"/>
      <c r="C1640" s="9">
        <f>IFERROR(__xludf.DUMMYFUNCTION("""COMPUTED_VALUE"""),44494.5953634722)</f>
        <v>44494.59536</v>
      </c>
      <c r="D1640" s="15">
        <f>IFERROR(__xludf.DUMMYFUNCTION("""COMPUTED_VALUE"""),1.022)</f>
        <v>1.022</v>
      </c>
      <c r="E1640" s="16">
        <f>IFERROR(__xludf.DUMMYFUNCTION("""COMPUTED_VALUE"""),66.0)</f>
        <v>66</v>
      </c>
      <c r="F1640" s="19" t="str">
        <f>IFERROR(__xludf.DUMMYFUNCTION("""COMPUTED_VALUE"""),"BLACK")</f>
        <v>BLACK</v>
      </c>
      <c r="G1640" s="20" t="str">
        <f>IFERROR(__xludf.DUMMYFUNCTION("""COMPUTED_VALUE"""),"Tap 6 Clone (10/15/2021)")</f>
        <v>Tap 6 Clone (10/15/2021)</v>
      </c>
      <c r="H1640" s="19"/>
    </row>
    <row r="1641">
      <c r="A1641" s="9"/>
      <c r="B1641" s="15"/>
      <c r="C1641" s="9">
        <f>IFERROR(__xludf.DUMMYFUNCTION("""COMPUTED_VALUE"""),44494.5849424652)</f>
        <v>44494.58494</v>
      </c>
      <c r="D1641" s="15">
        <f>IFERROR(__xludf.DUMMYFUNCTION("""COMPUTED_VALUE"""),1.022)</f>
        <v>1.022</v>
      </c>
      <c r="E1641" s="16">
        <f>IFERROR(__xludf.DUMMYFUNCTION("""COMPUTED_VALUE"""),66.0)</f>
        <v>66</v>
      </c>
      <c r="F1641" s="19" t="str">
        <f>IFERROR(__xludf.DUMMYFUNCTION("""COMPUTED_VALUE"""),"BLACK")</f>
        <v>BLACK</v>
      </c>
      <c r="G1641" s="20" t="str">
        <f>IFERROR(__xludf.DUMMYFUNCTION("""COMPUTED_VALUE"""),"Tap 6 Clone (10/15/2021)")</f>
        <v>Tap 6 Clone (10/15/2021)</v>
      </c>
      <c r="H1641" s="19"/>
    </row>
    <row r="1642">
      <c r="A1642" s="9"/>
      <c r="B1642" s="15"/>
      <c r="C1642" s="9">
        <f>IFERROR(__xludf.DUMMYFUNCTION("""COMPUTED_VALUE"""),44494.574521875)</f>
        <v>44494.57452</v>
      </c>
      <c r="D1642" s="15">
        <f>IFERROR(__xludf.DUMMYFUNCTION("""COMPUTED_VALUE"""),1.022)</f>
        <v>1.022</v>
      </c>
      <c r="E1642" s="16">
        <f>IFERROR(__xludf.DUMMYFUNCTION("""COMPUTED_VALUE"""),66.0)</f>
        <v>66</v>
      </c>
      <c r="F1642" s="19" t="str">
        <f>IFERROR(__xludf.DUMMYFUNCTION("""COMPUTED_VALUE"""),"BLACK")</f>
        <v>BLACK</v>
      </c>
      <c r="G1642" s="20" t="str">
        <f>IFERROR(__xludf.DUMMYFUNCTION("""COMPUTED_VALUE"""),"Tap 6 Clone (10/15/2021)")</f>
        <v>Tap 6 Clone (10/15/2021)</v>
      </c>
      <c r="H1642" s="19"/>
    </row>
    <row r="1643">
      <c r="A1643" s="9"/>
      <c r="B1643" s="15"/>
      <c r="C1643" s="9">
        <f>IFERROR(__xludf.DUMMYFUNCTION("""COMPUTED_VALUE"""),44494.5640900347)</f>
        <v>44494.56409</v>
      </c>
      <c r="D1643" s="15">
        <f>IFERROR(__xludf.DUMMYFUNCTION("""COMPUTED_VALUE"""),1.022)</f>
        <v>1.022</v>
      </c>
      <c r="E1643" s="16">
        <f>IFERROR(__xludf.DUMMYFUNCTION("""COMPUTED_VALUE"""),66.0)</f>
        <v>66</v>
      </c>
      <c r="F1643" s="19" t="str">
        <f>IFERROR(__xludf.DUMMYFUNCTION("""COMPUTED_VALUE"""),"BLACK")</f>
        <v>BLACK</v>
      </c>
      <c r="G1643" s="20" t="str">
        <f>IFERROR(__xludf.DUMMYFUNCTION("""COMPUTED_VALUE"""),"Tap 6 Clone (10/15/2021)")</f>
        <v>Tap 6 Clone (10/15/2021)</v>
      </c>
      <c r="H1643" s="19"/>
    </row>
    <row r="1644">
      <c r="A1644" s="9"/>
      <c r="B1644" s="15"/>
      <c r="C1644" s="9">
        <f>IFERROR(__xludf.DUMMYFUNCTION("""COMPUTED_VALUE"""),44494.5536689467)</f>
        <v>44494.55367</v>
      </c>
      <c r="D1644" s="15">
        <f>IFERROR(__xludf.DUMMYFUNCTION("""COMPUTED_VALUE"""),1.022)</f>
        <v>1.022</v>
      </c>
      <c r="E1644" s="16">
        <f>IFERROR(__xludf.DUMMYFUNCTION("""COMPUTED_VALUE"""),66.0)</f>
        <v>66</v>
      </c>
      <c r="F1644" s="19" t="str">
        <f>IFERROR(__xludf.DUMMYFUNCTION("""COMPUTED_VALUE"""),"BLACK")</f>
        <v>BLACK</v>
      </c>
      <c r="G1644" s="20" t="str">
        <f>IFERROR(__xludf.DUMMYFUNCTION("""COMPUTED_VALUE"""),"Tap 6 Clone (10/15/2021)")</f>
        <v>Tap 6 Clone (10/15/2021)</v>
      </c>
      <c r="H1644" s="19"/>
    </row>
    <row r="1645">
      <c r="A1645" s="9"/>
      <c r="B1645" s="15"/>
      <c r="C1645" s="9">
        <f>IFERROR(__xludf.DUMMYFUNCTION("""COMPUTED_VALUE"""),44494.5432351157)</f>
        <v>44494.54324</v>
      </c>
      <c r="D1645" s="15">
        <f>IFERROR(__xludf.DUMMYFUNCTION("""COMPUTED_VALUE"""),1.022)</f>
        <v>1.022</v>
      </c>
      <c r="E1645" s="16">
        <f>IFERROR(__xludf.DUMMYFUNCTION("""COMPUTED_VALUE"""),66.0)</f>
        <v>66</v>
      </c>
      <c r="F1645" s="19" t="str">
        <f>IFERROR(__xludf.DUMMYFUNCTION("""COMPUTED_VALUE"""),"BLACK")</f>
        <v>BLACK</v>
      </c>
      <c r="G1645" s="20" t="str">
        <f>IFERROR(__xludf.DUMMYFUNCTION("""COMPUTED_VALUE"""),"Tap 6 Clone (10/15/2021)")</f>
        <v>Tap 6 Clone (10/15/2021)</v>
      </c>
      <c r="H1645" s="19"/>
    </row>
    <row r="1646">
      <c r="A1646" s="9"/>
      <c r="B1646" s="15"/>
      <c r="C1646" s="9">
        <f>IFERROR(__xludf.DUMMYFUNCTION("""COMPUTED_VALUE"""),44494.5328143634)</f>
        <v>44494.53281</v>
      </c>
      <c r="D1646" s="15">
        <f>IFERROR(__xludf.DUMMYFUNCTION("""COMPUTED_VALUE"""),1.022)</f>
        <v>1.022</v>
      </c>
      <c r="E1646" s="16">
        <f>IFERROR(__xludf.DUMMYFUNCTION("""COMPUTED_VALUE"""),66.0)</f>
        <v>66</v>
      </c>
      <c r="F1646" s="19" t="str">
        <f>IFERROR(__xludf.DUMMYFUNCTION("""COMPUTED_VALUE"""),"BLACK")</f>
        <v>BLACK</v>
      </c>
      <c r="G1646" s="20" t="str">
        <f>IFERROR(__xludf.DUMMYFUNCTION("""COMPUTED_VALUE"""),"Tap 6 Clone (10/15/2021)")</f>
        <v>Tap 6 Clone (10/15/2021)</v>
      </c>
      <c r="H1646" s="19"/>
    </row>
    <row r="1647">
      <c r="A1647" s="9"/>
      <c r="B1647" s="15"/>
      <c r="C1647" s="9">
        <f>IFERROR(__xludf.DUMMYFUNCTION("""COMPUTED_VALUE"""),44494.5223923148)</f>
        <v>44494.52239</v>
      </c>
      <c r="D1647" s="15">
        <f>IFERROR(__xludf.DUMMYFUNCTION("""COMPUTED_VALUE"""),1.021)</f>
        <v>1.021</v>
      </c>
      <c r="E1647" s="16">
        <f>IFERROR(__xludf.DUMMYFUNCTION("""COMPUTED_VALUE"""),66.0)</f>
        <v>66</v>
      </c>
      <c r="F1647" s="19" t="str">
        <f>IFERROR(__xludf.DUMMYFUNCTION("""COMPUTED_VALUE"""),"BLACK")</f>
        <v>BLACK</v>
      </c>
      <c r="G1647" s="20" t="str">
        <f>IFERROR(__xludf.DUMMYFUNCTION("""COMPUTED_VALUE"""),"Tap 6 Clone (10/15/2021)")</f>
        <v>Tap 6 Clone (10/15/2021)</v>
      </c>
      <c r="H1647" s="19"/>
    </row>
    <row r="1648">
      <c r="A1648" s="9"/>
      <c r="B1648" s="15"/>
      <c r="C1648" s="9">
        <f>IFERROR(__xludf.DUMMYFUNCTION("""COMPUTED_VALUE"""),44494.5119702083)</f>
        <v>44494.51197</v>
      </c>
      <c r="D1648" s="15">
        <f>IFERROR(__xludf.DUMMYFUNCTION("""COMPUTED_VALUE"""),1.02)</f>
        <v>1.02</v>
      </c>
      <c r="E1648" s="16">
        <f>IFERROR(__xludf.DUMMYFUNCTION("""COMPUTED_VALUE"""),66.0)</f>
        <v>66</v>
      </c>
      <c r="F1648" s="19" t="str">
        <f>IFERROR(__xludf.DUMMYFUNCTION("""COMPUTED_VALUE"""),"BLACK")</f>
        <v>BLACK</v>
      </c>
      <c r="G1648" s="20" t="str">
        <f>IFERROR(__xludf.DUMMYFUNCTION("""COMPUTED_VALUE"""),"Tap 6 Clone (10/15/2021)")</f>
        <v>Tap 6 Clone (10/15/2021)</v>
      </c>
      <c r="H1648" s="19"/>
    </row>
    <row r="1649">
      <c r="A1649" s="9"/>
      <c r="B1649" s="15"/>
      <c r="C1649" s="9">
        <f>IFERROR(__xludf.DUMMYFUNCTION("""COMPUTED_VALUE"""),44494.5015491088)</f>
        <v>44494.50155</v>
      </c>
      <c r="D1649" s="15">
        <f>IFERROR(__xludf.DUMMYFUNCTION("""COMPUTED_VALUE"""),1.021)</f>
        <v>1.021</v>
      </c>
      <c r="E1649" s="16">
        <f>IFERROR(__xludf.DUMMYFUNCTION("""COMPUTED_VALUE"""),66.0)</f>
        <v>66</v>
      </c>
      <c r="F1649" s="19" t="str">
        <f>IFERROR(__xludf.DUMMYFUNCTION("""COMPUTED_VALUE"""),"BLACK")</f>
        <v>BLACK</v>
      </c>
      <c r="G1649" s="20" t="str">
        <f>IFERROR(__xludf.DUMMYFUNCTION("""COMPUTED_VALUE"""),"Tap 6 Clone (10/15/2021)")</f>
        <v>Tap 6 Clone (10/15/2021)</v>
      </c>
      <c r="H1649" s="19"/>
    </row>
    <row r="1650">
      <c r="A1650" s="9"/>
      <c r="B1650" s="15"/>
      <c r="C1650" s="9">
        <f>IFERROR(__xludf.DUMMYFUNCTION("""COMPUTED_VALUE"""),44494.4911271527)</f>
        <v>44494.49113</v>
      </c>
      <c r="D1650" s="15">
        <f>IFERROR(__xludf.DUMMYFUNCTION("""COMPUTED_VALUE"""),1.02)</f>
        <v>1.02</v>
      </c>
      <c r="E1650" s="16">
        <f>IFERROR(__xludf.DUMMYFUNCTION("""COMPUTED_VALUE"""),66.0)</f>
        <v>66</v>
      </c>
      <c r="F1650" s="19" t="str">
        <f>IFERROR(__xludf.DUMMYFUNCTION("""COMPUTED_VALUE"""),"BLACK")</f>
        <v>BLACK</v>
      </c>
      <c r="G1650" s="20" t="str">
        <f>IFERROR(__xludf.DUMMYFUNCTION("""COMPUTED_VALUE"""),"Tap 6 Clone (10/15/2021)")</f>
        <v>Tap 6 Clone (10/15/2021)</v>
      </c>
      <c r="H1650" s="19"/>
    </row>
    <row r="1651">
      <c r="A1651" s="9"/>
      <c r="B1651" s="15"/>
      <c r="C1651" s="9">
        <f>IFERROR(__xludf.DUMMYFUNCTION("""COMPUTED_VALUE"""),44494.4807047685)</f>
        <v>44494.4807</v>
      </c>
      <c r="D1651" s="15">
        <f>IFERROR(__xludf.DUMMYFUNCTION("""COMPUTED_VALUE"""),1.021)</f>
        <v>1.021</v>
      </c>
      <c r="E1651" s="16">
        <f>IFERROR(__xludf.DUMMYFUNCTION("""COMPUTED_VALUE"""),65.0)</f>
        <v>65</v>
      </c>
      <c r="F1651" s="19" t="str">
        <f>IFERROR(__xludf.DUMMYFUNCTION("""COMPUTED_VALUE"""),"BLACK")</f>
        <v>BLACK</v>
      </c>
      <c r="G1651" s="20" t="str">
        <f>IFERROR(__xludf.DUMMYFUNCTION("""COMPUTED_VALUE"""),"Tap 6 Clone (10/15/2021)")</f>
        <v>Tap 6 Clone (10/15/2021)</v>
      </c>
      <c r="H1651" s="19"/>
    </row>
    <row r="1652">
      <c r="A1652" s="9"/>
      <c r="B1652" s="15"/>
      <c r="C1652" s="9">
        <f>IFERROR(__xludf.DUMMYFUNCTION("""COMPUTED_VALUE"""),44494.4702840856)</f>
        <v>44494.47028</v>
      </c>
      <c r="D1652" s="15">
        <f>IFERROR(__xludf.DUMMYFUNCTION("""COMPUTED_VALUE"""),1.021)</f>
        <v>1.021</v>
      </c>
      <c r="E1652" s="16">
        <f>IFERROR(__xludf.DUMMYFUNCTION("""COMPUTED_VALUE"""),65.0)</f>
        <v>65</v>
      </c>
      <c r="F1652" s="19" t="str">
        <f>IFERROR(__xludf.DUMMYFUNCTION("""COMPUTED_VALUE"""),"BLACK")</f>
        <v>BLACK</v>
      </c>
      <c r="G1652" s="20" t="str">
        <f>IFERROR(__xludf.DUMMYFUNCTION("""COMPUTED_VALUE"""),"Tap 6 Clone (10/15/2021)")</f>
        <v>Tap 6 Clone (10/15/2021)</v>
      </c>
      <c r="H1652" s="19"/>
    </row>
    <row r="1653">
      <c r="A1653" s="9"/>
      <c r="B1653" s="15"/>
      <c r="C1653" s="9">
        <f>IFERROR(__xludf.DUMMYFUNCTION("""COMPUTED_VALUE"""),44494.4598509375)</f>
        <v>44494.45985</v>
      </c>
      <c r="D1653" s="15">
        <f>IFERROR(__xludf.DUMMYFUNCTION("""COMPUTED_VALUE"""),1.021)</f>
        <v>1.021</v>
      </c>
      <c r="E1653" s="16">
        <f>IFERROR(__xludf.DUMMYFUNCTION("""COMPUTED_VALUE"""),65.0)</f>
        <v>65</v>
      </c>
      <c r="F1653" s="19" t="str">
        <f>IFERROR(__xludf.DUMMYFUNCTION("""COMPUTED_VALUE"""),"BLACK")</f>
        <v>BLACK</v>
      </c>
      <c r="G1653" s="20" t="str">
        <f>IFERROR(__xludf.DUMMYFUNCTION("""COMPUTED_VALUE"""),"Tap 6 Clone (10/15/2021)")</f>
        <v>Tap 6 Clone (10/15/2021)</v>
      </c>
      <c r="H1653" s="19"/>
    </row>
    <row r="1654">
      <c r="A1654" s="9"/>
      <c r="B1654" s="15"/>
      <c r="C1654" s="9">
        <f>IFERROR(__xludf.DUMMYFUNCTION("""COMPUTED_VALUE"""),44494.4494308101)</f>
        <v>44494.44943</v>
      </c>
      <c r="D1654" s="15">
        <f>IFERROR(__xludf.DUMMYFUNCTION("""COMPUTED_VALUE"""),1.022)</f>
        <v>1.022</v>
      </c>
      <c r="E1654" s="16">
        <f>IFERROR(__xludf.DUMMYFUNCTION("""COMPUTED_VALUE"""),65.0)</f>
        <v>65</v>
      </c>
      <c r="F1654" s="19" t="str">
        <f>IFERROR(__xludf.DUMMYFUNCTION("""COMPUTED_VALUE"""),"BLACK")</f>
        <v>BLACK</v>
      </c>
      <c r="G1654" s="20" t="str">
        <f>IFERROR(__xludf.DUMMYFUNCTION("""COMPUTED_VALUE"""),"Tap 6 Clone (10/15/2021)")</f>
        <v>Tap 6 Clone (10/15/2021)</v>
      </c>
      <c r="H1654" s="19"/>
    </row>
    <row r="1655">
      <c r="A1655" s="9"/>
      <c r="B1655" s="15"/>
      <c r="C1655" s="9">
        <f>IFERROR(__xludf.DUMMYFUNCTION("""COMPUTED_VALUE"""),44494.4390101504)</f>
        <v>44494.43901</v>
      </c>
      <c r="D1655" s="15">
        <f>IFERROR(__xludf.DUMMYFUNCTION("""COMPUTED_VALUE"""),1.022)</f>
        <v>1.022</v>
      </c>
      <c r="E1655" s="16">
        <f>IFERROR(__xludf.DUMMYFUNCTION("""COMPUTED_VALUE"""),65.0)</f>
        <v>65</v>
      </c>
      <c r="F1655" s="19" t="str">
        <f>IFERROR(__xludf.DUMMYFUNCTION("""COMPUTED_VALUE"""),"BLACK")</f>
        <v>BLACK</v>
      </c>
      <c r="G1655" s="20" t="str">
        <f>IFERROR(__xludf.DUMMYFUNCTION("""COMPUTED_VALUE"""),"Tap 6 Clone (10/15/2021)")</f>
        <v>Tap 6 Clone (10/15/2021)</v>
      </c>
      <c r="H1655" s="19"/>
    </row>
    <row r="1656">
      <c r="A1656" s="9"/>
      <c r="B1656" s="15"/>
      <c r="C1656" s="9">
        <f>IFERROR(__xludf.DUMMYFUNCTION("""COMPUTED_VALUE"""),44494.4285874421)</f>
        <v>44494.42859</v>
      </c>
      <c r="D1656" s="15">
        <f>IFERROR(__xludf.DUMMYFUNCTION("""COMPUTED_VALUE"""),1.022)</f>
        <v>1.022</v>
      </c>
      <c r="E1656" s="16">
        <f>IFERROR(__xludf.DUMMYFUNCTION("""COMPUTED_VALUE"""),65.0)</f>
        <v>65</v>
      </c>
      <c r="F1656" s="19" t="str">
        <f>IFERROR(__xludf.DUMMYFUNCTION("""COMPUTED_VALUE"""),"BLACK")</f>
        <v>BLACK</v>
      </c>
      <c r="G1656" s="20" t="str">
        <f>IFERROR(__xludf.DUMMYFUNCTION("""COMPUTED_VALUE"""),"Tap 6 Clone (10/15/2021)")</f>
        <v>Tap 6 Clone (10/15/2021)</v>
      </c>
      <c r="H1656" s="19"/>
    </row>
    <row r="1657">
      <c r="A1657" s="9"/>
      <c r="B1657" s="15"/>
      <c r="C1657" s="9">
        <f>IFERROR(__xludf.DUMMYFUNCTION("""COMPUTED_VALUE"""),44494.4181537268)</f>
        <v>44494.41815</v>
      </c>
      <c r="D1657" s="15">
        <f>IFERROR(__xludf.DUMMYFUNCTION("""COMPUTED_VALUE"""),1.022)</f>
        <v>1.022</v>
      </c>
      <c r="E1657" s="16">
        <f>IFERROR(__xludf.DUMMYFUNCTION("""COMPUTED_VALUE"""),65.0)</f>
        <v>65</v>
      </c>
      <c r="F1657" s="19" t="str">
        <f>IFERROR(__xludf.DUMMYFUNCTION("""COMPUTED_VALUE"""),"BLACK")</f>
        <v>BLACK</v>
      </c>
      <c r="G1657" s="20" t="str">
        <f>IFERROR(__xludf.DUMMYFUNCTION("""COMPUTED_VALUE"""),"Tap 6 Clone (10/15/2021)")</f>
        <v>Tap 6 Clone (10/15/2021)</v>
      </c>
      <c r="H1657" s="19"/>
    </row>
    <row r="1658">
      <c r="A1658" s="9"/>
      <c r="B1658" s="15"/>
      <c r="C1658" s="9">
        <f>IFERROR(__xludf.DUMMYFUNCTION("""COMPUTED_VALUE"""),44494.4077318287)</f>
        <v>44494.40773</v>
      </c>
      <c r="D1658" s="15">
        <f>IFERROR(__xludf.DUMMYFUNCTION("""COMPUTED_VALUE"""),1.022)</f>
        <v>1.022</v>
      </c>
      <c r="E1658" s="16">
        <f>IFERROR(__xludf.DUMMYFUNCTION("""COMPUTED_VALUE"""),65.0)</f>
        <v>65</v>
      </c>
      <c r="F1658" s="19" t="str">
        <f>IFERROR(__xludf.DUMMYFUNCTION("""COMPUTED_VALUE"""),"BLACK")</f>
        <v>BLACK</v>
      </c>
      <c r="G1658" s="20" t="str">
        <f>IFERROR(__xludf.DUMMYFUNCTION("""COMPUTED_VALUE"""),"Tap 6 Clone (10/15/2021)")</f>
        <v>Tap 6 Clone (10/15/2021)</v>
      </c>
      <c r="H1658" s="19"/>
    </row>
    <row r="1659">
      <c r="A1659" s="9"/>
      <c r="B1659" s="15"/>
      <c r="C1659" s="9">
        <f>IFERROR(__xludf.DUMMYFUNCTION("""COMPUTED_VALUE"""),44494.3973101388)</f>
        <v>44494.39731</v>
      </c>
      <c r="D1659" s="15">
        <f>IFERROR(__xludf.DUMMYFUNCTION("""COMPUTED_VALUE"""),1.021)</f>
        <v>1.021</v>
      </c>
      <c r="E1659" s="16">
        <f>IFERROR(__xludf.DUMMYFUNCTION("""COMPUTED_VALUE"""),65.0)</f>
        <v>65</v>
      </c>
      <c r="F1659" s="19" t="str">
        <f>IFERROR(__xludf.DUMMYFUNCTION("""COMPUTED_VALUE"""),"BLACK")</f>
        <v>BLACK</v>
      </c>
      <c r="G1659" s="20" t="str">
        <f>IFERROR(__xludf.DUMMYFUNCTION("""COMPUTED_VALUE"""),"Tap 6 Clone (10/15/2021)")</f>
        <v>Tap 6 Clone (10/15/2021)</v>
      </c>
      <c r="H1659" s="19"/>
    </row>
    <row r="1660">
      <c r="A1660" s="9"/>
      <c r="B1660" s="15"/>
      <c r="C1660" s="9">
        <f>IFERROR(__xludf.DUMMYFUNCTION("""COMPUTED_VALUE"""),44494.3868884375)</f>
        <v>44494.38689</v>
      </c>
      <c r="D1660" s="15">
        <f>IFERROR(__xludf.DUMMYFUNCTION("""COMPUTED_VALUE"""),1.022)</f>
        <v>1.022</v>
      </c>
      <c r="E1660" s="16">
        <f>IFERROR(__xludf.DUMMYFUNCTION("""COMPUTED_VALUE"""),65.0)</f>
        <v>65</v>
      </c>
      <c r="F1660" s="19" t="str">
        <f>IFERROR(__xludf.DUMMYFUNCTION("""COMPUTED_VALUE"""),"BLACK")</f>
        <v>BLACK</v>
      </c>
      <c r="G1660" s="20" t="str">
        <f>IFERROR(__xludf.DUMMYFUNCTION("""COMPUTED_VALUE"""),"Tap 6 Clone (10/15/2021)")</f>
        <v>Tap 6 Clone (10/15/2021)</v>
      </c>
      <c r="H1660" s="19"/>
    </row>
    <row r="1661">
      <c r="A1661" s="9"/>
      <c r="B1661" s="15"/>
      <c r="C1661" s="9">
        <f>IFERROR(__xludf.DUMMYFUNCTION("""COMPUTED_VALUE"""),44494.3764667592)</f>
        <v>44494.37647</v>
      </c>
      <c r="D1661" s="15">
        <f>IFERROR(__xludf.DUMMYFUNCTION("""COMPUTED_VALUE"""),1.022)</f>
        <v>1.022</v>
      </c>
      <c r="E1661" s="16">
        <f>IFERROR(__xludf.DUMMYFUNCTION("""COMPUTED_VALUE"""),65.0)</f>
        <v>65</v>
      </c>
      <c r="F1661" s="19" t="str">
        <f>IFERROR(__xludf.DUMMYFUNCTION("""COMPUTED_VALUE"""),"BLACK")</f>
        <v>BLACK</v>
      </c>
      <c r="G1661" s="20" t="str">
        <f>IFERROR(__xludf.DUMMYFUNCTION("""COMPUTED_VALUE"""),"Tap 6 Clone (10/15/2021)")</f>
        <v>Tap 6 Clone (10/15/2021)</v>
      </c>
      <c r="H1661" s="19"/>
    </row>
    <row r="1662">
      <c r="A1662" s="9"/>
      <c r="B1662" s="15"/>
      <c r="C1662" s="9">
        <f>IFERROR(__xludf.DUMMYFUNCTION("""COMPUTED_VALUE"""),44494.3660354166)</f>
        <v>44494.36604</v>
      </c>
      <c r="D1662" s="15">
        <f>IFERROR(__xludf.DUMMYFUNCTION("""COMPUTED_VALUE"""),1.022)</f>
        <v>1.022</v>
      </c>
      <c r="E1662" s="16">
        <f>IFERROR(__xludf.DUMMYFUNCTION("""COMPUTED_VALUE"""),65.0)</f>
        <v>65</v>
      </c>
      <c r="F1662" s="19" t="str">
        <f>IFERROR(__xludf.DUMMYFUNCTION("""COMPUTED_VALUE"""),"BLACK")</f>
        <v>BLACK</v>
      </c>
      <c r="G1662" s="20" t="str">
        <f>IFERROR(__xludf.DUMMYFUNCTION("""COMPUTED_VALUE"""),"Tap 6 Clone (10/15/2021)")</f>
        <v>Tap 6 Clone (10/15/2021)</v>
      </c>
      <c r="H1662" s="19"/>
    </row>
    <row r="1663">
      <c r="A1663" s="9"/>
      <c r="B1663" s="15"/>
      <c r="C1663" s="9">
        <f>IFERROR(__xludf.DUMMYFUNCTION("""COMPUTED_VALUE"""),44494.3556149537)</f>
        <v>44494.35561</v>
      </c>
      <c r="D1663" s="15">
        <f>IFERROR(__xludf.DUMMYFUNCTION("""COMPUTED_VALUE"""),1.021)</f>
        <v>1.021</v>
      </c>
      <c r="E1663" s="16">
        <f>IFERROR(__xludf.DUMMYFUNCTION("""COMPUTED_VALUE"""),65.0)</f>
        <v>65</v>
      </c>
      <c r="F1663" s="19" t="str">
        <f>IFERROR(__xludf.DUMMYFUNCTION("""COMPUTED_VALUE"""),"BLACK")</f>
        <v>BLACK</v>
      </c>
      <c r="G1663" s="20" t="str">
        <f>IFERROR(__xludf.DUMMYFUNCTION("""COMPUTED_VALUE"""),"Tap 6 Clone (10/15/2021)")</f>
        <v>Tap 6 Clone (10/15/2021)</v>
      </c>
      <c r="H1663" s="19"/>
    </row>
    <row r="1664">
      <c r="A1664" s="9"/>
      <c r="B1664" s="15"/>
      <c r="C1664" s="9">
        <f>IFERROR(__xludf.DUMMYFUNCTION("""COMPUTED_VALUE"""),44494.3451930787)</f>
        <v>44494.34519</v>
      </c>
      <c r="D1664" s="15">
        <f>IFERROR(__xludf.DUMMYFUNCTION("""COMPUTED_VALUE"""),1.023)</f>
        <v>1.023</v>
      </c>
      <c r="E1664" s="16">
        <f>IFERROR(__xludf.DUMMYFUNCTION("""COMPUTED_VALUE"""),65.0)</f>
        <v>65</v>
      </c>
      <c r="F1664" s="19" t="str">
        <f>IFERROR(__xludf.DUMMYFUNCTION("""COMPUTED_VALUE"""),"BLACK")</f>
        <v>BLACK</v>
      </c>
      <c r="G1664" s="20" t="str">
        <f>IFERROR(__xludf.DUMMYFUNCTION("""COMPUTED_VALUE"""),"Tap 6 Clone (10/15/2021)")</f>
        <v>Tap 6 Clone (10/15/2021)</v>
      </c>
      <c r="H1664" s="19"/>
    </row>
    <row r="1665">
      <c r="A1665" s="9"/>
      <c r="B1665" s="15"/>
      <c r="C1665" s="9">
        <f>IFERROR(__xludf.DUMMYFUNCTION("""COMPUTED_VALUE"""),44494.3347713426)</f>
        <v>44494.33477</v>
      </c>
      <c r="D1665" s="15">
        <f>IFERROR(__xludf.DUMMYFUNCTION("""COMPUTED_VALUE"""),1.022)</f>
        <v>1.022</v>
      </c>
      <c r="E1665" s="16">
        <f>IFERROR(__xludf.DUMMYFUNCTION("""COMPUTED_VALUE"""),65.0)</f>
        <v>65</v>
      </c>
      <c r="F1665" s="19" t="str">
        <f>IFERROR(__xludf.DUMMYFUNCTION("""COMPUTED_VALUE"""),"BLACK")</f>
        <v>BLACK</v>
      </c>
      <c r="G1665" s="20" t="str">
        <f>IFERROR(__xludf.DUMMYFUNCTION("""COMPUTED_VALUE"""),"Tap 6 Clone (10/15/2021)")</f>
        <v>Tap 6 Clone (10/15/2021)</v>
      </c>
      <c r="H1665" s="19"/>
    </row>
    <row r="1666">
      <c r="A1666" s="9"/>
      <c r="B1666" s="15"/>
      <c r="C1666" s="9">
        <f>IFERROR(__xludf.DUMMYFUNCTION("""COMPUTED_VALUE"""),44494.3243512384)</f>
        <v>44494.32435</v>
      </c>
      <c r="D1666" s="15">
        <f>IFERROR(__xludf.DUMMYFUNCTION("""COMPUTED_VALUE"""),1.022)</f>
        <v>1.022</v>
      </c>
      <c r="E1666" s="16">
        <f>IFERROR(__xludf.DUMMYFUNCTION("""COMPUTED_VALUE"""),65.0)</f>
        <v>65</v>
      </c>
      <c r="F1666" s="19" t="str">
        <f>IFERROR(__xludf.DUMMYFUNCTION("""COMPUTED_VALUE"""),"BLACK")</f>
        <v>BLACK</v>
      </c>
      <c r="G1666" s="20" t="str">
        <f>IFERROR(__xludf.DUMMYFUNCTION("""COMPUTED_VALUE"""),"Tap 6 Clone (10/15/2021)")</f>
        <v>Tap 6 Clone (10/15/2021)</v>
      </c>
      <c r="H1666" s="19"/>
    </row>
    <row r="1667">
      <c r="A1667" s="9"/>
      <c r="B1667" s="15"/>
      <c r="C1667" s="9">
        <f>IFERROR(__xludf.DUMMYFUNCTION("""COMPUTED_VALUE"""),44494.3139192476)</f>
        <v>44494.31392</v>
      </c>
      <c r="D1667" s="15">
        <f>IFERROR(__xludf.DUMMYFUNCTION("""COMPUTED_VALUE"""),1.023)</f>
        <v>1.023</v>
      </c>
      <c r="E1667" s="16">
        <f>IFERROR(__xludf.DUMMYFUNCTION("""COMPUTED_VALUE"""),65.0)</f>
        <v>65</v>
      </c>
      <c r="F1667" s="19" t="str">
        <f>IFERROR(__xludf.DUMMYFUNCTION("""COMPUTED_VALUE"""),"BLACK")</f>
        <v>BLACK</v>
      </c>
      <c r="G1667" s="20" t="str">
        <f>IFERROR(__xludf.DUMMYFUNCTION("""COMPUTED_VALUE"""),"Tap 6 Clone (10/15/2021)")</f>
        <v>Tap 6 Clone (10/15/2021)</v>
      </c>
      <c r="H1667" s="19"/>
    </row>
    <row r="1668">
      <c r="A1668" s="9"/>
      <c r="B1668" s="15"/>
      <c r="C1668" s="9">
        <f>IFERROR(__xludf.DUMMYFUNCTION("""COMPUTED_VALUE"""),44494.3034981481)</f>
        <v>44494.3035</v>
      </c>
      <c r="D1668" s="15">
        <f>IFERROR(__xludf.DUMMYFUNCTION("""COMPUTED_VALUE"""),1.023)</f>
        <v>1.023</v>
      </c>
      <c r="E1668" s="16">
        <f>IFERROR(__xludf.DUMMYFUNCTION("""COMPUTED_VALUE"""),65.0)</f>
        <v>65</v>
      </c>
      <c r="F1668" s="19" t="str">
        <f>IFERROR(__xludf.DUMMYFUNCTION("""COMPUTED_VALUE"""),"BLACK")</f>
        <v>BLACK</v>
      </c>
      <c r="G1668" s="20" t="str">
        <f>IFERROR(__xludf.DUMMYFUNCTION("""COMPUTED_VALUE"""),"Tap 6 Clone (10/15/2021)")</f>
        <v>Tap 6 Clone (10/15/2021)</v>
      </c>
      <c r="H1668" s="19"/>
    </row>
    <row r="1669">
      <c r="A1669" s="9"/>
      <c r="B1669" s="15"/>
      <c r="C1669" s="9">
        <f>IFERROR(__xludf.DUMMYFUNCTION("""COMPUTED_VALUE"""),44494.2930651967)</f>
        <v>44494.29307</v>
      </c>
      <c r="D1669" s="15">
        <f>IFERROR(__xludf.DUMMYFUNCTION("""COMPUTED_VALUE"""),1.022)</f>
        <v>1.022</v>
      </c>
      <c r="E1669" s="16">
        <f>IFERROR(__xludf.DUMMYFUNCTION("""COMPUTED_VALUE"""),65.0)</f>
        <v>65</v>
      </c>
      <c r="F1669" s="19" t="str">
        <f>IFERROR(__xludf.DUMMYFUNCTION("""COMPUTED_VALUE"""),"BLACK")</f>
        <v>BLACK</v>
      </c>
      <c r="G1669" s="20" t="str">
        <f>IFERROR(__xludf.DUMMYFUNCTION("""COMPUTED_VALUE"""),"Tap 6 Clone (10/15/2021)")</f>
        <v>Tap 6 Clone (10/15/2021)</v>
      </c>
      <c r="H1669" s="19"/>
    </row>
    <row r="1670">
      <c r="A1670" s="9"/>
      <c r="B1670" s="15"/>
      <c r="C1670" s="9">
        <f>IFERROR(__xludf.DUMMYFUNCTION("""COMPUTED_VALUE"""),44494.2826332407)</f>
        <v>44494.28263</v>
      </c>
      <c r="D1670" s="15">
        <f>IFERROR(__xludf.DUMMYFUNCTION("""COMPUTED_VALUE"""),1.022)</f>
        <v>1.022</v>
      </c>
      <c r="E1670" s="16">
        <f>IFERROR(__xludf.DUMMYFUNCTION("""COMPUTED_VALUE"""),65.0)</f>
        <v>65</v>
      </c>
      <c r="F1670" s="19" t="str">
        <f>IFERROR(__xludf.DUMMYFUNCTION("""COMPUTED_VALUE"""),"BLACK")</f>
        <v>BLACK</v>
      </c>
      <c r="G1670" s="20" t="str">
        <f>IFERROR(__xludf.DUMMYFUNCTION("""COMPUTED_VALUE"""),"Tap 6 Clone (10/15/2021)")</f>
        <v>Tap 6 Clone (10/15/2021)</v>
      </c>
      <c r="H1670" s="19"/>
    </row>
    <row r="1671">
      <c r="A1671" s="9"/>
      <c r="B1671" s="15"/>
      <c r="C1671" s="9">
        <f>IFERROR(__xludf.DUMMYFUNCTION("""COMPUTED_VALUE"""),44494.2722116666)</f>
        <v>44494.27221</v>
      </c>
      <c r="D1671" s="15">
        <f>IFERROR(__xludf.DUMMYFUNCTION("""COMPUTED_VALUE"""),1.023)</f>
        <v>1.023</v>
      </c>
      <c r="E1671" s="16">
        <f>IFERROR(__xludf.DUMMYFUNCTION("""COMPUTED_VALUE"""),65.0)</f>
        <v>65</v>
      </c>
      <c r="F1671" s="19" t="str">
        <f>IFERROR(__xludf.DUMMYFUNCTION("""COMPUTED_VALUE"""),"BLACK")</f>
        <v>BLACK</v>
      </c>
      <c r="G1671" s="20" t="str">
        <f>IFERROR(__xludf.DUMMYFUNCTION("""COMPUTED_VALUE"""),"Tap 6 Clone (10/15/2021)")</f>
        <v>Tap 6 Clone (10/15/2021)</v>
      </c>
      <c r="H1671" s="19"/>
    </row>
    <row r="1672">
      <c r="A1672" s="9"/>
      <c r="B1672" s="15"/>
      <c r="C1672" s="9">
        <f>IFERROR(__xludf.DUMMYFUNCTION("""COMPUTED_VALUE"""),44494.2617907986)</f>
        <v>44494.26179</v>
      </c>
      <c r="D1672" s="15">
        <f>IFERROR(__xludf.DUMMYFUNCTION("""COMPUTED_VALUE"""),1.022)</f>
        <v>1.022</v>
      </c>
      <c r="E1672" s="16">
        <f>IFERROR(__xludf.DUMMYFUNCTION("""COMPUTED_VALUE"""),65.0)</f>
        <v>65</v>
      </c>
      <c r="F1672" s="19" t="str">
        <f>IFERROR(__xludf.DUMMYFUNCTION("""COMPUTED_VALUE"""),"BLACK")</f>
        <v>BLACK</v>
      </c>
      <c r="G1672" s="20" t="str">
        <f>IFERROR(__xludf.DUMMYFUNCTION("""COMPUTED_VALUE"""),"Tap 6 Clone (10/15/2021)")</f>
        <v>Tap 6 Clone (10/15/2021)</v>
      </c>
      <c r="H1672" s="19"/>
    </row>
    <row r="1673">
      <c r="A1673" s="9"/>
      <c r="B1673" s="15"/>
      <c r="C1673" s="9">
        <f>IFERROR(__xludf.DUMMYFUNCTION("""COMPUTED_VALUE"""),44494.2513583333)</f>
        <v>44494.25136</v>
      </c>
      <c r="D1673" s="15">
        <f>IFERROR(__xludf.DUMMYFUNCTION("""COMPUTED_VALUE"""),1.022)</f>
        <v>1.022</v>
      </c>
      <c r="E1673" s="16">
        <f>IFERROR(__xludf.DUMMYFUNCTION("""COMPUTED_VALUE"""),65.0)</f>
        <v>65</v>
      </c>
      <c r="F1673" s="19" t="str">
        <f>IFERROR(__xludf.DUMMYFUNCTION("""COMPUTED_VALUE"""),"BLACK")</f>
        <v>BLACK</v>
      </c>
      <c r="G1673" s="20" t="str">
        <f>IFERROR(__xludf.DUMMYFUNCTION("""COMPUTED_VALUE"""),"Tap 6 Clone (10/15/2021)")</f>
        <v>Tap 6 Clone (10/15/2021)</v>
      </c>
      <c r="H1673" s="19"/>
    </row>
    <row r="1674">
      <c r="A1674" s="9"/>
      <c r="B1674" s="15"/>
      <c r="C1674" s="9">
        <f>IFERROR(__xludf.DUMMYFUNCTION("""COMPUTED_VALUE"""),44494.2409380092)</f>
        <v>44494.24094</v>
      </c>
      <c r="D1674" s="15">
        <f>IFERROR(__xludf.DUMMYFUNCTION("""COMPUTED_VALUE"""),1.022)</f>
        <v>1.022</v>
      </c>
      <c r="E1674" s="16">
        <f>IFERROR(__xludf.DUMMYFUNCTION("""COMPUTED_VALUE"""),65.0)</f>
        <v>65</v>
      </c>
      <c r="F1674" s="19" t="str">
        <f>IFERROR(__xludf.DUMMYFUNCTION("""COMPUTED_VALUE"""),"BLACK")</f>
        <v>BLACK</v>
      </c>
      <c r="G1674" s="20" t="str">
        <f>IFERROR(__xludf.DUMMYFUNCTION("""COMPUTED_VALUE"""),"Tap 6 Clone (10/15/2021)")</f>
        <v>Tap 6 Clone (10/15/2021)</v>
      </c>
      <c r="H1674" s="19"/>
    </row>
    <row r="1675">
      <c r="A1675" s="9"/>
      <c r="B1675" s="15"/>
      <c r="C1675" s="9">
        <f>IFERROR(__xludf.DUMMYFUNCTION("""COMPUTED_VALUE"""),44494.2305161805)</f>
        <v>44494.23052</v>
      </c>
      <c r="D1675" s="15">
        <f>IFERROR(__xludf.DUMMYFUNCTION("""COMPUTED_VALUE"""),1.02)</f>
        <v>1.02</v>
      </c>
      <c r="E1675" s="16">
        <f>IFERROR(__xludf.DUMMYFUNCTION("""COMPUTED_VALUE"""),65.0)</f>
        <v>65</v>
      </c>
      <c r="F1675" s="19" t="str">
        <f>IFERROR(__xludf.DUMMYFUNCTION("""COMPUTED_VALUE"""),"BLACK")</f>
        <v>BLACK</v>
      </c>
      <c r="G1675" s="20" t="str">
        <f>IFERROR(__xludf.DUMMYFUNCTION("""COMPUTED_VALUE"""),"Tap 6 Clone (10/15/2021)")</f>
        <v>Tap 6 Clone (10/15/2021)</v>
      </c>
      <c r="H1675" s="19"/>
    </row>
    <row r="1676">
      <c r="A1676" s="9"/>
      <c r="B1676" s="15"/>
      <c r="C1676" s="9">
        <f>IFERROR(__xludf.DUMMYFUNCTION("""COMPUTED_VALUE"""),44494.2200952546)</f>
        <v>44494.2201</v>
      </c>
      <c r="D1676" s="15">
        <f>IFERROR(__xludf.DUMMYFUNCTION("""COMPUTED_VALUE"""),1.021)</f>
        <v>1.021</v>
      </c>
      <c r="E1676" s="16">
        <f>IFERROR(__xludf.DUMMYFUNCTION("""COMPUTED_VALUE"""),65.0)</f>
        <v>65</v>
      </c>
      <c r="F1676" s="19" t="str">
        <f>IFERROR(__xludf.DUMMYFUNCTION("""COMPUTED_VALUE"""),"BLACK")</f>
        <v>BLACK</v>
      </c>
      <c r="G1676" s="20" t="str">
        <f>IFERROR(__xludf.DUMMYFUNCTION("""COMPUTED_VALUE"""),"Tap 6 Clone (10/15/2021)")</f>
        <v>Tap 6 Clone (10/15/2021)</v>
      </c>
      <c r="H1676" s="19"/>
    </row>
    <row r="1677">
      <c r="A1677" s="9"/>
      <c r="B1677" s="15"/>
      <c r="C1677" s="9">
        <f>IFERROR(__xludf.DUMMYFUNCTION("""COMPUTED_VALUE"""),44494.2096756944)</f>
        <v>44494.20968</v>
      </c>
      <c r="D1677" s="15">
        <f>IFERROR(__xludf.DUMMYFUNCTION("""COMPUTED_VALUE"""),1.022)</f>
        <v>1.022</v>
      </c>
      <c r="E1677" s="16">
        <f>IFERROR(__xludf.DUMMYFUNCTION("""COMPUTED_VALUE"""),65.0)</f>
        <v>65</v>
      </c>
      <c r="F1677" s="19" t="str">
        <f>IFERROR(__xludf.DUMMYFUNCTION("""COMPUTED_VALUE"""),"BLACK")</f>
        <v>BLACK</v>
      </c>
      <c r="G1677" s="20" t="str">
        <f>IFERROR(__xludf.DUMMYFUNCTION("""COMPUTED_VALUE"""),"Tap 6 Clone (10/15/2021)")</f>
        <v>Tap 6 Clone (10/15/2021)</v>
      </c>
      <c r="H1677" s="19"/>
    </row>
    <row r="1678">
      <c r="A1678" s="9"/>
      <c r="B1678" s="15"/>
      <c r="C1678" s="9">
        <f>IFERROR(__xludf.DUMMYFUNCTION("""COMPUTED_VALUE"""),44494.1992551041)</f>
        <v>44494.19926</v>
      </c>
      <c r="D1678" s="15">
        <f>IFERROR(__xludf.DUMMYFUNCTION("""COMPUTED_VALUE"""),1.023)</f>
        <v>1.023</v>
      </c>
      <c r="E1678" s="16">
        <f>IFERROR(__xludf.DUMMYFUNCTION("""COMPUTED_VALUE"""),65.0)</f>
        <v>65</v>
      </c>
      <c r="F1678" s="19" t="str">
        <f>IFERROR(__xludf.DUMMYFUNCTION("""COMPUTED_VALUE"""),"BLACK")</f>
        <v>BLACK</v>
      </c>
      <c r="G1678" s="20" t="str">
        <f>IFERROR(__xludf.DUMMYFUNCTION("""COMPUTED_VALUE"""),"Tap 6 Clone (10/15/2021)")</f>
        <v>Tap 6 Clone (10/15/2021)</v>
      </c>
      <c r="H1678" s="19"/>
    </row>
    <row r="1679">
      <c r="A1679" s="9"/>
      <c r="B1679" s="15"/>
      <c r="C1679" s="9">
        <f>IFERROR(__xludf.DUMMYFUNCTION("""COMPUTED_VALUE"""),44494.1888330324)</f>
        <v>44494.18883</v>
      </c>
      <c r="D1679" s="15">
        <f>IFERROR(__xludf.DUMMYFUNCTION("""COMPUTED_VALUE"""),1.022)</f>
        <v>1.022</v>
      </c>
      <c r="E1679" s="16">
        <f>IFERROR(__xludf.DUMMYFUNCTION("""COMPUTED_VALUE"""),65.0)</f>
        <v>65</v>
      </c>
      <c r="F1679" s="19" t="str">
        <f>IFERROR(__xludf.DUMMYFUNCTION("""COMPUTED_VALUE"""),"BLACK")</f>
        <v>BLACK</v>
      </c>
      <c r="G1679" s="20" t="str">
        <f>IFERROR(__xludf.DUMMYFUNCTION("""COMPUTED_VALUE"""),"Tap 6 Clone (10/15/2021)")</f>
        <v>Tap 6 Clone (10/15/2021)</v>
      </c>
      <c r="H1679" s="19"/>
    </row>
    <row r="1680">
      <c r="A1680" s="9"/>
      <c r="B1680" s="15"/>
      <c r="C1680" s="9">
        <f>IFERROR(__xludf.DUMMYFUNCTION("""COMPUTED_VALUE"""),44494.1784097453)</f>
        <v>44494.17841</v>
      </c>
      <c r="D1680" s="15">
        <f>IFERROR(__xludf.DUMMYFUNCTION("""COMPUTED_VALUE"""),1.022)</f>
        <v>1.022</v>
      </c>
      <c r="E1680" s="16">
        <f>IFERROR(__xludf.DUMMYFUNCTION("""COMPUTED_VALUE"""),65.0)</f>
        <v>65</v>
      </c>
      <c r="F1680" s="19" t="str">
        <f>IFERROR(__xludf.DUMMYFUNCTION("""COMPUTED_VALUE"""),"BLACK")</f>
        <v>BLACK</v>
      </c>
      <c r="G1680" s="20" t="str">
        <f>IFERROR(__xludf.DUMMYFUNCTION("""COMPUTED_VALUE"""),"Tap 6 Clone (10/15/2021)")</f>
        <v>Tap 6 Clone (10/15/2021)</v>
      </c>
      <c r="H1680" s="19"/>
    </row>
    <row r="1681">
      <c r="A1681" s="9"/>
      <c r="B1681" s="15"/>
      <c r="C1681" s="9">
        <f>IFERROR(__xludf.DUMMYFUNCTION("""COMPUTED_VALUE"""),44494.167988831)</f>
        <v>44494.16799</v>
      </c>
      <c r="D1681" s="15">
        <f>IFERROR(__xludf.DUMMYFUNCTION("""COMPUTED_VALUE"""),1.022)</f>
        <v>1.022</v>
      </c>
      <c r="E1681" s="16">
        <f>IFERROR(__xludf.DUMMYFUNCTION("""COMPUTED_VALUE"""),65.0)</f>
        <v>65</v>
      </c>
      <c r="F1681" s="19" t="str">
        <f>IFERROR(__xludf.DUMMYFUNCTION("""COMPUTED_VALUE"""),"BLACK")</f>
        <v>BLACK</v>
      </c>
      <c r="G1681" s="20" t="str">
        <f>IFERROR(__xludf.DUMMYFUNCTION("""COMPUTED_VALUE"""),"Tap 6 Clone (10/15/2021)")</f>
        <v>Tap 6 Clone (10/15/2021)</v>
      </c>
      <c r="H1681" s="19"/>
    </row>
    <row r="1682">
      <c r="A1682" s="9"/>
      <c r="B1682" s="15"/>
      <c r="C1682" s="9">
        <f>IFERROR(__xludf.DUMMYFUNCTION("""COMPUTED_VALUE"""),44494.1575679861)</f>
        <v>44494.15757</v>
      </c>
      <c r="D1682" s="15">
        <f>IFERROR(__xludf.DUMMYFUNCTION("""COMPUTED_VALUE"""),1.022)</f>
        <v>1.022</v>
      </c>
      <c r="E1682" s="16">
        <f>IFERROR(__xludf.DUMMYFUNCTION("""COMPUTED_VALUE"""),65.0)</f>
        <v>65</v>
      </c>
      <c r="F1682" s="19" t="str">
        <f>IFERROR(__xludf.DUMMYFUNCTION("""COMPUTED_VALUE"""),"BLACK")</f>
        <v>BLACK</v>
      </c>
      <c r="G1682" s="20" t="str">
        <f>IFERROR(__xludf.DUMMYFUNCTION("""COMPUTED_VALUE"""),"Tap 6 Clone (10/15/2021)")</f>
        <v>Tap 6 Clone (10/15/2021)</v>
      </c>
      <c r="H1682" s="19"/>
    </row>
    <row r="1683">
      <c r="A1683" s="9"/>
      <c r="B1683" s="15"/>
      <c r="C1683" s="9">
        <f>IFERROR(__xludf.DUMMYFUNCTION("""COMPUTED_VALUE"""),44494.1471477314)</f>
        <v>44494.14715</v>
      </c>
      <c r="D1683" s="15">
        <f>IFERROR(__xludf.DUMMYFUNCTION("""COMPUTED_VALUE"""),1.022)</f>
        <v>1.022</v>
      </c>
      <c r="E1683" s="16">
        <f>IFERROR(__xludf.DUMMYFUNCTION("""COMPUTED_VALUE"""),65.0)</f>
        <v>65</v>
      </c>
      <c r="F1683" s="19" t="str">
        <f>IFERROR(__xludf.DUMMYFUNCTION("""COMPUTED_VALUE"""),"BLACK")</f>
        <v>BLACK</v>
      </c>
      <c r="G1683" s="20" t="str">
        <f>IFERROR(__xludf.DUMMYFUNCTION("""COMPUTED_VALUE"""),"Tap 6 Clone (10/15/2021)")</f>
        <v>Tap 6 Clone (10/15/2021)</v>
      </c>
      <c r="H1683" s="19"/>
    </row>
    <row r="1684">
      <c r="A1684" s="9"/>
      <c r="B1684" s="15"/>
      <c r="C1684" s="9">
        <f>IFERROR(__xludf.DUMMYFUNCTION("""COMPUTED_VALUE"""),44494.1367139814)</f>
        <v>44494.13671</v>
      </c>
      <c r="D1684" s="15">
        <f>IFERROR(__xludf.DUMMYFUNCTION("""COMPUTED_VALUE"""),1.021)</f>
        <v>1.021</v>
      </c>
      <c r="E1684" s="16">
        <f>IFERROR(__xludf.DUMMYFUNCTION("""COMPUTED_VALUE"""),65.0)</f>
        <v>65</v>
      </c>
      <c r="F1684" s="19" t="str">
        <f>IFERROR(__xludf.DUMMYFUNCTION("""COMPUTED_VALUE"""),"BLACK")</f>
        <v>BLACK</v>
      </c>
      <c r="G1684" s="20" t="str">
        <f>IFERROR(__xludf.DUMMYFUNCTION("""COMPUTED_VALUE"""),"Tap 6 Clone (10/15/2021)")</f>
        <v>Tap 6 Clone (10/15/2021)</v>
      </c>
      <c r="H1684" s="19"/>
    </row>
    <row r="1685">
      <c r="A1685" s="9"/>
      <c r="B1685" s="15"/>
      <c r="C1685" s="9">
        <f>IFERROR(__xludf.DUMMYFUNCTION("""COMPUTED_VALUE"""),44494.126280868)</f>
        <v>44494.12628</v>
      </c>
      <c r="D1685" s="15">
        <f>IFERROR(__xludf.DUMMYFUNCTION("""COMPUTED_VALUE"""),1.021)</f>
        <v>1.021</v>
      </c>
      <c r="E1685" s="16">
        <f>IFERROR(__xludf.DUMMYFUNCTION("""COMPUTED_VALUE"""),65.0)</f>
        <v>65</v>
      </c>
      <c r="F1685" s="19" t="str">
        <f>IFERROR(__xludf.DUMMYFUNCTION("""COMPUTED_VALUE"""),"BLACK")</f>
        <v>BLACK</v>
      </c>
      <c r="G1685" s="20" t="str">
        <f>IFERROR(__xludf.DUMMYFUNCTION("""COMPUTED_VALUE"""),"Tap 6 Clone (10/15/2021)")</f>
        <v>Tap 6 Clone (10/15/2021)</v>
      </c>
      <c r="H1685" s="19"/>
    </row>
    <row r="1686">
      <c r="A1686" s="9"/>
      <c r="B1686" s="15"/>
      <c r="C1686" s="9">
        <f>IFERROR(__xludf.DUMMYFUNCTION("""COMPUTED_VALUE"""),44494.1158592824)</f>
        <v>44494.11586</v>
      </c>
      <c r="D1686" s="15">
        <f>IFERROR(__xludf.DUMMYFUNCTION("""COMPUTED_VALUE"""),1.021)</f>
        <v>1.021</v>
      </c>
      <c r="E1686" s="16">
        <f>IFERROR(__xludf.DUMMYFUNCTION("""COMPUTED_VALUE"""),65.0)</f>
        <v>65</v>
      </c>
      <c r="F1686" s="19" t="str">
        <f>IFERROR(__xludf.DUMMYFUNCTION("""COMPUTED_VALUE"""),"BLACK")</f>
        <v>BLACK</v>
      </c>
      <c r="G1686" s="20" t="str">
        <f>IFERROR(__xludf.DUMMYFUNCTION("""COMPUTED_VALUE"""),"Tap 6 Clone (10/15/2021)")</f>
        <v>Tap 6 Clone (10/15/2021)</v>
      </c>
      <c r="H1686" s="19"/>
    </row>
    <row r="1687">
      <c r="A1687" s="9"/>
      <c r="B1687" s="15"/>
      <c r="C1687" s="9">
        <f>IFERROR(__xludf.DUMMYFUNCTION("""COMPUTED_VALUE"""),44494.1054408449)</f>
        <v>44494.10544</v>
      </c>
      <c r="D1687" s="15">
        <f>IFERROR(__xludf.DUMMYFUNCTION("""COMPUTED_VALUE"""),1.021)</f>
        <v>1.021</v>
      </c>
      <c r="E1687" s="16">
        <f>IFERROR(__xludf.DUMMYFUNCTION("""COMPUTED_VALUE"""),65.0)</f>
        <v>65</v>
      </c>
      <c r="F1687" s="19" t="str">
        <f>IFERROR(__xludf.DUMMYFUNCTION("""COMPUTED_VALUE"""),"BLACK")</f>
        <v>BLACK</v>
      </c>
      <c r="G1687" s="20" t="str">
        <f>IFERROR(__xludf.DUMMYFUNCTION("""COMPUTED_VALUE"""),"Tap 6 Clone (10/15/2021)")</f>
        <v>Tap 6 Clone (10/15/2021)</v>
      </c>
      <c r="H1687" s="19"/>
    </row>
    <row r="1688">
      <c r="A1688" s="9"/>
      <c r="B1688" s="15"/>
      <c r="C1688" s="9">
        <f>IFERROR(__xludf.DUMMYFUNCTION("""COMPUTED_VALUE"""),44494.0950203009)</f>
        <v>44494.09502</v>
      </c>
      <c r="D1688" s="15">
        <f>IFERROR(__xludf.DUMMYFUNCTION("""COMPUTED_VALUE"""),1.022)</f>
        <v>1.022</v>
      </c>
      <c r="E1688" s="16">
        <f>IFERROR(__xludf.DUMMYFUNCTION("""COMPUTED_VALUE"""),65.0)</f>
        <v>65</v>
      </c>
      <c r="F1688" s="19" t="str">
        <f>IFERROR(__xludf.DUMMYFUNCTION("""COMPUTED_VALUE"""),"BLACK")</f>
        <v>BLACK</v>
      </c>
      <c r="G1688" s="20" t="str">
        <f>IFERROR(__xludf.DUMMYFUNCTION("""COMPUTED_VALUE"""),"Tap 6 Clone (10/15/2021)")</f>
        <v>Tap 6 Clone (10/15/2021)</v>
      </c>
      <c r="H1688" s="19"/>
    </row>
    <row r="1689">
      <c r="A1689" s="9"/>
      <c r="B1689" s="15"/>
      <c r="C1689" s="9">
        <f>IFERROR(__xludf.DUMMYFUNCTION("""COMPUTED_VALUE"""),44494.0845992361)</f>
        <v>44494.0846</v>
      </c>
      <c r="D1689" s="15">
        <f>IFERROR(__xludf.DUMMYFUNCTION("""COMPUTED_VALUE"""),1.022)</f>
        <v>1.022</v>
      </c>
      <c r="E1689" s="16">
        <f>IFERROR(__xludf.DUMMYFUNCTION("""COMPUTED_VALUE"""),65.0)</f>
        <v>65</v>
      </c>
      <c r="F1689" s="19" t="str">
        <f>IFERROR(__xludf.DUMMYFUNCTION("""COMPUTED_VALUE"""),"BLACK")</f>
        <v>BLACK</v>
      </c>
      <c r="G1689" s="20" t="str">
        <f>IFERROR(__xludf.DUMMYFUNCTION("""COMPUTED_VALUE"""),"Tap 6 Clone (10/15/2021)")</f>
        <v>Tap 6 Clone (10/15/2021)</v>
      </c>
      <c r="H1689" s="19"/>
    </row>
    <row r="1690">
      <c r="A1690" s="9"/>
      <c r="B1690" s="15"/>
      <c r="C1690" s="9">
        <f>IFERROR(__xludf.DUMMYFUNCTION("""COMPUTED_VALUE"""),44494.0741770833)</f>
        <v>44494.07418</v>
      </c>
      <c r="D1690" s="15">
        <f>IFERROR(__xludf.DUMMYFUNCTION("""COMPUTED_VALUE"""),1.022)</f>
        <v>1.022</v>
      </c>
      <c r="E1690" s="16">
        <f>IFERROR(__xludf.DUMMYFUNCTION("""COMPUTED_VALUE"""),65.0)</f>
        <v>65</v>
      </c>
      <c r="F1690" s="19" t="str">
        <f>IFERROR(__xludf.DUMMYFUNCTION("""COMPUTED_VALUE"""),"BLACK")</f>
        <v>BLACK</v>
      </c>
      <c r="G1690" s="20" t="str">
        <f>IFERROR(__xludf.DUMMYFUNCTION("""COMPUTED_VALUE"""),"Tap 6 Clone (10/15/2021)")</f>
        <v>Tap 6 Clone (10/15/2021)</v>
      </c>
      <c r="H1690" s="19"/>
    </row>
    <row r="1691">
      <c r="A1691" s="9"/>
      <c r="B1691" s="15"/>
      <c r="C1691" s="9">
        <f>IFERROR(__xludf.DUMMYFUNCTION("""COMPUTED_VALUE"""),44494.0637442592)</f>
        <v>44494.06374</v>
      </c>
      <c r="D1691" s="15">
        <f>IFERROR(__xludf.DUMMYFUNCTION("""COMPUTED_VALUE"""),1.021)</f>
        <v>1.021</v>
      </c>
      <c r="E1691" s="16">
        <f>IFERROR(__xludf.DUMMYFUNCTION("""COMPUTED_VALUE"""),65.0)</f>
        <v>65</v>
      </c>
      <c r="F1691" s="19" t="str">
        <f>IFERROR(__xludf.DUMMYFUNCTION("""COMPUTED_VALUE"""),"BLACK")</f>
        <v>BLACK</v>
      </c>
      <c r="G1691" s="20" t="str">
        <f>IFERROR(__xludf.DUMMYFUNCTION("""COMPUTED_VALUE"""),"Tap 6 Clone (10/15/2021)")</f>
        <v>Tap 6 Clone (10/15/2021)</v>
      </c>
      <c r="H1691" s="19"/>
    </row>
    <row r="1692">
      <c r="A1692" s="9"/>
      <c r="B1692" s="15"/>
      <c r="C1692" s="9">
        <f>IFERROR(__xludf.DUMMYFUNCTION("""COMPUTED_VALUE"""),44494.0533223611)</f>
        <v>44494.05332</v>
      </c>
      <c r="D1692" s="15">
        <f>IFERROR(__xludf.DUMMYFUNCTION("""COMPUTED_VALUE"""),1.022)</f>
        <v>1.022</v>
      </c>
      <c r="E1692" s="16">
        <f>IFERROR(__xludf.DUMMYFUNCTION("""COMPUTED_VALUE"""),65.0)</f>
        <v>65</v>
      </c>
      <c r="F1692" s="19" t="str">
        <f>IFERROR(__xludf.DUMMYFUNCTION("""COMPUTED_VALUE"""),"BLACK")</f>
        <v>BLACK</v>
      </c>
      <c r="G1692" s="20" t="str">
        <f>IFERROR(__xludf.DUMMYFUNCTION("""COMPUTED_VALUE"""),"Tap 6 Clone (10/15/2021)")</f>
        <v>Tap 6 Clone (10/15/2021)</v>
      </c>
      <c r="H1692" s="19"/>
    </row>
    <row r="1693">
      <c r="A1693" s="9"/>
      <c r="B1693" s="15"/>
      <c r="C1693" s="9">
        <f>IFERROR(__xludf.DUMMYFUNCTION("""COMPUTED_VALUE"""),44494.0429011458)</f>
        <v>44494.0429</v>
      </c>
      <c r="D1693" s="15">
        <f>IFERROR(__xludf.DUMMYFUNCTION("""COMPUTED_VALUE"""),1.021)</f>
        <v>1.021</v>
      </c>
      <c r="E1693" s="16">
        <f>IFERROR(__xludf.DUMMYFUNCTION("""COMPUTED_VALUE"""),65.0)</f>
        <v>65</v>
      </c>
      <c r="F1693" s="19" t="str">
        <f>IFERROR(__xludf.DUMMYFUNCTION("""COMPUTED_VALUE"""),"BLACK")</f>
        <v>BLACK</v>
      </c>
      <c r="G1693" s="20" t="str">
        <f>IFERROR(__xludf.DUMMYFUNCTION("""COMPUTED_VALUE"""),"Tap 6 Clone (10/15/2021)")</f>
        <v>Tap 6 Clone (10/15/2021)</v>
      </c>
      <c r="H1693" s="19"/>
    </row>
    <row r="1694">
      <c r="A1694" s="9"/>
      <c r="B1694" s="15"/>
      <c r="C1694" s="9">
        <f>IFERROR(__xludf.DUMMYFUNCTION("""COMPUTED_VALUE"""),44494.0324805324)</f>
        <v>44494.03248</v>
      </c>
      <c r="D1694" s="15">
        <f>IFERROR(__xludf.DUMMYFUNCTION("""COMPUTED_VALUE"""),1.02)</f>
        <v>1.02</v>
      </c>
      <c r="E1694" s="16">
        <f>IFERROR(__xludf.DUMMYFUNCTION("""COMPUTED_VALUE"""),65.0)</f>
        <v>65</v>
      </c>
      <c r="F1694" s="19" t="str">
        <f>IFERROR(__xludf.DUMMYFUNCTION("""COMPUTED_VALUE"""),"BLACK")</f>
        <v>BLACK</v>
      </c>
      <c r="G1694" s="20" t="str">
        <f>IFERROR(__xludf.DUMMYFUNCTION("""COMPUTED_VALUE"""),"Tap 6 Clone (10/15/2021)")</f>
        <v>Tap 6 Clone (10/15/2021)</v>
      </c>
      <c r="H1694" s="19"/>
    </row>
    <row r="1695">
      <c r="A1695" s="9"/>
      <c r="B1695" s="15"/>
      <c r="C1695" s="9">
        <f>IFERROR(__xludf.DUMMYFUNCTION("""COMPUTED_VALUE"""),44494.0220465972)</f>
        <v>44494.02205</v>
      </c>
      <c r="D1695" s="15">
        <f>IFERROR(__xludf.DUMMYFUNCTION("""COMPUTED_VALUE"""),1.021)</f>
        <v>1.021</v>
      </c>
      <c r="E1695" s="16">
        <f>IFERROR(__xludf.DUMMYFUNCTION("""COMPUTED_VALUE"""),65.0)</f>
        <v>65</v>
      </c>
      <c r="F1695" s="19" t="str">
        <f>IFERROR(__xludf.DUMMYFUNCTION("""COMPUTED_VALUE"""),"BLACK")</f>
        <v>BLACK</v>
      </c>
      <c r="G1695" s="20" t="str">
        <f>IFERROR(__xludf.DUMMYFUNCTION("""COMPUTED_VALUE"""),"Tap 6 Clone (10/15/2021)")</f>
        <v>Tap 6 Clone (10/15/2021)</v>
      </c>
      <c r="H1695" s="19"/>
    </row>
    <row r="1696">
      <c r="A1696" s="9"/>
      <c r="B1696" s="15"/>
      <c r="C1696" s="9">
        <f>IFERROR(__xludf.DUMMYFUNCTION("""COMPUTED_VALUE"""),44494.0116253703)</f>
        <v>44494.01163</v>
      </c>
      <c r="D1696" s="15">
        <f>IFERROR(__xludf.DUMMYFUNCTION("""COMPUTED_VALUE"""),1.022)</f>
        <v>1.022</v>
      </c>
      <c r="E1696" s="16">
        <f>IFERROR(__xludf.DUMMYFUNCTION("""COMPUTED_VALUE"""),65.0)</f>
        <v>65</v>
      </c>
      <c r="F1696" s="19" t="str">
        <f>IFERROR(__xludf.DUMMYFUNCTION("""COMPUTED_VALUE"""),"BLACK")</f>
        <v>BLACK</v>
      </c>
      <c r="G1696" s="20" t="str">
        <f>IFERROR(__xludf.DUMMYFUNCTION("""COMPUTED_VALUE"""),"Tap 6 Clone (10/15/2021)")</f>
        <v>Tap 6 Clone (10/15/2021)</v>
      </c>
      <c r="H1696" s="19"/>
    </row>
    <row r="1697">
      <c r="A1697" s="9"/>
      <c r="B1697" s="15"/>
      <c r="C1697" s="9">
        <f>IFERROR(__xludf.DUMMYFUNCTION("""COMPUTED_VALUE"""),44494.0012030324)</f>
        <v>44494.0012</v>
      </c>
      <c r="D1697" s="15">
        <f>IFERROR(__xludf.DUMMYFUNCTION("""COMPUTED_VALUE"""),1.022)</f>
        <v>1.022</v>
      </c>
      <c r="E1697" s="16">
        <f>IFERROR(__xludf.DUMMYFUNCTION("""COMPUTED_VALUE"""),65.0)</f>
        <v>65</v>
      </c>
      <c r="F1697" s="19" t="str">
        <f>IFERROR(__xludf.DUMMYFUNCTION("""COMPUTED_VALUE"""),"BLACK")</f>
        <v>BLACK</v>
      </c>
      <c r="G1697" s="20" t="str">
        <f>IFERROR(__xludf.DUMMYFUNCTION("""COMPUTED_VALUE"""),"Tap 6 Clone (10/15/2021)")</f>
        <v>Tap 6 Clone (10/15/2021)</v>
      </c>
      <c r="H1697" s="19"/>
    </row>
    <row r="1698">
      <c r="A1698" s="9"/>
      <c r="B1698" s="15"/>
      <c r="C1698" s="9">
        <f>IFERROR(__xludf.DUMMYFUNCTION("""COMPUTED_VALUE"""),44493.9907814814)</f>
        <v>44493.99078</v>
      </c>
      <c r="D1698" s="15">
        <f>IFERROR(__xludf.DUMMYFUNCTION("""COMPUTED_VALUE"""),1.023)</f>
        <v>1.023</v>
      </c>
      <c r="E1698" s="16">
        <f>IFERROR(__xludf.DUMMYFUNCTION("""COMPUTED_VALUE"""),65.0)</f>
        <v>65</v>
      </c>
      <c r="F1698" s="19" t="str">
        <f>IFERROR(__xludf.DUMMYFUNCTION("""COMPUTED_VALUE"""),"BLACK")</f>
        <v>BLACK</v>
      </c>
      <c r="G1698" s="20" t="str">
        <f>IFERROR(__xludf.DUMMYFUNCTION("""COMPUTED_VALUE"""),"Tap 6 Clone (10/15/2021)")</f>
        <v>Tap 6 Clone (10/15/2021)</v>
      </c>
      <c r="H1698" s="19"/>
    </row>
    <row r="1699">
      <c r="A1699" s="9"/>
      <c r="B1699" s="15"/>
      <c r="C1699" s="9">
        <f>IFERROR(__xludf.DUMMYFUNCTION("""COMPUTED_VALUE"""),44493.9803622106)</f>
        <v>44493.98036</v>
      </c>
      <c r="D1699" s="15">
        <f>IFERROR(__xludf.DUMMYFUNCTION("""COMPUTED_VALUE"""),1.022)</f>
        <v>1.022</v>
      </c>
      <c r="E1699" s="16">
        <f>IFERROR(__xludf.DUMMYFUNCTION("""COMPUTED_VALUE"""),65.0)</f>
        <v>65</v>
      </c>
      <c r="F1699" s="19" t="str">
        <f>IFERROR(__xludf.DUMMYFUNCTION("""COMPUTED_VALUE"""),"BLACK")</f>
        <v>BLACK</v>
      </c>
      <c r="G1699" s="20" t="str">
        <f>IFERROR(__xludf.DUMMYFUNCTION("""COMPUTED_VALUE"""),"Tap 6 Clone (10/15/2021)")</f>
        <v>Tap 6 Clone (10/15/2021)</v>
      </c>
      <c r="H1699" s="19"/>
    </row>
    <row r="1700">
      <c r="A1700" s="9"/>
      <c r="B1700" s="15"/>
      <c r="C1700" s="9">
        <f>IFERROR(__xludf.DUMMYFUNCTION("""COMPUTED_VALUE"""),44493.9699310069)</f>
        <v>44493.96993</v>
      </c>
      <c r="D1700" s="15">
        <f>IFERROR(__xludf.DUMMYFUNCTION("""COMPUTED_VALUE"""),1.022)</f>
        <v>1.022</v>
      </c>
      <c r="E1700" s="16">
        <f>IFERROR(__xludf.DUMMYFUNCTION("""COMPUTED_VALUE"""),65.0)</f>
        <v>65</v>
      </c>
      <c r="F1700" s="19" t="str">
        <f>IFERROR(__xludf.DUMMYFUNCTION("""COMPUTED_VALUE"""),"BLACK")</f>
        <v>BLACK</v>
      </c>
      <c r="G1700" s="20" t="str">
        <f>IFERROR(__xludf.DUMMYFUNCTION("""COMPUTED_VALUE"""),"Tap 6 Clone (10/15/2021)")</f>
        <v>Tap 6 Clone (10/15/2021)</v>
      </c>
      <c r="H1700" s="19"/>
    </row>
    <row r="1701">
      <c r="A1701" s="9"/>
      <c r="B1701" s="15"/>
      <c r="C1701" s="9">
        <f>IFERROR(__xludf.DUMMYFUNCTION("""COMPUTED_VALUE"""),44493.9594998495)</f>
        <v>44493.9595</v>
      </c>
      <c r="D1701" s="15">
        <f>IFERROR(__xludf.DUMMYFUNCTION("""COMPUTED_VALUE"""),1.022)</f>
        <v>1.022</v>
      </c>
      <c r="E1701" s="16">
        <f>IFERROR(__xludf.DUMMYFUNCTION("""COMPUTED_VALUE"""),65.0)</f>
        <v>65</v>
      </c>
      <c r="F1701" s="19" t="str">
        <f>IFERROR(__xludf.DUMMYFUNCTION("""COMPUTED_VALUE"""),"BLACK")</f>
        <v>BLACK</v>
      </c>
      <c r="G1701" s="20" t="str">
        <f>IFERROR(__xludf.DUMMYFUNCTION("""COMPUTED_VALUE"""),"Tap 6 Clone (10/15/2021)")</f>
        <v>Tap 6 Clone (10/15/2021)</v>
      </c>
      <c r="H1701" s="19"/>
    </row>
    <row r="1702">
      <c r="A1702" s="9"/>
      <c r="B1702" s="15"/>
      <c r="C1702" s="9">
        <f>IFERROR(__xludf.DUMMYFUNCTION("""COMPUTED_VALUE"""),44493.9490780902)</f>
        <v>44493.94908</v>
      </c>
      <c r="D1702" s="15">
        <f>IFERROR(__xludf.DUMMYFUNCTION("""COMPUTED_VALUE"""),1.021)</f>
        <v>1.021</v>
      </c>
      <c r="E1702" s="16">
        <f>IFERROR(__xludf.DUMMYFUNCTION("""COMPUTED_VALUE"""),65.0)</f>
        <v>65</v>
      </c>
      <c r="F1702" s="19" t="str">
        <f>IFERROR(__xludf.DUMMYFUNCTION("""COMPUTED_VALUE"""),"BLACK")</f>
        <v>BLACK</v>
      </c>
      <c r="G1702" s="20" t="str">
        <f>IFERROR(__xludf.DUMMYFUNCTION("""COMPUTED_VALUE"""),"Tap 6 Clone (10/15/2021)")</f>
        <v>Tap 6 Clone (10/15/2021)</v>
      </c>
      <c r="H1702" s="19"/>
    </row>
    <row r="1703">
      <c r="A1703" s="9"/>
      <c r="B1703" s="15"/>
      <c r="C1703" s="9">
        <f>IFERROR(__xludf.DUMMYFUNCTION("""COMPUTED_VALUE"""),44493.9386591435)</f>
        <v>44493.93866</v>
      </c>
      <c r="D1703" s="15">
        <f>IFERROR(__xludf.DUMMYFUNCTION("""COMPUTED_VALUE"""),1.021)</f>
        <v>1.021</v>
      </c>
      <c r="E1703" s="16">
        <f>IFERROR(__xludf.DUMMYFUNCTION("""COMPUTED_VALUE"""),65.0)</f>
        <v>65</v>
      </c>
      <c r="F1703" s="19" t="str">
        <f>IFERROR(__xludf.DUMMYFUNCTION("""COMPUTED_VALUE"""),"BLACK")</f>
        <v>BLACK</v>
      </c>
      <c r="G1703" s="20" t="str">
        <f>IFERROR(__xludf.DUMMYFUNCTION("""COMPUTED_VALUE"""),"Tap 6 Clone (10/15/2021)")</f>
        <v>Tap 6 Clone (10/15/2021)</v>
      </c>
      <c r="H1703" s="19"/>
    </row>
    <row r="1704">
      <c r="A1704" s="9"/>
      <c r="B1704" s="15"/>
      <c r="C1704" s="9">
        <f>IFERROR(__xludf.DUMMYFUNCTION("""COMPUTED_VALUE"""),44493.9282390046)</f>
        <v>44493.92824</v>
      </c>
      <c r="D1704" s="15">
        <f>IFERROR(__xludf.DUMMYFUNCTION("""COMPUTED_VALUE"""),1.021)</f>
        <v>1.021</v>
      </c>
      <c r="E1704" s="16">
        <f>IFERROR(__xludf.DUMMYFUNCTION("""COMPUTED_VALUE"""),65.0)</f>
        <v>65</v>
      </c>
      <c r="F1704" s="19" t="str">
        <f>IFERROR(__xludf.DUMMYFUNCTION("""COMPUTED_VALUE"""),"BLACK")</f>
        <v>BLACK</v>
      </c>
      <c r="G1704" s="20" t="str">
        <f>IFERROR(__xludf.DUMMYFUNCTION("""COMPUTED_VALUE"""),"Tap 6 Clone (10/15/2021)")</f>
        <v>Tap 6 Clone (10/15/2021)</v>
      </c>
      <c r="H1704" s="19"/>
    </row>
    <row r="1705">
      <c r="A1705" s="9"/>
      <c r="B1705" s="15"/>
      <c r="C1705" s="9">
        <f>IFERROR(__xludf.DUMMYFUNCTION("""COMPUTED_VALUE"""),44493.917818831)</f>
        <v>44493.91782</v>
      </c>
      <c r="D1705" s="15">
        <f>IFERROR(__xludf.DUMMYFUNCTION("""COMPUTED_VALUE"""),1.023)</f>
        <v>1.023</v>
      </c>
      <c r="E1705" s="16">
        <f>IFERROR(__xludf.DUMMYFUNCTION("""COMPUTED_VALUE"""),65.0)</f>
        <v>65</v>
      </c>
      <c r="F1705" s="19" t="str">
        <f>IFERROR(__xludf.DUMMYFUNCTION("""COMPUTED_VALUE"""),"BLACK")</f>
        <v>BLACK</v>
      </c>
      <c r="G1705" s="20" t="str">
        <f>IFERROR(__xludf.DUMMYFUNCTION("""COMPUTED_VALUE"""),"Tap 6 Clone (10/15/2021)")</f>
        <v>Tap 6 Clone (10/15/2021)</v>
      </c>
      <c r="H1705" s="19"/>
    </row>
    <row r="1706">
      <c r="A1706" s="9"/>
      <c r="B1706" s="15"/>
      <c r="C1706" s="9">
        <f>IFERROR(__xludf.DUMMYFUNCTION("""COMPUTED_VALUE"""),44493.9073985648)</f>
        <v>44493.9074</v>
      </c>
      <c r="D1706" s="15">
        <f>IFERROR(__xludf.DUMMYFUNCTION("""COMPUTED_VALUE"""),1.023)</f>
        <v>1.023</v>
      </c>
      <c r="E1706" s="16">
        <f>IFERROR(__xludf.DUMMYFUNCTION("""COMPUTED_VALUE"""),65.0)</f>
        <v>65</v>
      </c>
      <c r="F1706" s="19" t="str">
        <f>IFERROR(__xludf.DUMMYFUNCTION("""COMPUTED_VALUE"""),"BLACK")</f>
        <v>BLACK</v>
      </c>
      <c r="G1706" s="20" t="str">
        <f>IFERROR(__xludf.DUMMYFUNCTION("""COMPUTED_VALUE"""),"Tap 6 Clone (10/15/2021)")</f>
        <v>Tap 6 Clone (10/15/2021)</v>
      </c>
      <c r="H1706" s="19"/>
    </row>
    <row r="1707">
      <c r="A1707" s="9"/>
      <c r="B1707" s="15"/>
      <c r="C1707" s="9">
        <f>IFERROR(__xludf.DUMMYFUNCTION("""COMPUTED_VALUE"""),44493.8969772337)</f>
        <v>44493.89698</v>
      </c>
      <c r="D1707" s="15">
        <f>IFERROR(__xludf.DUMMYFUNCTION("""COMPUTED_VALUE"""),1.023)</f>
        <v>1.023</v>
      </c>
      <c r="E1707" s="16">
        <f>IFERROR(__xludf.DUMMYFUNCTION("""COMPUTED_VALUE"""),65.0)</f>
        <v>65</v>
      </c>
      <c r="F1707" s="19" t="str">
        <f>IFERROR(__xludf.DUMMYFUNCTION("""COMPUTED_VALUE"""),"BLACK")</f>
        <v>BLACK</v>
      </c>
      <c r="G1707" s="20" t="str">
        <f>IFERROR(__xludf.DUMMYFUNCTION("""COMPUTED_VALUE"""),"Tap 6 Clone (10/15/2021)")</f>
        <v>Tap 6 Clone (10/15/2021)</v>
      </c>
      <c r="H1707" s="19"/>
    </row>
    <row r="1708">
      <c r="A1708" s="9"/>
      <c r="B1708" s="15"/>
      <c r="C1708" s="9">
        <f>IFERROR(__xludf.DUMMYFUNCTION("""COMPUTED_VALUE"""),44493.8865333564)</f>
        <v>44493.88653</v>
      </c>
      <c r="D1708" s="15">
        <f>IFERROR(__xludf.DUMMYFUNCTION("""COMPUTED_VALUE"""),1.024)</f>
        <v>1.024</v>
      </c>
      <c r="E1708" s="16">
        <f>IFERROR(__xludf.DUMMYFUNCTION("""COMPUTED_VALUE"""),65.0)</f>
        <v>65</v>
      </c>
      <c r="F1708" s="19" t="str">
        <f>IFERROR(__xludf.DUMMYFUNCTION("""COMPUTED_VALUE"""),"BLACK")</f>
        <v>BLACK</v>
      </c>
      <c r="G1708" s="20" t="str">
        <f>IFERROR(__xludf.DUMMYFUNCTION("""COMPUTED_VALUE"""),"Tap 6 Clone (10/15/2021)")</f>
        <v>Tap 6 Clone (10/15/2021)</v>
      </c>
      <c r="H1708" s="19"/>
    </row>
    <row r="1709">
      <c r="A1709" s="9"/>
      <c r="B1709" s="15"/>
      <c r="C1709" s="9">
        <f>IFERROR(__xludf.DUMMYFUNCTION("""COMPUTED_VALUE"""),44493.8761004282)</f>
        <v>44493.8761</v>
      </c>
      <c r="D1709" s="15">
        <f>IFERROR(__xludf.DUMMYFUNCTION("""COMPUTED_VALUE"""),1.024)</f>
        <v>1.024</v>
      </c>
      <c r="E1709" s="16">
        <f>IFERROR(__xludf.DUMMYFUNCTION("""COMPUTED_VALUE"""),64.0)</f>
        <v>64</v>
      </c>
      <c r="F1709" s="19" t="str">
        <f>IFERROR(__xludf.DUMMYFUNCTION("""COMPUTED_VALUE"""),"BLACK")</f>
        <v>BLACK</v>
      </c>
      <c r="G1709" s="20" t="str">
        <f>IFERROR(__xludf.DUMMYFUNCTION("""COMPUTED_VALUE"""),"Tap 6 Clone (10/15/2021)")</f>
        <v>Tap 6 Clone (10/15/2021)</v>
      </c>
      <c r="H1709" s="19"/>
    </row>
    <row r="1710">
      <c r="A1710" s="9"/>
      <c r="B1710" s="15"/>
      <c r="C1710" s="9">
        <f>IFERROR(__xludf.DUMMYFUNCTION("""COMPUTED_VALUE"""),44493.8656687847)</f>
        <v>44493.86567</v>
      </c>
      <c r="D1710" s="15">
        <f>IFERROR(__xludf.DUMMYFUNCTION("""COMPUTED_VALUE"""),1.023)</f>
        <v>1.023</v>
      </c>
      <c r="E1710" s="16">
        <f>IFERROR(__xludf.DUMMYFUNCTION("""COMPUTED_VALUE"""),65.0)</f>
        <v>65</v>
      </c>
      <c r="F1710" s="19" t="str">
        <f>IFERROR(__xludf.DUMMYFUNCTION("""COMPUTED_VALUE"""),"BLACK")</f>
        <v>BLACK</v>
      </c>
      <c r="G1710" s="20" t="str">
        <f>IFERROR(__xludf.DUMMYFUNCTION("""COMPUTED_VALUE"""),"Tap 6 Clone (10/15/2021)")</f>
        <v>Tap 6 Clone (10/15/2021)</v>
      </c>
      <c r="H1710" s="19"/>
    </row>
    <row r="1711">
      <c r="A1711" s="9"/>
      <c r="B1711" s="15"/>
      <c r="C1711" s="9">
        <f>IFERROR(__xludf.DUMMYFUNCTION("""COMPUTED_VALUE"""),44493.8552471296)</f>
        <v>44493.85525</v>
      </c>
      <c r="D1711" s="15">
        <f>IFERROR(__xludf.DUMMYFUNCTION("""COMPUTED_VALUE"""),1.022)</f>
        <v>1.022</v>
      </c>
      <c r="E1711" s="16">
        <f>IFERROR(__xludf.DUMMYFUNCTION("""COMPUTED_VALUE"""),64.0)</f>
        <v>64</v>
      </c>
      <c r="F1711" s="19" t="str">
        <f>IFERROR(__xludf.DUMMYFUNCTION("""COMPUTED_VALUE"""),"BLACK")</f>
        <v>BLACK</v>
      </c>
      <c r="G1711" s="20" t="str">
        <f>IFERROR(__xludf.DUMMYFUNCTION("""COMPUTED_VALUE"""),"Tap 6 Clone (10/15/2021)")</f>
        <v>Tap 6 Clone (10/15/2021)</v>
      </c>
      <c r="H1711" s="19"/>
    </row>
    <row r="1712">
      <c r="A1712" s="9"/>
      <c r="B1712" s="15"/>
      <c r="C1712" s="9">
        <f>IFERROR(__xludf.DUMMYFUNCTION("""COMPUTED_VALUE"""),44493.844827118)</f>
        <v>44493.84483</v>
      </c>
      <c r="D1712" s="15">
        <f>IFERROR(__xludf.DUMMYFUNCTION("""COMPUTED_VALUE"""),1.022)</f>
        <v>1.022</v>
      </c>
      <c r="E1712" s="16">
        <f>IFERROR(__xludf.DUMMYFUNCTION("""COMPUTED_VALUE"""),64.0)</f>
        <v>64</v>
      </c>
      <c r="F1712" s="19" t="str">
        <f>IFERROR(__xludf.DUMMYFUNCTION("""COMPUTED_VALUE"""),"BLACK")</f>
        <v>BLACK</v>
      </c>
      <c r="G1712" s="20" t="str">
        <f>IFERROR(__xludf.DUMMYFUNCTION("""COMPUTED_VALUE"""),"Tap 6 Clone (10/15/2021)")</f>
        <v>Tap 6 Clone (10/15/2021)</v>
      </c>
      <c r="H1712" s="19"/>
    </row>
    <row r="1713">
      <c r="A1713" s="9"/>
      <c r="B1713" s="15"/>
      <c r="C1713" s="9">
        <f>IFERROR(__xludf.DUMMYFUNCTION("""COMPUTED_VALUE"""),44493.8344065856)</f>
        <v>44493.83441</v>
      </c>
      <c r="D1713" s="15">
        <f>IFERROR(__xludf.DUMMYFUNCTION("""COMPUTED_VALUE"""),1.023)</f>
        <v>1.023</v>
      </c>
      <c r="E1713" s="16">
        <f>IFERROR(__xludf.DUMMYFUNCTION("""COMPUTED_VALUE"""),64.0)</f>
        <v>64</v>
      </c>
      <c r="F1713" s="19" t="str">
        <f>IFERROR(__xludf.DUMMYFUNCTION("""COMPUTED_VALUE"""),"BLACK")</f>
        <v>BLACK</v>
      </c>
      <c r="G1713" s="20" t="str">
        <f>IFERROR(__xludf.DUMMYFUNCTION("""COMPUTED_VALUE"""),"Tap 6 Clone (10/15/2021)")</f>
        <v>Tap 6 Clone (10/15/2021)</v>
      </c>
      <c r="H1713" s="19"/>
    </row>
    <row r="1714">
      <c r="A1714" s="9"/>
      <c r="B1714" s="15"/>
      <c r="C1714" s="9">
        <f>IFERROR(__xludf.DUMMYFUNCTION("""COMPUTED_VALUE"""),44493.8239857754)</f>
        <v>44493.82399</v>
      </c>
      <c r="D1714" s="15">
        <f>IFERROR(__xludf.DUMMYFUNCTION("""COMPUTED_VALUE"""),1.023)</f>
        <v>1.023</v>
      </c>
      <c r="E1714" s="16">
        <f>IFERROR(__xludf.DUMMYFUNCTION("""COMPUTED_VALUE"""),64.0)</f>
        <v>64</v>
      </c>
      <c r="F1714" s="19" t="str">
        <f>IFERROR(__xludf.DUMMYFUNCTION("""COMPUTED_VALUE"""),"BLACK")</f>
        <v>BLACK</v>
      </c>
      <c r="G1714" s="20" t="str">
        <f>IFERROR(__xludf.DUMMYFUNCTION("""COMPUTED_VALUE"""),"Tap 6 Clone (10/15/2021)")</f>
        <v>Tap 6 Clone (10/15/2021)</v>
      </c>
      <c r="H1714" s="19"/>
    </row>
    <row r="1715">
      <c r="A1715" s="9"/>
      <c r="B1715" s="15"/>
      <c r="C1715" s="9">
        <f>IFERROR(__xludf.DUMMYFUNCTION("""COMPUTED_VALUE"""),44493.8135526967)</f>
        <v>44493.81355</v>
      </c>
      <c r="D1715" s="15">
        <f>IFERROR(__xludf.DUMMYFUNCTION("""COMPUTED_VALUE"""),1.024)</f>
        <v>1.024</v>
      </c>
      <c r="E1715" s="16">
        <f>IFERROR(__xludf.DUMMYFUNCTION("""COMPUTED_VALUE"""),64.0)</f>
        <v>64</v>
      </c>
      <c r="F1715" s="19" t="str">
        <f>IFERROR(__xludf.DUMMYFUNCTION("""COMPUTED_VALUE"""),"BLACK")</f>
        <v>BLACK</v>
      </c>
      <c r="G1715" s="20" t="str">
        <f>IFERROR(__xludf.DUMMYFUNCTION("""COMPUTED_VALUE"""),"Tap 6 Clone (10/15/2021)")</f>
        <v>Tap 6 Clone (10/15/2021)</v>
      </c>
      <c r="H1715" s="19"/>
    </row>
    <row r="1716">
      <c r="A1716" s="9"/>
      <c r="B1716" s="15"/>
      <c r="C1716" s="9">
        <f>IFERROR(__xludf.DUMMYFUNCTION("""COMPUTED_VALUE"""),44493.8030958333)</f>
        <v>44493.8031</v>
      </c>
      <c r="D1716" s="15">
        <f>IFERROR(__xludf.DUMMYFUNCTION("""COMPUTED_VALUE"""),1.023)</f>
        <v>1.023</v>
      </c>
      <c r="E1716" s="16">
        <f>IFERROR(__xludf.DUMMYFUNCTION("""COMPUTED_VALUE"""),64.0)</f>
        <v>64</v>
      </c>
      <c r="F1716" s="19" t="str">
        <f>IFERROR(__xludf.DUMMYFUNCTION("""COMPUTED_VALUE"""),"BLACK")</f>
        <v>BLACK</v>
      </c>
      <c r="G1716" s="20" t="str">
        <f>IFERROR(__xludf.DUMMYFUNCTION("""COMPUTED_VALUE"""),"Tap 6 Clone (10/15/2021)")</f>
        <v>Tap 6 Clone (10/15/2021)</v>
      </c>
      <c r="H1716" s="19"/>
    </row>
    <row r="1717">
      <c r="A1717" s="9"/>
      <c r="B1717" s="15"/>
      <c r="C1717" s="9">
        <f>IFERROR(__xludf.DUMMYFUNCTION("""COMPUTED_VALUE"""),44493.7926737268)</f>
        <v>44493.79267</v>
      </c>
      <c r="D1717" s="15">
        <f>IFERROR(__xludf.DUMMYFUNCTION("""COMPUTED_VALUE"""),1.023)</f>
        <v>1.023</v>
      </c>
      <c r="E1717" s="16">
        <f>IFERROR(__xludf.DUMMYFUNCTION("""COMPUTED_VALUE"""),64.0)</f>
        <v>64</v>
      </c>
      <c r="F1717" s="19" t="str">
        <f>IFERROR(__xludf.DUMMYFUNCTION("""COMPUTED_VALUE"""),"BLACK")</f>
        <v>BLACK</v>
      </c>
      <c r="G1717" s="20" t="str">
        <f>IFERROR(__xludf.DUMMYFUNCTION("""COMPUTED_VALUE"""),"Tap 6 Clone (10/15/2021)")</f>
        <v>Tap 6 Clone (10/15/2021)</v>
      </c>
      <c r="H1717" s="19"/>
    </row>
    <row r="1718">
      <c r="A1718" s="9"/>
      <c r="B1718" s="15"/>
      <c r="C1718" s="9">
        <f>IFERROR(__xludf.DUMMYFUNCTION("""COMPUTED_VALUE"""),44493.7822530208)</f>
        <v>44493.78225</v>
      </c>
      <c r="D1718" s="15">
        <f>IFERROR(__xludf.DUMMYFUNCTION("""COMPUTED_VALUE"""),1.023)</f>
        <v>1.023</v>
      </c>
      <c r="E1718" s="16">
        <f>IFERROR(__xludf.DUMMYFUNCTION("""COMPUTED_VALUE"""),64.0)</f>
        <v>64</v>
      </c>
      <c r="F1718" s="19" t="str">
        <f>IFERROR(__xludf.DUMMYFUNCTION("""COMPUTED_VALUE"""),"BLACK")</f>
        <v>BLACK</v>
      </c>
      <c r="G1718" s="20" t="str">
        <f>IFERROR(__xludf.DUMMYFUNCTION("""COMPUTED_VALUE"""),"Tap 6 Clone (10/15/2021)")</f>
        <v>Tap 6 Clone (10/15/2021)</v>
      </c>
      <c r="H1718" s="19"/>
    </row>
    <row r="1719">
      <c r="A1719" s="9"/>
      <c r="B1719" s="15"/>
      <c r="C1719" s="9">
        <f>IFERROR(__xludf.DUMMYFUNCTION("""COMPUTED_VALUE"""),44493.7718307407)</f>
        <v>44493.77183</v>
      </c>
      <c r="D1719" s="15">
        <f>IFERROR(__xludf.DUMMYFUNCTION("""COMPUTED_VALUE"""),1.023)</f>
        <v>1.023</v>
      </c>
      <c r="E1719" s="16">
        <f>IFERROR(__xludf.DUMMYFUNCTION("""COMPUTED_VALUE"""),64.0)</f>
        <v>64</v>
      </c>
      <c r="F1719" s="19" t="str">
        <f>IFERROR(__xludf.DUMMYFUNCTION("""COMPUTED_VALUE"""),"BLACK")</f>
        <v>BLACK</v>
      </c>
      <c r="G1719" s="20" t="str">
        <f>IFERROR(__xludf.DUMMYFUNCTION("""COMPUTED_VALUE"""),"Tap 6 Clone (10/15/2021)")</f>
        <v>Tap 6 Clone (10/15/2021)</v>
      </c>
      <c r="H1719" s="19"/>
    </row>
    <row r="1720">
      <c r="A1720" s="9"/>
      <c r="B1720" s="15"/>
      <c r="C1720" s="9">
        <f>IFERROR(__xludf.DUMMYFUNCTION("""COMPUTED_VALUE"""),44493.7614106134)</f>
        <v>44493.76141</v>
      </c>
      <c r="D1720" s="15">
        <f>IFERROR(__xludf.DUMMYFUNCTION("""COMPUTED_VALUE"""),1.023)</f>
        <v>1.023</v>
      </c>
      <c r="E1720" s="16">
        <f>IFERROR(__xludf.DUMMYFUNCTION("""COMPUTED_VALUE"""),64.0)</f>
        <v>64</v>
      </c>
      <c r="F1720" s="19" t="str">
        <f>IFERROR(__xludf.DUMMYFUNCTION("""COMPUTED_VALUE"""),"BLACK")</f>
        <v>BLACK</v>
      </c>
      <c r="G1720" s="20" t="str">
        <f>IFERROR(__xludf.DUMMYFUNCTION("""COMPUTED_VALUE"""),"Tap 6 Clone (10/15/2021)")</f>
        <v>Tap 6 Clone (10/15/2021)</v>
      </c>
      <c r="H1720" s="19"/>
    </row>
    <row r="1721">
      <c r="A1721" s="9"/>
      <c r="B1721" s="15"/>
      <c r="C1721" s="9">
        <f>IFERROR(__xludf.DUMMYFUNCTION("""COMPUTED_VALUE"""),44493.7509891782)</f>
        <v>44493.75099</v>
      </c>
      <c r="D1721" s="15">
        <f>IFERROR(__xludf.DUMMYFUNCTION("""COMPUTED_VALUE"""),1.023)</f>
        <v>1.023</v>
      </c>
      <c r="E1721" s="16">
        <f>IFERROR(__xludf.DUMMYFUNCTION("""COMPUTED_VALUE"""),64.0)</f>
        <v>64</v>
      </c>
      <c r="F1721" s="19" t="str">
        <f>IFERROR(__xludf.DUMMYFUNCTION("""COMPUTED_VALUE"""),"BLACK")</f>
        <v>BLACK</v>
      </c>
      <c r="G1721" s="20" t="str">
        <f>IFERROR(__xludf.DUMMYFUNCTION("""COMPUTED_VALUE"""),"Tap 6 Clone (10/15/2021)")</f>
        <v>Tap 6 Clone (10/15/2021)</v>
      </c>
      <c r="H1721" s="19"/>
    </row>
    <row r="1722">
      <c r="A1722" s="9"/>
      <c r="B1722" s="15"/>
      <c r="C1722" s="9">
        <f>IFERROR(__xludf.DUMMYFUNCTION("""COMPUTED_VALUE"""),44493.7405676388)</f>
        <v>44493.74057</v>
      </c>
      <c r="D1722" s="15">
        <f>IFERROR(__xludf.DUMMYFUNCTION("""COMPUTED_VALUE"""),1.023)</f>
        <v>1.023</v>
      </c>
      <c r="E1722" s="16">
        <f>IFERROR(__xludf.DUMMYFUNCTION("""COMPUTED_VALUE"""),64.0)</f>
        <v>64</v>
      </c>
      <c r="F1722" s="19" t="str">
        <f>IFERROR(__xludf.DUMMYFUNCTION("""COMPUTED_VALUE"""),"BLACK")</f>
        <v>BLACK</v>
      </c>
      <c r="G1722" s="20" t="str">
        <f>IFERROR(__xludf.DUMMYFUNCTION("""COMPUTED_VALUE"""),"Tap 6 Clone (10/15/2021)")</f>
        <v>Tap 6 Clone (10/15/2021)</v>
      </c>
      <c r="H1722" s="19"/>
    </row>
    <row r="1723">
      <c r="A1723" s="9"/>
      <c r="B1723" s="15"/>
      <c r="C1723" s="9">
        <f>IFERROR(__xludf.DUMMYFUNCTION("""COMPUTED_VALUE"""),44493.7301356828)</f>
        <v>44493.73014</v>
      </c>
      <c r="D1723" s="15">
        <f>IFERROR(__xludf.DUMMYFUNCTION("""COMPUTED_VALUE"""),1.023)</f>
        <v>1.023</v>
      </c>
      <c r="E1723" s="16">
        <f>IFERROR(__xludf.DUMMYFUNCTION("""COMPUTED_VALUE"""),64.0)</f>
        <v>64</v>
      </c>
      <c r="F1723" s="19" t="str">
        <f>IFERROR(__xludf.DUMMYFUNCTION("""COMPUTED_VALUE"""),"BLACK")</f>
        <v>BLACK</v>
      </c>
      <c r="G1723" s="20" t="str">
        <f>IFERROR(__xludf.DUMMYFUNCTION("""COMPUTED_VALUE"""),"Tap 6 Clone (10/15/2021)")</f>
        <v>Tap 6 Clone (10/15/2021)</v>
      </c>
      <c r="H1723" s="19"/>
    </row>
    <row r="1724">
      <c r="A1724" s="9"/>
      <c r="B1724" s="15"/>
      <c r="C1724" s="9">
        <f>IFERROR(__xludf.DUMMYFUNCTION("""COMPUTED_VALUE"""),44493.7197148495)</f>
        <v>44493.71971</v>
      </c>
      <c r="D1724" s="15">
        <f>IFERROR(__xludf.DUMMYFUNCTION("""COMPUTED_VALUE"""),1.023)</f>
        <v>1.023</v>
      </c>
      <c r="E1724" s="16">
        <f>IFERROR(__xludf.DUMMYFUNCTION("""COMPUTED_VALUE"""),64.0)</f>
        <v>64</v>
      </c>
      <c r="F1724" s="19" t="str">
        <f>IFERROR(__xludf.DUMMYFUNCTION("""COMPUTED_VALUE"""),"BLACK")</f>
        <v>BLACK</v>
      </c>
      <c r="G1724" s="20" t="str">
        <f>IFERROR(__xludf.DUMMYFUNCTION("""COMPUTED_VALUE"""),"Tap 6 Clone (10/15/2021)")</f>
        <v>Tap 6 Clone (10/15/2021)</v>
      </c>
      <c r="H1724" s="19"/>
    </row>
    <row r="1725">
      <c r="A1725" s="9"/>
      <c r="B1725" s="15"/>
      <c r="C1725" s="9">
        <f>IFERROR(__xludf.DUMMYFUNCTION("""COMPUTED_VALUE"""),44493.709292662)</f>
        <v>44493.70929</v>
      </c>
      <c r="D1725" s="15">
        <f>IFERROR(__xludf.DUMMYFUNCTION("""COMPUTED_VALUE"""),1.023)</f>
        <v>1.023</v>
      </c>
      <c r="E1725" s="16">
        <f>IFERROR(__xludf.DUMMYFUNCTION("""COMPUTED_VALUE"""),64.0)</f>
        <v>64</v>
      </c>
      <c r="F1725" s="19" t="str">
        <f>IFERROR(__xludf.DUMMYFUNCTION("""COMPUTED_VALUE"""),"BLACK")</f>
        <v>BLACK</v>
      </c>
      <c r="G1725" s="20" t="str">
        <f>IFERROR(__xludf.DUMMYFUNCTION("""COMPUTED_VALUE"""),"Tap 6 Clone (10/15/2021)")</f>
        <v>Tap 6 Clone (10/15/2021)</v>
      </c>
      <c r="H1725" s="19"/>
    </row>
    <row r="1726">
      <c r="A1726" s="9"/>
      <c r="B1726" s="15"/>
      <c r="C1726" s="9">
        <f>IFERROR(__xludf.DUMMYFUNCTION("""COMPUTED_VALUE"""),44493.6988599537)</f>
        <v>44493.69886</v>
      </c>
      <c r="D1726" s="15">
        <f>IFERROR(__xludf.DUMMYFUNCTION("""COMPUTED_VALUE"""),1.022)</f>
        <v>1.022</v>
      </c>
      <c r="E1726" s="16">
        <f>IFERROR(__xludf.DUMMYFUNCTION("""COMPUTED_VALUE"""),64.0)</f>
        <v>64</v>
      </c>
      <c r="F1726" s="19" t="str">
        <f>IFERROR(__xludf.DUMMYFUNCTION("""COMPUTED_VALUE"""),"BLACK")</f>
        <v>BLACK</v>
      </c>
      <c r="G1726" s="20" t="str">
        <f>IFERROR(__xludf.DUMMYFUNCTION("""COMPUTED_VALUE"""),"Tap 6 Clone (10/15/2021)")</f>
        <v>Tap 6 Clone (10/15/2021)</v>
      </c>
      <c r="H1726" s="19"/>
    </row>
    <row r="1727">
      <c r="A1727" s="9"/>
      <c r="B1727" s="15"/>
      <c r="C1727" s="9">
        <f>IFERROR(__xludf.DUMMYFUNCTION("""COMPUTED_VALUE"""),44493.6884387152)</f>
        <v>44493.68844</v>
      </c>
      <c r="D1727" s="15">
        <f>IFERROR(__xludf.DUMMYFUNCTION("""COMPUTED_VALUE"""),1.023)</f>
        <v>1.023</v>
      </c>
      <c r="E1727" s="16">
        <f>IFERROR(__xludf.DUMMYFUNCTION("""COMPUTED_VALUE"""),64.0)</f>
        <v>64</v>
      </c>
      <c r="F1727" s="19" t="str">
        <f>IFERROR(__xludf.DUMMYFUNCTION("""COMPUTED_VALUE"""),"BLACK")</f>
        <v>BLACK</v>
      </c>
      <c r="G1727" s="20" t="str">
        <f>IFERROR(__xludf.DUMMYFUNCTION("""COMPUTED_VALUE"""),"Tap 6 Clone (10/15/2021)")</f>
        <v>Tap 6 Clone (10/15/2021)</v>
      </c>
      <c r="H1727" s="19"/>
    </row>
    <row r="1728">
      <c r="A1728" s="9"/>
      <c r="B1728" s="15"/>
      <c r="C1728" s="9">
        <f>IFERROR(__xludf.DUMMYFUNCTION("""COMPUTED_VALUE"""),44493.6780172106)</f>
        <v>44493.67802</v>
      </c>
      <c r="D1728" s="15">
        <f>IFERROR(__xludf.DUMMYFUNCTION("""COMPUTED_VALUE"""),1.024)</f>
        <v>1.024</v>
      </c>
      <c r="E1728" s="16">
        <f>IFERROR(__xludf.DUMMYFUNCTION("""COMPUTED_VALUE"""),64.0)</f>
        <v>64</v>
      </c>
      <c r="F1728" s="19" t="str">
        <f>IFERROR(__xludf.DUMMYFUNCTION("""COMPUTED_VALUE"""),"BLACK")</f>
        <v>BLACK</v>
      </c>
      <c r="G1728" s="20" t="str">
        <f>IFERROR(__xludf.DUMMYFUNCTION("""COMPUTED_VALUE"""),"Tap 6 Clone (10/15/2021)")</f>
        <v>Tap 6 Clone (10/15/2021)</v>
      </c>
      <c r="H1728" s="19"/>
    </row>
    <row r="1729">
      <c r="A1729" s="9"/>
      <c r="B1729" s="15"/>
      <c r="C1729" s="9">
        <f>IFERROR(__xludf.DUMMYFUNCTION("""COMPUTED_VALUE"""),44493.667595625)</f>
        <v>44493.6676</v>
      </c>
      <c r="D1729" s="15">
        <f>IFERROR(__xludf.DUMMYFUNCTION("""COMPUTED_VALUE"""),1.024)</f>
        <v>1.024</v>
      </c>
      <c r="E1729" s="16">
        <f>IFERROR(__xludf.DUMMYFUNCTION("""COMPUTED_VALUE"""),64.0)</f>
        <v>64</v>
      </c>
      <c r="F1729" s="19" t="str">
        <f>IFERROR(__xludf.DUMMYFUNCTION("""COMPUTED_VALUE"""),"BLACK")</f>
        <v>BLACK</v>
      </c>
      <c r="G1729" s="20" t="str">
        <f>IFERROR(__xludf.DUMMYFUNCTION("""COMPUTED_VALUE"""),"Tap 6 Clone (10/15/2021)")</f>
        <v>Tap 6 Clone (10/15/2021)</v>
      </c>
      <c r="H1729" s="19"/>
    </row>
    <row r="1730">
      <c r="A1730" s="9"/>
      <c r="B1730" s="15"/>
      <c r="C1730" s="9">
        <f>IFERROR(__xludf.DUMMYFUNCTION("""COMPUTED_VALUE"""),44493.6571765393)</f>
        <v>44493.65718</v>
      </c>
      <c r="D1730" s="15">
        <f>IFERROR(__xludf.DUMMYFUNCTION("""COMPUTED_VALUE"""),1.025)</f>
        <v>1.025</v>
      </c>
      <c r="E1730" s="16">
        <f>IFERROR(__xludf.DUMMYFUNCTION("""COMPUTED_VALUE"""),64.0)</f>
        <v>64</v>
      </c>
      <c r="F1730" s="19" t="str">
        <f>IFERROR(__xludf.DUMMYFUNCTION("""COMPUTED_VALUE"""),"BLACK")</f>
        <v>BLACK</v>
      </c>
      <c r="G1730" s="20" t="str">
        <f>IFERROR(__xludf.DUMMYFUNCTION("""COMPUTED_VALUE"""),"Tap 6 Clone (10/15/2021)")</f>
        <v>Tap 6 Clone (10/15/2021)</v>
      </c>
      <c r="H1730" s="19"/>
    </row>
    <row r="1731">
      <c r="A1731" s="9"/>
      <c r="B1731" s="15"/>
      <c r="C1731" s="9">
        <f>IFERROR(__xludf.DUMMYFUNCTION("""COMPUTED_VALUE"""),44493.646753993)</f>
        <v>44493.64675</v>
      </c>
      <c r="D1731" s="15">
        <f>IFERROR(__xludf.DUMMYFUNCTION("""COMPUTED_VALUE"""),1.024)</f>
        <v>1.024</v>
      </c>
      <c r="E1731" s="16">
        <f>IFERROR(__xludf.DUMMYFUNCTION("""COMPUTED_VALUE"""),64.0)</f>
        <v>64</v>
      </c>
      <c r="F1731" s="19" t="str">
        <f>IFERROR(__xludf.DUMMYFUNCTION("""COMPUTED_VALUE"""),"BLACK")</f>
        <v>BLACK</v>
      </c>
      <c r="G1731" s="20" t="str">
        <f>IFERROR(__xludf.DUMMYFUNCTION("""COMPUTED_VALUE"""),"Tap 6 Clone (10/15/2021)")</f>
        <v>Tap 6 Clone (10/15/2021)</v>
      </c>
      <c r="H1731" s="19"/>
    </row>
    <row r="1732">
      <c r="A1732" s="9"/>
      <c r="B1732" s="15"/>
      <c r="C1732" s="9">
        <f>IFERROR(__xludf.DUMMYFUNCTION("""COMPUTED_VALUE"""),44493.6363323148)</f>
        <v>44493.63633</v>
      </c>
      <c r="D1732" s="15">
        <f>IFERROR(__xludf.DUMMYFUNCTION("""COMPUTED_VALUE"""),1.024)</f>
        <v>1.024</v>
      </c>
      <c r="E1732" s="16">
        <f>IFERROR(__xludf.DUMMYFUNCTION("""COMPUTED_VALUE"""),64.0)</f>
        <v>64</v>
      </c>
      <c r="F1732" s="19" t="str">
        <f>IFERROR(__xludf.DUMMYFUNCTION("""COMPUTED_VALUE"""),"BLACK")</f>
        <v>BLACK</v>
      </c>
      <c r="G1732" s="20" t="str">
        <f>IFERROR(__xludf.DUMMYFUNCTION("""COMPUTED_VALUE"""),"Tap 6 Clone (10/15/2021)")</f>
        <v>Tap 6 Clone (10/15/2021)</v>
      </c>
      <c r="H1732" s="19"/>
    </row>
    <row r="1733">
      <c r="A1733" s="9"/>
      <c r="B1733" s="15"/>
      <c r="C1733" s="9">
        <f>IFERROR(__xludf.DUMMYFUNCTION("""COMPUTED_VALUE"""),44493.6259102777)</f>
        <v>44493.62591</v>
      </c>
      <c r="D1733" s="15">
        <f>IFERROR(__xludf.DUMMYFUNCTION("""COMPUTED_VALUE"""),1.024)</f>
        <v>1.024</v>
      </c>
      <c r="E1733" s="16">
        <f>IFERROR(__xludf.DUMMYFUNCTION("""COMPUTED_VALUE"""),64.0)</f>
        <v>64</v>
      </c>
      <c r="F1733" s="19" t="str">
        <f>IFERROR(__xludf.DUMMYFUNCTION("""COMPUTED_VALUE"""),"BLACK")</f>
        <v>BLACK</v>
      </c>
      <c r="G1733" s="20" t="str">
        <f>IFERROR(__xludf.DUMMYFUNCTION("""COMPUTED_VALUE"""),"Tap 6 Clone (10/15/2021)")</f>
        <v>Tap 6 Clone (10/15/2021)</v>
      </c>
      <c r="H1733" s="19"/>
    </row>
    <row r="1734">
      <c r="A1734" s="9"/>
      <c r="B1734" s="15"/>
      <c r="C1734" s="9">
        <f>IFERROR(__xludf.DUMMYFUNCTION("""COMPUTED_VALUE"""),44493.6154903587)</f>
        <v>44493.61549</v>
      </c>
      <c r="D1734" s="15">
        <f>IFERROR(__xludf.DUMMYFUNCTION("""COMPUTED_VALUE"""),1.024)</f>
        <v>1.024</v>
      </c>
      <c r="E1734" s="16">
        <f>IFERROR(__xludf.DUMMYFUNCTION("""COMPUTED_VALUE"""),64.0)</f>
        <v>64</v>
      </c>
      <c r="F1734" s="19" t="str">
        <f>IFERROR(__xludf.DUMMYFUNCTION("""COMPUTED_VALUE"""),"BLACK")</f>
        <v>BLACK</v>
      </c>
      <c r="G1734" s="20" t="str">
        <f>IFERROR(__xludf.DUMMYFUNCTION("""COMPUTED_VALUE"""),"Tap 6 Clone (10/15/2021)")</f>
        <v>Tap 6 Clone (10/15/2021)</v>
      </c>
      <c r="H1734" s="19"/>
    </row>
    <row r="1735">
      <c r="A1735" s="9"/>
      <c r="B1735" s="15"/>
      <c r="C1735" s="9">
        <f>IFERROR(__xludf.DUMMYFUNCTION("""COMPUTED_VALUE"""),44493.605069074)</f>
        <v>44493.60507</v>
      </c>
      <c r="D1735" s="15">
        <f>IFERROR(__xludf.DUMMYFUNCTION("""COMPUTED_VALUE"""),1.024)</f>
        <v>1.024</v>
      </c>
      <c r="E1735" s="16">
        <f>IFERROR(__xludf.DUMMYFUNCTION("""COMPUTED_VALUE"""),64.0)</f>
        <v>64</v>
      </c>
      <c r="F1735" s="19" t="str">
        <f>IFERROR(__xludf.DUMMYFUNCTION("""COMPUTED_VALUE"""),"BLACK")</f>
        <v>BLACK</v>
      </c>
      <c r="G1735" s="20" t="str">
        <f>IFERROR(__xludf.DUMMYFUNCTION("""COMPUTED_VALUE"""),"Tap 6 Clone (10/15/2021)")</f>
        <v>Tap 6 Clone (10/15/2021)</v>
      </c>
      <c r="H1735" s="19"/>
    </row>
    <row r="1736">
      <c r="A1736" s="9"/>
      <c r="B1736" s="15"/>
      <c r="C1736" s="9">
        <f>IFERROR(__xludf.DUMMYFUNCTION("""COMPUTED_VALUE"""),44493.5946466319)</f>
        <v>44493.59465</v>
      </c>
      <c r="D1736" s="15">
        <f>IFERROR(__xludf.DUMMYFUNCTION("""COMPUTED_VALUE"""),1.024)</f>
        <v>1.024</v>
      </c>
      <c r="E1736" s="16">
        <f>IFERROR(__xludf.DUMMYFUNCTION("""COMPUTED_VALUE"""),64.0)</f>
        <v>64</v>
      </c>
      <c r="F1736" s="19" t="str">
        <f>IFERROR(__xludf.DUMMYFUNCTION("""COMPUTED_VALUE"""),"BLACK")</f>
        <v>BLACK</v>
      </c>
      <c r="G1736" s="20" t="str">
        <f>IFERROR(__xludf.DUMMYFUNCTION("""COMPUTED_VALUE"""),"Tap 6 Clone (10/15/2021)")</f>
        <v>Tap 6 Clone (10/15/2021)</v>
      </c>
      <c r="H1736" s="19"/>
    </row>
    <row r="1737">
      <c r="A1737" s="9"/>
      <c r="B1737" s="15"/>
      <c r="C1737" s="9">
        <f>IFERROR(__xludf.DUMMYFUNCTION("""COMPUTED_VALUE"""),44493.5842264236)</f>
        <v>44493.58423</v>
      </c>
      <c r="D1737" s="15">
        <f>IFERROR(__xludf.DUMMYFUNCTION("""COMPUTED_VALUE"""),1.023)</f>
        <v>1.023</v>
      </c>
      <c r="E1737" s="16">
        <f>IFERROR(__xludf.DUMMYFUNCTION("""COMPUTED_VALUE"""),64.0)</f>
        <v>64</v>
      </c>
      <c r="F1737" s="19" t="str">
        <f>IFERROR(__xludf.DUMMYFUNCTION("""COMPUTED_VALUE"""),"BLACK")</f>
        <v>BLACK</v>
      </c>
      <c r="G1737" s="20" t="str">
        <f>IFERROR(__xludf.DUMMYFUNCTION("""COMPUTED_VALUE"""),"Tap 6 Clone (10/15/2021)")</f>
        <v>Tap 6 Clone (10/15/2021)</v>
      </c>
      <c r="H1737" s="19"/>
    </row>
    <row r="1738">
      <c r="A1738" s="9"/>
      <c r="B1738" s="15"/>
      <c r="C1738" s="9">
        <f>IFERROR(__xludf.DUMMYFUNCTION("""COMPUTED_VALUE"""),44493.5738063657)</f>
        <v>44493.57381</v>
      </c>
      <c r="D1738" s="15">
        <f>IFERROR(__xludf.DUMMYFUNCTION("""COMPUTED_VALUE"""),1.023)</f>
        <v>1.023</v>
      </c>
      <c r="E1738" s="16">
        <f>IFERROR(__xludf.DUMMYFUNCTION("""COMPUTED_VALUE"""),64.0)</f>
        <v>64</v>
      </c>
      <c r="F1738" s="19" t="str">
        <f>IFERROR(__xludf.DUMMYFUNCTION("""COMPUTED_VALUE"""),"BLACK")</f>
        <v>BLACK</v>
      </c>
      <c r="G1738" s="20" t="str">
        <f>IFERROR(__xludf.DUMMYFUNCTION("""COMPUTED_VALUE"""),"Tap 6 Clone (10/15/2021)")</f>
        <v>Tap 6 Clone (10/15/2021)</v>
      </c>
      <c r="H1738" s="19"/>
    </row>
    <row r="1739">
      <c r="A1739" s="9"/>
      <c r="B1739" s="15"/>
      <c r="C1739" s="9">
        <f>IFERROR(__xludf.DUMMYFUNCTION("""COMPUTED_VALUE"""),44493.5633838194)</f>
        <v>44493.56338</v>
      </c>
      <c r="D1739" s="15">
        <f>IFERROR(__xludf.DUMMYFUNCTION("""COMPUTED_VALUE"""),1.024)</f>
        <v>1.024</v>
      </c>
      <c r="E1739" s="16">
        <f>IFERROR(__xludf.DUMMYFUNCTION("""COMPUTED_VALUE"""),64.0)</f>
        <v>64</v>
      </c>
      <c r="F1739" s="19" t="str">
        <f>IFERROR(__xludf.DUMMYFUNCTION("""COMPUTED_VALUE"""),"BLACK")</f>
        <v>BLACK</v>
      </c>
      <c r="G1739" s="20" t="str">
        <f>IFERROR(__xludf.DUMMYFUNCTION("""COMPUTED_VALUE"""),"Tap 6 Clone (10/15/2021)")</f>
        <v>Tap 6 Clone (10/15/2021)</v>
      </c>
      <c r="H1739" s="19"/>
    </row>
    <row r="1740">
      <c r="A1740" s="9"/>
      <c r="B1740" s="15"/>
      <c r="C1740" s="9">
        <f>IFERROR(__xludf.DUMMYFUNCTION("""COMPUTED_VALUE"""),44493.5529629861)</f>
        <v>44493.55296</v>
      </c>
      <c r="D1740" s="15">
        <f>IFERROR(__xludf.DUMMYFUNCTION("""COMPUTED_VALUE"""),1.024)</f>
        <v>1.024</v>
      </c>
      <c r="E1740" s="16">
        <f>IFERROR(__xludf.DUMMYFUNCTION("""COMPUTED_VALUE"""),64.0)</f>
        <v>64</v>
      </c>
      <c r="F1740" s="19" t="str">
        <f>IFERROR(__xludf.DUMMYFUNCTION("""COMPUTED_VALUE"""),"BLACK")</f>
        <v>BLACK</v>
      </c>
      <c r="G1740" s="20" t="str">
        <f>IFERROR(__xludf.DUMMYFUNCTION("""COMPUTED_VALUE"""),"Tap 6 Clone (10/15/2021)")</f>
        <v>Tap 6 Clone (10/15/2021)</v>
      </c>
      <c r="H1740" s="19"/>
    </row>
    <row r="1741">
      <c r="A1741" s="9"/>
      <c r="B1741" s="15"/>
      <c r="C1741" s="9">
        <f>IFERROR(__xludf.DUMMYFUNCTION("""COMPUTED_VALUE"""),44493.542542743)</f>
        <v>44493.54254</v>
      </c>
      <c r="D1741" s="15">
        <f>IFERROR(__xludf.DUMMYFUNCTION("""COMPUTED_VALUE"""),1.024)</f>
        <v>1.024</v>
      </c>
      <c r="E1741" s="16">
        <f>IFERROR(__xludf.DUMMYFUNCTION("""COMPUTED_VALUE"""),64.0)</f>
        <v>64</v>
      </c>
      <c r="F1741" s="19" t="str">
        <f>IFERROR(__xludf.DUMMYFUNCTION("""COMPUTED_VALUE"""),"BLACK")</f>
        <v>BLACK</v>
      </c>
      <c r="G1741" s="20" t="str">
        <f>IFERROR(__xludf.DUMMYFUNCTION("""COMPUTED_VALUE"""),"Tap 6 Clone (10/15/2021)")</f>
        <v>Tap 6 Clone (10/15/2021)</v>
      </c>
      <c r="H1741" s="19"/>
    </row>
    <row r="1742">
      <c r="A1742" s="9"/>
      <c r="B1742" s="15"/>
      <c r="C1742" s="9">
        <f>IFERROR(__xludf.DUMMYFUNCTION("""COMPUTED_VALUE"""),44493.5321212384)</f>
        <v>44493.53212</v>
      </c>
      <c r="D1742" s="15">
        <f>IFERROR(__xludf.DUMMYFUNCTION("""COMPUTED_VALUE"""),1.024)</f>
        <v>1.024</v>
      </c>
      <c r="E1742" s="16">
        <f>IFERROR(__xludf.DUMMYFUNCTION("""COMPUTED_VALUE"""),64.0)</f>
        <v>64</v>
      </c>
      <c r="F1742" s="19" t="str">
        <f>IFERROR(__xludf.DUMMYFUNCTION("""COMPUTED_VALUE"""),"BLACK")</f>
        <v>BLACK</v>
      </c>
      <c r="G1742" s="20" t="str">
        <f>IFERROR(__xludf.DUMMYFUNCTION("""COMPUTED_VALUE"""),"Tap 6 Clone (10/15/2021)")</f>
        <v>Tap 6 Clone (10/15/2021)</v>
      </c>
      <c r="H1742" s="19"/>
    </row>
    <row r="1743">
      <c r="A1743" s="9"/>
      <c r="B1743" s="15"/>
      <c r="C1743" s="9">
        <f>IFERROR(__xludf.DUMMYFUNCTION("""COMPUTED_VALUE"""),44493.5217008912)</f>
        <v>44493.5217</v>
      </c>
      <c r="D1743" s="15">
        <f>IFERROR(__xludf.DUMMYFUNCTION("""COMPUTED_VALUE"""),1.024)</f>
        <v>1.024</v>
      </c>
      <c r="E1743" s="16">
        <f>IFERROR(__xludf.DUMMYFUNCTION("""COMPUTED_VALUE"""),64.0)</f>
        <v>64</v>
      </c>
      <c r="F1743" s="19" t="str">
        <f>IFERROR(__xludf.DUMMYFUNCTION("""COMPUTED_VALUE"""),"BLACK")</f>
        <v>BLACK</v>
      </c>
      <c r="G1743" s="20" t="str">
        <f>IFERROR(__xludf.DUMMYFUNCTION("""COMPUTED_VALUE"""),"Tap 6 Clone (10/15/2021)")</f>
        <v>Tap 6 Clone (10/15/2021)</v>
      </c>
      <c r="H1743" s="19"/>
    </row>
    <row r="1744">
      <c r="A1744" s="9"/>
      <c r="B1744" s="15"/>
      <c r="C1744" s="9">
        <f>IFERROR(__xludf.DUMMYFUNCTION("""COMPUTED_VALUE"""),44493.5112567129)</f>
        <v>44493.51126</v>
      </c>
      <c r="D1744" s="15">
        <f>IFERROR(__xludf.DUMMYFUNCTION("""COMPUTED_VALUE"""),1.024)</f>
        <v>1.024</v>
      </c>
      <c r="E1744" s="16">
        <f>IFERROR(__xludf.DUMMYFUNCTION("""COMPUTED_VALUE"""),64.0)</f>
        <v>64</v>
      </c>
      <c r="F1744" s="19" t="str">
        <f>IFERROR(__xludf.DUMMYFUNCTION("""COMPUTED_VALUE"""),"BLACK")</f>
        <v>BLACK</v>
      </c>
      <c r="G1744" s="20" t="str">
        <f>IFERROR(__xludf.DUMMYFUNCTION("""COMPUTED_VALUE"""),"Tap 6 Clone (10/15/2021)")</f>
        <v>Tap 6 Clone (10/15/2021)</v>
      </c>
      <c r="H1744" s="19"/>
    </row>
    <row r="1745">
      <c r="A1745" s="9"/>
      <c r="B1745" s="15"/>
      <c r="C1745" s="9">
        <f>IFERROR(__xludf.DUMMYFUNCTION("""COMPUTED_VALUE"""),44493.5008351273)</f>
        <v>44493.50084</v>
      </c>
      <c r="D1745" s="15">
        <f>IFERROR(__xludf.DUMMYFUNCTION("""COMPUTED_VALUE"""),1.024)</f>
        <v>1.024</v>
      </c>
      <c r="E1745" s="16">
        <f>IFERROR(__xludf.DUMMYFUNCTION("""COMPUTED_VALUE"""),64.0)</f>
        <v>64</v>
      </c>
      <c r="F1745" s="19" t="str">
        <f>IFERROR(__xludf.DUMMYFUNCTION("""COMPUTED_VALUE"""),"BLACK")</f>
        <v>BLACK</v>
      </c>
      <c r="G1745" s="20" t="str">
        <f>IFERROR(__xludf.DUMMYFUNCTION("""COMPUTED_VALUE"""),"Tap 6 Clone (10/15/2021)")</f>
        <v>Tap 6 Clone (10/15/2021)</v>
      </c>
      <c r="H1745" s="19"/>
    </row>
    <row r="1746">
      <c r="A1746" s="9"/>
      <c r="B1746" s="15"/>
      <c r="C1746" s="9">
        <f>IFERROR(__xludf.DUMMYFUNCTION("""COMPUTED_VALUE"""),44493.490402581)</f>
        <v>44493.4904</v>
      </c>
      <c r="D1746" s="15">
        <f>IFERROR(__xludf.DUMMYFUNCTION("""COMPUTED_VALUE"""),1.024)</f>
        <v>1.024</v>
      </c>
      <c r="E1746" s="16">
        <f>IFERROR(__xludf.DUMMYFUNCTION("""COMPUTED_VALUE"""),64.0)</f>
        <v>64</v>
      </c>
      <c r="F1746" s="19" t="str">
        <f>IFERROR(__xludf.DUMMYFUNCTION("""COMPUTED_VALUE"""),"BLACK")</f>
        <v>BLACK</v>
      </c>
      <c r="G1746" s="20" t="str">
        <f>IFERROR(__xludf.DUMMYFUNCTION("""COMPUTED_VALUE"""),"Tap 6 Clone (10/15/2021)")</f>
        <v>Tap 6 Clone (10/15/2021)</v>
      </c>
      <c r="H1746" s="19"/>
    </row>
    <row r="1747">
      <c r="A1747" s="9"/>
      <c r="B1747" s="15"/>
      <c r="C1747" s="9">
        <f>IFERROR(__xludf.DUMMYFUNCTION("""COMPUTED_VALUE"""),44493.4799828588)</f>
        <v>44493.47998</v>
      </c>
      <c r="D1747" s="15">
        <f>IFERROR(__xludf.DUMMYFUNCTION("""COMPUTED_VALUE"""),1.024)</f>
        <v>1.024</v>
      </c>
      <c r="E1747" s="16">
        <f>IFERROR(__xludf.DUMMYFUNCTION("""COMPUTED_VALUE"""),64.0)</f>
        <v>64</v>
      </c>
      <c r="F1747" s="19" t="str">
        <f>IFERROR(__xludf.DUMMYFUNCTION("""COMPUTED_VALUE"""),"BLACK")</f>
        <v>BLACK</v>
      </c>
      <c r="G1747" s="20" t="str">
        <f>IFERROR(__xludf.DUMMYFUNCTION("""COMPUTED_VALUE"""),"Tap 6 Clone (10/15/2021)")</f>
        <v>Tap 6 Clone (10/15/2021)</v>
      </c>
      <c r="H1747" s="19"/>
    </row>
    <row r="1748">
      <c r="A1748" s="9"/>
      <c r="B1748" s="15"/>
      <c r="C1748" s="9">
        <f>IFERROR(__xludf.DUMMYFUNCTION("""COMPUTED_VALUE"""),44493.4695616319)</f>
        <v>44493.46956</v>
      </c>
      <c r="D1748" s="15">
        <f>IFERROR(__xludf.DUMMYFUNCTION("""COMPUTED_VALUE"""),1.023)</f>
        <v>1.023</v>
      </c>
      <c r="E1748" s="16">
        <f>IFERROR(__xludf.DUMMYFUNCTION("""COMPUTED_VALUE"""),64.0)</f>
        <v>64</v>
      </c>
      <c r="F1748" s="19" t="str">
        <f>IFERROR(__xludf.DUMMYFUNCTION("""COMPUTED_VALUE"""),"BLACK")</f>
        <v>BLACK</v>
      </c>
      <c r="G1748" s="20" t="str">
        <f>IFERROR(__xludf.DUMMYFUNCTION("""COMPUTED_VALUE"""),"Tap 6 Clone (10/15/2021)")</f>
        <v>Tap 6 Clone (10/15/2021)</v>
      </c>
      <c r="H1748" s="19"/>
    </row>
    <row r="1749">
      <c r="A1749" s="9"/>
      <c r="B1749" s="15"/>
      <c r="C1749" s="9">
        <f>IFERROR(__xludf.DUMMYFUNCTION("""COMPUTED_VALUE"""),44493.4591388541)</f>
        <v>44493.45914</v>
      </c>
      <c r="D1749" s="15">
        <f>IFERROR(__xludf.DUMMYFUNCTION("""COMPUTED_VALUE"""),1.024)</f>
        <v>1.024</v>
      </c>
      <c r="E1749" s="16">
        <f>IFERROR(__xludf.DUMMYFUNCTION("""COMPUTED_VALUE"""),64.0)</f>
        <v>64</v>
      </c>
      <c r="F1749" s="19" t="str">
        <f>IFERROR(__xludf.DUMMYFUNCTION("""COMPUTED_VALUE"""),"BLACK")</f>
        <v>BLACK</v>
      </c>
      <c r="G1749" s="20" t="str">
        <f>IFERROR(__xludf.DUMMYFUNCTION("""COMPUTED_VALUE"""),"Tap 6 Clone (10/15/2021)")</f>
        <v>Tap 6 Clone (10/15/2021)</v>
      </c>
      <c r="H1749" s="19"/>
    </row>
    <row r="1750">
      <c r="A1750" s="9"/>
      <c r="B1750" s="15"/>
      <c r="C1750" s="9">
        <f>IFERROR(__xludf.DUMMYFUNCTION("""COMPUTED_VALUE"""),44493.4487162615)</f>
        <v>44493.44872</v>
      </c>
      <c r="D1750" s="15">
        <f>IFERROR(__xludf.DUMMYFUNCTION("""COMPUTED_VALUE"""),1.023)</f>
        <v>1.023</v>
      </c>
      <c r="E1750" s="16">
        <f>IFERROR(__xludf.DUMMYFUNCTION("""COMPUTED_VALUE"""),64.0)</f>
        <v>64</v>
      </c>
      <c r="F1750" s="19" t="str">
        <f>IFERROR(__xludf.DUMMYFUNCTION("""COMPUTED_VALUE"""),"BLACK")</f>
        <v>BLACK</v>
      </c>
      <c r="G1750" s="20" t="str">
        <f>IFERROR(__xludf.DUMMYFUNCTION("""COMPUTED_VALUE"""),"Tap 6 Clone (10/15/2021)")</f>
        <v>Tap 6 Clone (10/15/2021)</v>
      </c>
      <c r="H1750" s="19"/>
    </row>
    <row r="1751">
      <c r="A1751" s="9"/>
      <c r="B1751" s="15"/>
      <c r="C1751" s="9">
        <f>IFERROR(__xludf.DUMMYFUNCTION("""COMPUTED_VALUE"""),44493.4382943287)</f>
        <v>44493.43829</v>
      </c>
      <c r="D1751" s="15">
        <f>IFERROR(__xludf.DUMMYFUNCTION("""COMPUTED_VALUE"""),1.024)</f>
        <v>1.024</v>
      </c>
      <c r="E1751" s="16">
        <f>IFERROR(__xludf.DUMMYFUNCTION("""COMPUTED_VALUE"""),64.0)</f>
        <v>64</v>
      </c>
      <c r="F1751" s="19" t="str">
        <f>IFERROR(__xludf.DUMMYFUNCTION("""COMPUTED_VALUE"""),"BLACK")</f>
        <v>BLACK</v>
      </c>
      <c r="G1751" s="20" t="str">
        <f>IFERROR(__xludf.DUMMYFUNCTION("""COMPUTED_VALUE"""),"Tap 6 Clone (10/15/2021)")</f>
        <v>Tap 6 Clone (10/15/2021)</v>
      </c>
      <c r="H1751" s="19"/>
    </row>
    <row r="1752">
      <c r="A1752" s="9"/>
      <c r="B1752" s="15"/>
      <c r="C1752" s="9">
        <f>IFERROR(__xludf.DUMMYFUNCTION("""COMPUTED_VALUE"""),44493.4278502662)</f>
        <v>44493.42785</v>
      </c>
      <c r="D1752" s="15">
        <f>IFERROR(__xludf.DUMMYFUNCTION("""COMPUTED_VALUE"""),1.025)</f>
        <v>1.025</v>
      </c>
      <c r="E1752" s="16">
        <f>IFERROR(__xludf.DUMMYFUNCTION("""COMPUTED_VALUE"""),64.0)</f>
        <v>64</v>
      </c>
      <c r="F1752" s="19" t="str">
        <f>IFERROR(__xludf.DUMMYFUNCTION("""COMPUTED_VALUE"""),"BLACK")</f>
        <v>BLACK</v>
      </c>
      <c r="G1752" s="20" t="str">
        <f>IFERROR(__xludf.DUMMYFUNCTION("""COMPUTED_VALUE"""),"Tap 6 Clone (10/15/2021)")</f>
        <v>Tap 6 Clone (10/15/2021)</v>
      </c>
      <c r="H1752" s="19"/>
    </row>
    <row r="1753">
      <c r="A1753" s="9"/>
      <c r="B1753" s="15"/>
      <c r="C1753" s="9">
        <f>IFERROR(__xludf.DUMMYFUNCTION("""COMPUTED_VALUE"""),44493.4174297222)</f>
        <v>44493.41743</v>
      </c>
      <c r="D1753" s="15">
        <f>IFERROR(__xludf.DUMMYFUNCTION("""COMPUTED_VALUE"""),1.025)</f>
        <v>1.025</v>
      </c>
      <c r="E1753" s="16">
        <f>IFERROR(__xludf.DUMMYFUNCTION("""COMPUTED_VALUE"""),64.0)</f>
        <v>64</v>
      </c>
      <c r="F1753" s="19" t="str">
        <f>IFERROR(__xludf.DUMMYFUNCTION("""COMPUTED_VALUE"""),"BLACK")</f>
        <v>BLACK</v>
      </c>
      <c r="G1753" s="20" t="str">
        <f>IFERROR(__xludf.DUMMYFUNCTION("""COMPUTED_VALUE"""),"Tap 6 Clone (10/15/2021)")</f>
        <v>Tap 6 Clone (10/15/2021)</v>
      </c>
      <c r="H1753" s="19"/>
    </row>
    <row r="1754">
      <c r="A1754" s="9"/>
      <c r="B1754" s="15"/>
      <c r="C1754" s="9">
        <f>IFERROR(__xludf.DUMMYFUNCTION("""COMPUTED_VALUE"""),44493.4070091319)</f>
        <v>44493.40701</v>
      </c>
      <c r="D1754" s="15">
        <f>IFERROR(__xludf.DUMMYFUNCTION("""COMPUTED_VALUE"""),1.024)</f>
        <v>1.024</v>
      </c>
      <c r="E1754" s="16">
        <f>IFERROR(__xludf.DUMMYFUNCTION("""COMPUTED_VALUE"""),64.0)</f>
        <v>64</v>
      </c>
      <c r="F1754" s="19" t="str">
        <f>IFERROR(__xludf.DUMMYFUNCTION("""COMPUTED_VALUE"""),"BLACK")</f>
        <v>BLACK</v>
      </c>
      <c r="G1754" s="20" t="str">
        <f>IFERROR(__xludf.DUMMYFUNCTION("""COMPUTED_VALUE"""),"Tap 6 Clone (10/15/2021)")</f>
        <v>Tap 6 Clone (10/15/2021)</v>
      </c>
      <c r="H1754" s="19"/>
    </row>
    <row r="1755">
      <c r="A1755" s="9"/>
      <c r="B1755" s="15"/>
      <c r="C1755" s="9">
        <f>IFERROR(__xludf.DUMMYFUNCTION("""COMPUTED_VALUE"""),44493.3965894907)</f>
        <v>44493.39659</v>
      </c>
      <c r="D1755" s="15">
        <f>IFERROR(__xludf.DUMMYFUNCTION("""COMPUTED_VALUE"""),1.024)</f>
        <v>1.024</v>
      </c>
      <c r="E1755" s="16">
        <f>IFERROR(__xludf.DUMMYFUNCTION("""COMPUTED_VALUE"""),64.0)</f>
        <v>64</v>
      </c>
      <c r="F1755" s="19" t="str">
        <f>IFERROR(__xludf.DUMMYFUNCTION("""COMPUTED_VALUE"""),"BLACK")</f>
        <v>BLACK</v>
      </c>
      <c r="G1755" s="20" t="str">
        <f>IFERROR(__xludf.DUMMYFUNCTION("""COMPUTED_VALUE"""),"Tap 6 Clone (10/15/2021)")</f>
        <v>Tap 6 Clone (10/15/2021)</v>
      </c>
      <c r="H1755" s="19"/>
    </row>
    <row r="1756">
      <c r="A1756" s="9"/>
      <c r="B1756" s="15"/>
      <c r="C1756" s="9">
        <f>IFERROR(__xludf.DUMMYFUNCTION("""COMPUTED_VALUE"""),44493.3861701273)</f>
        <v>44493.38617</v>
      </c>
      <c r="D1756" s="15">
        <f>IFERROR(__xludf.DUMMYFUNCTION("""COMPUTED_VALUE"""),1.024)</f>
        <v>1.024</v>
      </c>
      <c r="E1756" s="16">
        <f>IFERROR(__xludf.DUMMYFUNCTION("""COMPUTED_VALUE"""),64.0)</f>
        <v>64</v>
      </c>
      <c r="F1756" s="19" t="str">
        <f>IFERROR(__xludf.DUMMYFUNCTION("""COMPUTED_VALUE"""),"BLACK")</f>
        <v>BLACK</v>
      </c>
      <c r="G1756" s="20" t="str">
        <f>IFERROR(__xludf.DUMMYFUNCTION("""COMPUTED_VALUE"""),"Tap 6 Clone (10/15/2021)")</f>
        <v>Tap 6 Clone (10/15/2021)</v>
      </c>
      <c r="H1756" s="19"/>
    </row>
    <row r="1757">
      <c r="A1757" s="9"/>
      <c r="B1757" s="15"/>
      <c r="C1757" s="9">
        <f>IFERROR(__xludf.DUMMYFUNCTION("""COMPUTED_VALUE"""),44493.3757506365)</f>
        <v>44493.37575</v>
      </c>
      <c r="D1757" s="15">
        <f>IFERROR(__xludf.DUMMYFUNCTION("""COMPUTED_VALUE"""),1.024)</f>
        <v>1.024</v>
      </c>
      <c r="E1757" s="16">
        <f>IFERROR(__xludf.DUMMYFUNCTION("""COMPUTED_VALUE"""),64.0)</f>
        <v>64</v>
      </c>
      <c r="F1757" s="19" t="str">
        <f>IFERROR(__xludf.DUMMYFUNCTION("""COMPUTED_VALUE"""),"BLACK")</f>
        <v>BLACK</v>
      </c>
      <c r="G1757" s="20" t="str">
        <f>IFERROR(__xludf.DUMMYFUNCTION("""COMPUTED_VALUE"""),"Tap 6 Clone (10/15/2021)")</f>
        <v>Tap 6 Clone (10/15/2021)</v>
      </c>
      <c r="H1757" s="19"/>
    </row>
    <row r="1758">
      <c r="A1758" s="9"/>
      <c r="B1758" s="15"/>
      <c r="C1758" s="9">
        <f>IFERROR(__xludf.DUMMYFUNCTION("""COMPUTED_VALUE"""),44493.3653313194)</f>
        <v>44493.36533</v>
      </c>
      <c r="D1758" s="15">
        <f>IFERROR(__xludf.DUMMYFUNCTION("""COMPUTED_VALUE"""),1.024)</f>
        <v>1.024</v>
      </c>
      <c r="E1758" s="16">
        <f>IFERROR(__xludf.DUMMYFUNCTION("""COMPUTED_VALUE"""),64.0)</f>
        <v>64</v>
      </c>
      <c r="F1758" s="19" t="str">
        <f>IFERROR(__xludf.DUMMYFUNCTION("""COMPUTED_VALUE"""),"BLACK")</f>
        <v>BLACK</v>
      </c>
      <c r="G1758" s="20" t="str">
        <f>IFERROR(__xludf.DUMMYFUNCTION("""COMPUTED_VALUE"""),"Tap 6 Clone (10/15/2021)")</f>
        <v>Tap 6 Clone (10/15/2021)</v>
      </c>
      <c r="H1758" s="19"/>
    </row>
    <row r="1759">
      <c r="A1759" s="9"/>
      <c r="B1759" s="15"/>
      <c r="C1759" s="9">
        <f>IFERROR(__xludf.DUMMYFUNCTION("""COMPUTED_VALUE"""),44493.3548985532)</f>
        <v>44493.3549</v>
      </c>
      <c r="D1759" s="15">
        <f>IFERROR(__xludf.DUMMYFUNCTION("""COMPUTED_VALUE"""),1.023)</f>
        <v>1.023</v>
      </c>
      <c r="E1759" s="16">
        <f>IFERROR(__xludf.DUMMYFUNCTION("""COMPUTED_VALUE"""),63.0)</f>
        <v>63</v>
      </c>
      <c r="F1759" s="19" t="str">
        <f>IFERROR(__xludf.DUMMYFUNCTION("""COMPUTED_VALUE"""),"BLACK")</f>
        <v>BLACK</v>
      </c>
      <c r="G1759" s="20" t="str">
        <f>IFERROR(__xludf.DUMMYFUNCTION("""COMPUTED_VALUE"""),"Tap 6 Clone (10/15/2021)")</f>
        <v>Tap 6 Clone (10/15/2021)</v>
      </c>
      <c r="H1759" s="19"/>
    </row>
    <row r="1760">
      <c r="A1760" s="9"/>
      <c r="B1760" s="15"/>
      <c r="C1760" s="9">
        <f>IFERROR(__xludf.DUMMYFUNCTION("""COMPUTED_VALUE"""),44493.3444639814)</f>
        <v>44493.34446</v>
      </c>
      <c r="D1760" s="15">
        <f>IFERROR(__xludf.DUMMYFUNCTION("""COMPUTED_VALUE"""),1.023)</f>
        <v>1.023</v>
      </c>
      <c r="E1760" s="16">
        <f>IFERROR(__xludf.DUMMYFUNCTION("""COMPUTED_VALUE"""),63.0)</f>
        <v>63</v>
      </c>
      <c r="F1760" s="19" t="str">
        <f>IFERROR(__xludf.DUMMYFUNCTION("""COMPUTED_VALUE"""),"BLACK")</f>
        <v>BLACK</v>
      </c>
      <c r="G1760" s="20" t="str">
        <f>IFERROR(__xludf.DUMMYFUNCTION("""COMPUTED_VALUE"""),"Tap 6 Clone (10/15/2021)")</f>
        <v>Tap 6 Clone (10/15/2021)</v>
      </c>
      <c r="H1760" s="19"/>
    </row>
    <row r="1761">
      <c r="A1761" s="9"/>
      <c r="B1761" s="15"/>
      <c r="C1761" s="9">
        <f>IFERROR(__xludf.DUMMYFUNCTION("""COMPUTED_VALUE"""),44493.3340302893)</f>
        <v>44493.33403</v>
      </c>
      <c r="D1761" s="15">
        <f>IFERROR(__xludf.DUMMYFUNCTION("""COMPUTED_VALUE"""),1.024)</f>
        <v>1.024</v>
      </c>
      <c r="E1761" s="16">
        <f>IFERROR(__xludf.DUMMYFUNCTION("""COMPUTED_VALUE"""),64.0)</f>
        <v>64</v>
      </c>
      <c r="F1761" s="19" t="str">
        <f>IFERROR(__xludf.DUMMYFUNCTION("""COMPUTED_VALUE"""),"BLACK")</f>
        <v>BLACK</v>
      </c>
      <c r="G1761" s="20" t="str">
        <f>IFERROR(__xludf.DUMMYFUNCTION("""COMPUTED_VALUE"""),"Tap 6 Clone (10/15/2021)")</f>
        <v>Tap 6 Clone (10/15/2021)</v>
      </c>
      <c r="H1761" s="19"/>
    </row>
    <row r="1762">
      <c r="A1762" s="9"/>
      <c r="B1762" s="15"/>
      <c r="C1762" s="9">
        <f>IFERROR(__xludf.DUMMYFUNCTION("""COMPUTED_VALUE"""),44493.3236095601)</f>
        <v>44493.32361</v>
      </c>
      <c r="D1762" s="15">
        <f>IFERROR(__xludf.DUMMYFUNCTION("""COMPUTED_VALUE"""),1.024)</f>
        <v>1.024</v>
      </c>
      <c r="E1762" s="16">
        <f>IFERROR(__xludf.DUMMYFUNCTION("""COMPUTED_VALUE"""),63.0)</f>
        <v>63</v>
      </c>
      <c r="F1762" s="19" t="str">
        <f>IFERROR(__xludf.DUMMYFUNCTION("""COMPUTED_VALUE"""),"BLACK")</f>
        <v>BLACK</v>
      </c>
      <c r="G1762" s="20" t="str">
        <f>IFERROR(__xludf.DUMMYFUNCTION("""COMPUTED_VALUE"""),"Tap 6 Clone (10/15/2021)")</f>
        <v>Tap 6 Clone (10/15/2021)</v>
      </c>
      <c r="H1762" s="19"/>
    </row>
    <row r="1763">
      <c r="A1763" s="9"/>
      <c r="B1763" s="15"/>
      <c r="C1763" s="9">
        <f>IFERROR(__xludf.DUMMYFUNCTION("""COMPUTED_VALUE"""),44493.3131904051)</f>
        <v>44493.31319</v>
      </c>
      <c r="D1763" s="15">
        <f>IFERROR(__xludf.DUMMYFUNCTION("""COMPUTED_VALUE"""),1.024)</f>
        <v>1.024</v>
      </c>
      <c r="E1763" s="16">
        <f>IFERROR(__xludf.DUMMYFUNCTION("""COMPUTED_VALUE"""),63.0)</f>
        <v>63</v>
      </c>
      <c r="F1763" s="19" t="str">
        <f>IFERROR(__xludf.DUMMYFUNCTION("""COMPUTED_VALUE"""),"BLACK")</f>
        <v>BLACK</v>
      </c>
      <c r="G1763" s="20" t="str">
        <f>IFERROR(__xludf.DUMMYFUNCTION("""COMPUTED_VALUE"""),"Tap 6 Clone (10/15/2021)")</f>
        <v>Tap 6 Clone (10/15/2021)</v>
      </c>
      <c r="H1763" s="19"/>
    </row>
    <row r="1764">
      <c r="A1764" s="9"/>
      <c r="B1764" s="15"/>
      <c r="C1764" s="9">
        <f>IFERROR(__xludf.DUMMYFUNCTION("""COMPUTED_VALUE"""),44493.3027709838)</f>
        <v>44493.30277</v>
      </c>
      <c r="D1764" s="15">
        <f>IFERROR(__xludf.DUMMYFUNCTION("""COMPUTED_VALUE"""),1.023)</f>
        <v>1.023</v>
      </c>
      <c r="E1764" s="16">
        <f>IFERROR(__xludf.DUMMYFUNCTION("""COMPUTED_VALUE"""),63.0)</f>
        <v>63</v>
      </c>
      <c r="F1764" s="19" t="str">
        <f>IFERROR(__xludf.DUMMYFUNCTION("""COMPUTED_VALUE"""),"BLACK")</f>
        <v>BLACK</v>
      </c>
      <c r="G1764" s="20" t="str">
        <f>IFERROR(__xludf.DUMMYFUNCTION("""COMPUTED_VALUE"""),"Tap 6 Clone (10/15/2021)")</f>
        <v>Tap 6 Clone (10/15/2021)</v>
      </c>
      <c r="H1764" s="19"/>
    </row>
    <row r="1765">
      <c r="A1765" s="9"/>
      <c r="B1765" s="15"/>
      <c r="C1765" s="9">
        <f>IFERROR(__xludf.DUMMYFUNCTION("""COMPUTED_VALUE"""),44493.2923374768)</f>
        <v>44493.29234</v>
      </c>
      <c r="D1765" s="15">
        <f>IFERROR(__xludf.DUMMYFUNCTION("""COMPUTED_VALUE"""),1.024)</f>
        <v>1.024</v>
      </c>
      <c r="E1765" s="16">
        <f>IFERROR(__xludf.DUMMYFUNCTION("""COMPUTED_VALUE"""),63.0)</f>
        <v>63</v>
      </c>
      <c r="F1765" s="19" t="str">
        <f>IFERROR(__xludf.DUMMYFUNCTION("""COMPUTED_VALUE"""),"BLACK")</f>
        <v>BLACK</v>
      </c>
      <c r="G1765" s="20" t="str">
        <f>IFERROR(__xludf.DUMMYFUNCTION("""COMPUTED_VALUE"""),"Tap 6 Clone (10/15/2021)")</f>
        <v>Tap 6 Clone (10/15/2021)</v>
      </c>
      <c r="H1765" s="19"/>
    </row>
    <row r="1766">
      <c r="A1766" s="9"/>
      <c r="B1766" s="15"/>
      <c r="C1766" s="9">
        <f>IFERROR(__xludf.DUMMYFUNCTION("""COMPUTED_VALUE"""),44493.2819178009)</f>
        <v>44493.28192</v>
      </c>
      <c r="D1766" s="15">
        <f>IFERROR(__xludf.DUMMYFUNCTION("""COMPUTED_VALUE"""),1.025)</f>
        <v>1.025</v>
      </c>
      <c r="E1766" s="16">
        <f>IFERROR(__xludf.DUMMYFUNCTION("""COMPUTED_VALUE"""),63.0)</f>
        <v>63</v>
      </c>
      <c r="F1766" s="19" t="str">
        <f>IFERROR(__xludf.DUMMYFUNCTION("""COMPUTED_VALUE"""),"BLACK")</f>
        <v>BLACK</v>
      </c>
      <c r="G1766" s="20" t="str">
        <f>IFERROR(__xludf.DUMMYFUNCTION("""COMPUTED_VALUE"""),"Tap 6 Clone (10/15/2021)")</f>
        <v>Tap 6 Clone (10/15/2021)</v>
      </c>
      <c r="H1766" s="19"/>
    </row>
    <row r="1767">
      <c r="A1767" s="9"/>
      <c r="B1767" s="15"/>
      <c r="C1767" s="9">
        <f>IFERROR(__xludf.DUMMYFUNCTION("""COMPUTED_VALUE"""),44493.2714980787)</f>
        <v>44493.2715</v>
      </c>
      <c r="D1767" s="15">
        <f>IFERROR(__xludf.DUMMYFUNCTION("""COMPUTED_VALUE"""),1.024)</f>
        <v>1.024</v>
      </c>
      <c r="E1767" s="16">
        <f>IFERROR(__xludf.DUMMYFUNCTION("""COMPUTED_VALUE"""),63.0)</f>
        <v>63</v>
      </c>
      <c r="F1767" s="19" t="str">
        <f>IFERROR(__xludf.DUMMYFUNCTION("""COMPUTED_VALUE"""),"BLACK")</f>
        <v>BLACK</v>
      </c>
      <c r="G1767" s="20" t="str">
        <f>IFERROR(__xludf.DUMMYFUNCTION("""COMPUTED_VALUE"""),"Tap 6 Clone (10/15/2021)")</f>
        <v>Tap 6 Clone (10/15/2021)</v>
      </c>
      <c r="H1767" s="19"/>
    </row>
    <row r="1768">
      <c r="A1768" s="9"/>
      <c r="B1768" s="15"/>
      <c r="C1768" s="9">
        <f>IFERROR(__xludf.DUMMYFUNCTION("""COMPUTED_VALUE"""),44493.261077581)</f>
        <v>44493.26108</v>
      </c>
      <c r="D1768" s="15">
        <f>IFERROR(__xludf.DUMMYFUNCTION("""COMPUTED_VALUE"""),1.024)</f>
        <v>1.024</v>
      </c>
      <c r="E1768" s="16">
        <f>IFERROR(__xludf.DUMMYFUNCTION("""COMPUTED_VALUE"""),63.0)</f>
        <v>63</v>
      </c>
      <c r="F1768" s="19" t="str">
        <f>IFERROR(__xludf.DUMMYFUNCTION("""COMPUTED_VALUE"""),"BLACK")</f>
        <v>BLACK</v>
      </c>
      <c r="G1768" s="20" t="str">
        <f>IFERROR(__xludf.DUMMYFUNCTION("""COMPUTED_VALUE"""),"Tap 6 Clone (10/15/2021)")</f>
        <v>Tap 6 Clone (10/15/2021)</v>
      </c>
      <c r="H1768" s="19"/>
    </row>
    <row r="1769">
      <c r="A1769" s="9"/>
      <c r="B1769" s="15"/>
      <c r="C1769" s="9">
        <f>IFERROR(__xludf.DUMMYFUNCTION("""COMPUTED_VALUE"""),44493.2506568634)</f>
        <v>44493.25066</v>
      </c>
      <c r="D1769" s="15">
        <f>IFERROR(__xludf.DUMMYFUNCTION("""COMPUTED_VALUE"""),1.023)</f>
        <v>1.023</v>
      </c>
      <c r="E1769" s="16">
        <f>IFERROR(__xludf.DUMMYFUNCTION("""COMPUTED_VALUE"""),63.0)</f>
        <v>63</v>
      </c>
      <c r="F1769" s="19" t="str">
        <f>IFERROR(__xludf.DUMMYFUNCTION("""COMPUTED_VALUE"""),"BLACK")</f>
        <v>BLACK</v>
      </c>
      <c r="G1769" s="20" t="str">
        <f>IFERROR(__xludf.DUMMYFUNCTION("""COMPUTED_VALUE"""),"Tap 6 Clone (10/15/2021)")</f>
        <v>Tap 6 Clone (10/15/2021)</v>
      </c>
      <c r="H1769" s="19"/>
    </row>
    <row r="1770">
      <c r="A1770" s="9"/>
      <c r="B1770" s="15"/>
      <c r="C1770" s="9">
        <f>IFERROR(__xludf.DUMMYFUNCTION("""COMPUTED_VALUE"""),44493.240234375)</f>
        <v>44493.24023</v>
      </c>
      <c r="D1770" s="15">
        <f>IFERROR(__xludf.DUMMYFUNCTION("""COMPUTED_VALUE"""),1.024)</f>
        <v>1.024</v>
      </c>
      <c r="E1770" s="16">
        <f>IFERROR(__xludf.DUMMYFUNCTION("""COMPUTED_VALUE"""),63.0)</f>
        <v>63</v>
      </c>
      <c r="F1770" s="19" t="str">
        <f>IFERROR(__xludf.DUMMYFUNCTION("""COMPUTED_VALUE"""),"BLACK")</f>
        <v>BLACK</v>
      </c>
      <c r="G1770" s="20" t="str">
        <f>IFERROR(__xludf.DUMMYFUNCTION("""COMPUTED_VALUE"""),"Tap 6 Clone (10/15/2021)")</f>
        <v>Tap 6 Clone (10/15/2021)</v>
      </c>
      <c r="H1770" s="19"/>
    </row>
    <row r="1771">
      <c r="A1771" s="9"/>
      <c r="B1771" s="15"/>
      <c r="C1771" s="9">
        <f>IFERROR(__xludf.DUMMYFUNCTION("""COMPUTED_VALUE"""),44493.2298136458)</f>
        <v>44493.22981</v>
      </c>
      <c r="D1771" s="15">
        <f>IFERROR(__xludf.DUMMYFUNCTION("""COMPUTED_VALUE"""),1.024)</f>
        <v>1.024</v>
      </c>
      <c r="E1771" s="16">
        <f>IFERROR(__xludf.DUMMYFUNCTION("""COMPUTED_VALUE"""),63.0)</f>
        <v>63</v>
      </c>
      <c r="F1771" s="19" t="str">
        <f>IFERROR(__xludf.DUMMYFUNCTION("""COMPUTED_VALUE"""),"BLACK")</f>
        <v>BLACK</v>
      </c>
      <c r="G1771" s="20" t="str">
        <f>IFERROR(__xludf.DUMMYFUNCTION("""COMPUTED_VALUE"""),"Tap 6 Clone (10/15/2021)")</f>
        <v>Tap 6 Clone (10/15/2021)</v>
      </c>
      <c r="H1771" s="19"/>
    </row>
    <row r="1772">
      <c r="A1772" s="9"/>
      <c r="B1772" s="15"/>
      <c r="C1772" s="9">
        <f>IFERROR(__xludf.DUMMYFUNCTION("""COMPUTED_VALUE"""),44493.2193920486)</f>
        <v>44493.21939</v>
      </c>
      <c r="D1772" s="15">
        <f>IFERROR(__xludf.DUMMYFUNCTION("""COMPUTED_VALUE"""),1.024)</f>
        <v>1.024</v>
      </c>
      <c r="E1772" s="16">
        <f>IFERROR(__xludf.DUMMYFUNCTION("""COMPUTED_VALUE"""),63.0)</f>
        <v>63</v>
      </c>
      <c r="F1772" s="19" t="str">
        <f>IFERROR(__xludf.DUMMYFUNCTION("""COMPUTED_VALUE"""),"BLACK")</f>
        <v>BLACK</v>
      </c>
      <c r="G1772" s="20" t="str">
        <f>IFERROR(__xludf.DUMMYFUNCTION("""COMPUTED_VALUE"""),"Tap 6 Clone (10/15/2021)")</f>
        <v>Tap 6 Clone (10/15/2021)</v>
      </c>
      <c r="H1772" s="19"/>
    </row>
    <row r="1773">
      <c r="A1773" s="9"/>
      <c r="B1773" s="15"/>
      <c r="C1773" s="9">
        <f>IFERROR(__xludf.DUMMYFUNCTION("""COMPUTED_VALUE"""),44493.2089706481)</f>
        <v>44493.20897</v>
      </c>
      <c r="D1773" s="15">
        <f>IFERROR(__xludf.DUMMYFUNCTION("""COMPUTED_VALUE"""),1.025)</f>
        <v>1.025</v>
      </c>
      <c r="E1773" s="16">
        <f>IFERROR(__xludf.DUMMYFUNCTION("""COMPUTED_VALUE"""),63.0)</f>
        <v>63</v>
      </c>
      <c r="F1773" s="19" t="str">
        <f>IFERROR(__xludf.DUMMYFUNCTION("""COMPUTED_VALUE"""),"BLACK")</f>
        <v>BLACK</v>
      </c>
      <c r="G1773" s="20" t="str">
        <f>IFERROR(__xludf.DUMMYFUNCTION("""COMPUTED_VALUE"""),"Tap 6 Clone (10/15/2021)")</f>
        <v>Tap 6 Clone (10/15/2021)</v>
      </c>
      <c r="H1773" s="19"/>
    </row>
    <row r="1774">
      <c r="A1774" s="9"/>
      <c r="B1774" s="15"/>
      <c r="C1774" s="9">
        <f>IFERROR(__xludf.DUMMYFUNCTION("""COMPUTED_VALUE"""),44493.1985495138)</f>
        <v>44493.19855</v>
      </c>
      <c r="D1774" s="15">
        <f>IFERROR(__xludf.DUMMYFUNCTION("""COMPUTED_VALUE"""),1.024)</f>
        <v>1.024</v>
      </c>
      <c r="E1774" s="16">
        <f>IFERROR(__xludf.DUMMYFUNCTION("""COMPUTED_VALUE"""),63.0)</f>
        <v>63</v>
      </c>
      <c r="F1774" s="19" t="str">
        <f>IFERROR(__xludf.DUMMYFUNCTION("""COMPUTED_VALUE"""),"BLACK")</f>
        <v>BLACK</v>
      </c>
      <c r="G1774" s="20" t="str">
        <f>IFERROR(__xludf.DUMMYFUNCTION("""COMPUTED_VALUE"""),"Tap 6 Clone (10/15/2021)")</f>
        <v>Tap 6 Clone (10/15/2021)</v>
      </c>
      <c r="H1774" s="19"/>
    </row>
    <row r="1775">
      <c r="A1775" s="9"/>
      <c r="B1775" s="15"/>
      <c r="C1775" s="9">
        <f>IFERROR(__xludf.DUMMYFUNCTION("""COMPUTED_VALUE"""),44493.1881162615)</f>
        <v>44493.18812</v>
      </c>
      <c r="D1775" s="15">
        <f>IFERROR(__xludf.DUMMYFUNCTION("""COMPUTED_VALUE"""),1.023)</f>
        <v>1.023</v>
      </c>
      <c r="E1775" s="16">
        <f>IFERROR(__xludf.DUMMYFUNCTION("""COMPUTED_VALUE"""),63.0)</f>
        <v>63</v>
      </c>
      <c r="F1775" s="19" t="str">
        <f>IFERROR(__xludf.DUMMYFUNCTION("""COMPUTED_VALUE"""),"BLACK")</f>
        <v>BLACK</v>
      </c>
      <c r="G1775" s="20" t="str">
        <f>IFERROR(__xludf.DUMMYFUNCTION("""COMPUTED_VALUE"""),"Tap 6 Clone (10/15/2021)")</f>
        <v>Tap 6 Clone (10/15/2021)</v>
      </c>
      <c r="H1775" s="19"/>
    </row>
    <row r="1776">
      <c r="A1776" s="9"/>
      <c r="B1776" s="15"/>
      <c r="C1776" s="9">
        <f>IFERROR(__xludf.DUMMYFUNCTION("""COMPUTED_VALUE"""),44493.1776957176)</f>
        <v>44493.1777</v>
      </c>
      <c r="D1776" s="15">
        <f>IFERROR(__xludf.DUMMYFUNCTION("""COMPUTED_VALUE"""),1.023)</f>
        <v>1.023</v>
      </c>
      <c r="E1776" s="16">
        <f>IFERROR(__xludf.DUMMYFUNCTION("""COMPUTED_VALUE"""),63.0)</f>
        <v>63</v>
      </c>
      <c r="F1776" s="19" t="str">
        <f>IFERROR(__xludf.DUMMYFUNCTION("""COMPUTED_VALUE"""),"BLACK")</f>
        <v>BLACK</v>
      </c>
      <c r="G1776" s="20" t="str">
        <f>IFERROR(__xludf.DUMMYFUNCTION("""COMPUTED_VALUE"""),"Tap 6 Clone (10/15/2021)")</f>
        <v>Tap 6 Clone (10/15/2021)</v>
      </c>
      <c r="H1776" s="19"/>
    </row>
    <row r="1777">
      <c r="A1777" s="9"/>
      <c r="B1777" s="15"/>
      <c r="C1777" s="9">
        <f>IFERROR(__xludf.DUMMYFUNCTION("""COMPUTED_VALUE"""),44493.1672747916)</f>
        <v>44493.16727</v>
      </c>
      <c r="D1777" s="15">
        <f>IFERROR(__xludf.DUMMYFUNCTION("""COMPUTED_VALUE"""),1.024)</f>
        <v>1.024</v>
      </c>
      <c r="E1777" s="16">
        <f>IFERROR(__xludf.DUMMYFUNCTION("""COMPUTED_VALUE"""),63.0)</f>
        <v>63</v>
      </c>
      <c r="F1777" s="19" t="str">
        <f>IFERROR(__xludf.DUMMYFUNCTION("""COMPUTED_VALUE"""),"BLACK")</f>
        <v>BLACK</v>
      </c>
      <c r="G1777" s="20" t="str">
        <f>IFERROR(__xludf.DUMMYFUNCTION("""COMPUTED_VALUE"""),"Tap 6 Clone (10/15/2021)")</f>
        <v>Tap 6 Clone (10/15/2021)</v>
      </c>
      <c r="H1777" s="19"/>
    </row>
    <row r="1778">
      <c r="A1778" s="9"/>
      <c r="B1778" s="15"/>
      <c r="C1778" s="9">
        <f>IFERROR(__xludf.DUMMYFUNCTION("""COMPUTED_VALUE"""),44493.1568416782)</f>
        <v>44493.15684</v>
      </c>
      <c r="D1778" s="15">
        <f>IFERROR(__xludf.DUMMYFUNCTION("""COMPUTED_VALUE"""),1.024)</f>
        <v>1.024</v>
      </c>
      <c r="E1778" s="16">
        <f>IFERROR(__xludf.DUMMYFUNCTION("""COMPUTED_VALUE"""),63.0)</f>
        <v>63</v>
      </c>
      <c r="F1778" s="19" t="str">
        <f>IFERROR(__xludf.DUMMYFUNCTION("""COMPUTED_VALUE"""),"BLACK")</f>
        <v>BLACK</v>
      </c>
      <c r="G1778" s="20" t="str">
        <f>IFERROR(__xludf.DUMMYFUNCTION("""COMPUTED_VALUE"""),"Tap 6 Clone (10/15/2021)")</f>
        <v>Tap 6 Clone (10/15/2021)</v>
      </c>
      <c r="H1778" s="19"/>
    </row>
    <row r="1779">
      <c r="A1779" s="9"/>
      <c r="B1779" s="15"/>
      <c r="C1779" s="9">
        <f>IFERROR(__xludf.DUMMYFUNCTION("""COMPUTED_VALUE"""),44493.1464204745)</f>
        <v>44493.14642</v>
      </c>
      <c r="D1779" s="15">
        <f>IFERROR(__xludf.DUMMYFUNCTION("""COMPUTED_VALUE"""),1.023)</f>
        <v>1.023</v>
      </c>
      <c r="E1779" s="16">
        <f>IFERROR(__xludf.DUMMYFUNCTION("""COMPUTED_VALUE"""),63.0)</f>
        <v>63</v>
      </c>
      <c r="F1779" s="19" t="str">
        <f>IFERROR(__xludf.DUMMYFUNCTION("""COMPUTED_VALUE"""),"BLACK")</f>
        <v>BLACK</v>
      </c>
      <c r="G1779" s="20" t="str">
        <f>IFERROR(__xludf.DUMMYFUNCTION("""COMPUTED_VALUE"""),"Tap 6 Clone (10/15/2021)")</f>
        <v>Tap 6 Clone (10/15/2021)</v>
      </c>
      <c r="H1779" s="19"/>
    </row>
    <row r="1780">
      <c r="A1780" s="9"/>
      <c r="B1780" s="15"/>
      <c r="C1780" s="9">
        <f>IFERROR(__xludf.DUMMYFUNCTION("""COMPUTED_VALUE"""),44493.1359995486)</f>
        <v>44493.136</v>
      </c>
      <c r="D1780" s="15">
        <f>IFERROR(__xludf.DUMMYFUNCTION("""COMPUTED_VALUE"""),1.024)</f>
        <v>1.024</v>
      </c>
      <c r="E1780" s="16">
        <f>IFERROR(__xludf.DUMMYFUNCTION("""COMPUTED_VALUE"""),63.0)</f>
        <v>63</v>
      </c>
      <c r="F1780" s="19" t="str">
        <f>IFERROR(__xludf.DUMMYFUNCTION("""COMPUTED_VALUE"""),"BLACK")</f>
        <v>BLACK</v>
      </c>
      <c r="G1780" s="20" t="str">
        <f>IFERROR(__xludf.DUMMYFUNCTION("""COMPUTED_VALUE"""),"Tap 6 Clone (10/15/2021)")</f>
        <v>Tap 6 Clone (10/15/2021)</v>
      </c>
      <c r="H1780" s="19"/>
    </row>
    <row r="1781">
      <c r="A1781" s="9"/>
      <c r="B1781" s="15"/>
      <c r="C1781" s="9">
        <f>IFERROR(__xludf.DUMMYFUNCTION("""COMPUTED_VALUE"""),44493.1255765509)</f>
        <v>44493.12558</v>
      </c>
      <c r="D1781" s="15">
        <f>IFERROR(__xludf.DUMMYFUNCTION("""COMPUTED_VALUE"""),1.024)</f>
        <v>1.024</v>
      </c>
      <c r="E1781" s="16">
        <f>IFERROR(__xludf.DUMMYFUNCTION("""COMPUTED_VALUE"""),63.0)</f>
        <v>63</v>
      </c>
      <c r="F1781" s="19" t="str">
        <f>IFERROR(__xludf.DUMMYFUNCTION("""COMPUTED_VALUE"""),"BLACK")</f>
        <v>BLACK</v>
      </c>
      <c r="G1781" s="20" t="str">
        <f>IFERROR(__xludf.DUMMYFUNCTION("""COMPUTED_VALUE"""),"Tap 6 Clone (10/15/2021)")</f>
        <v>Tap 6 Clone (10/15/2021)</v>
      </c>
      <c r="H1781" s="19"/>
    </row>
    <row r="1782">
      <c r="A1782" s="9"/>
      <c r="B1782" s="15"/>
      <c r="C1782" s="9">
        <f>IFERROR(__xludf.DUMMYFUNCTION("""COMPUTED_VALUE"""),44493.1151575347)</f>
        <v>44493.11516</v>
      </c>
      <c r="D1782" s="15">
        <f>IFERROR(__xludf.DUMMYFUNCTION("""COMPUTED_VALUE"""),1.024)</f>
        <v>1.024</v>
      </c>
      <c r="E1782" s="16">
        <f>IFERROR(__xludf.DUMMYFUNCTION("""COMPUTED_VALUE"""),63.0)</f>
        <v>63</v>
      </c>
      <c r="F1782" s="19" t="str">
        <f>IFERROR(__xludf.DUMMYFUNCTION("""COMPUTED_VALUE"""),"BLACK")</f>
        <v>BLACK</v>
      </c>
      <c r="G1782" s="20" t="str">
        <f>IFERROR(__xludf.DUMMYFUNCTION("""COMPUTED_VALUE"""),"Tap 6 Clone (10/15/2021)")</f>
        <v>Tap 6 Clone (10/15/2021)</v>
      </c>
      <c r="H1782" s="19"/>
    </row>
    <row r="1783">
      <c r="A1783" s="9"/>
      <c r="B1783" s="15"/>
      <c r="C1783" s="9">
        <f>IFERROR(__xludf.DUMMYFUNCTION("""COMPUTED_VALUE"""),44493.1047248148)</f>
        <v>44493.10472</v>
      </c>
      <c r="D1783" s="15">
        <f>IFERROR(__xludf.DUMMYFUNCTION("""COMPUTED_VALUE"""),1.025)</f>
        <v>1.025</v>
      </c>
      <c r="E1783" s="16">
        <f>IFERROR(__xludf.DUMMYFUNCTION("""COMPUTED_VALUE"""),63.0)</f>
        <v>63</v>
      </c>
      <c r="F1783" s="19" t="str">
        <f>IFERROR(__xludf.DUMMYFUNCTION("""COMPUTED_VALUE"""),"BLACK")</f>
        <v>BLACK</v>
      </c>
      <c r="G1783" s="20" t="str">
        <f>IFERROR(__xludf.DUMMYFUNCTION("""COMPUTED_VALUE"""),"Tap 6 Clone (10/15/2021)")</f>
        <v>Tap 6 Clone (10/15/2021)</v>
      </c>
      <c r="H1783" s="19"/>
    </row>
    <row r="1784">
      <c r="A1784" s="9"/>
      <c r="B1784" s="15"/>
      <c r="C1784" s="9">
        <f>IFERROR(__xludf.DUMMYFUNCTION("""COMPUTED_VALUE"""),44493.0943026504)</f>
        <v>44493.0943</v>
      </c>
      <c r="D1784" s="15">
        <f>IFERROR(__xludf.DUMMYFUNCTION("""COMPUTED_VALUE"""),1.025)</f>
        <v>1.025</v>
      </c>
      <c r="E1784" s="16">
        <f>IFERROR(__xludf.DUMMYFUNCTION("""COMPUTED_VALUE"""),63.0)</f>
        <v>63</v>
      </c>
      <c r="F1784" s="19" t="str">
        <f>IFERROR(__xludf.DUMMYFUNCTION("""COMPUTED_VALUE"""),"BLACK")</f>
        <v>BLACK</v>
      </c>
      <c r="G1784" s="20" t="str">
        <f>IFERROR(__xludf.DUMMYFUNCTION("""COMPUTED_VALUE"""),"Tap 6 Clone (10/15/2021)")</f>
        <v>Tap 6 Clone (10/15/2021)</v>
      </c>
      <c r="H1784" s="19"/>
    </row>
    <row r="1785">
      <c r="A1785" s="9"/>
      <c r="B1785" s="15"/>
      <c r="C1785" s="9">
        <f>IFERROR(__xludf.DUMMYFUNCTION("""COMPUTED_VALUE"""),44493.0838814583)</f>
        <v>44493.08388</v>
      </c>
      <c r="D1785" s="15">
        <f>IFERROR(__xludf.DUMMYFUNCTION("""COMPUTED_VALUE"""),1.024)</f>
        <v>1.024</v>
      </c>
      <c r="E1785" s="16">
        <f>IFERROR(__xludf.DUMMYFUNCTION("""COMPUTED_VALUE"""),63.0)</f>
        <v>63</v>
      </c>
      <c r="F1785" s="19" t="str">
        <f>IFERROR(__xludf.DUMMYFUNCTION("""COMPUTED_VALUE"""),"BLACK")</f>
        <v>BLACK</v>
      </c>
      <c r="G1785" s="20" t="str">
        <f>IFERROR(__xludf.DUMMYFUNCTION("""COMPUTED_VALUE"""),"Tap 6 Clone (10/15/2021)")</f>
        <v>Tap 6 Clone (10/15/2021)</v>
      </c>
      <c r="H1785" s="19"/>
    </row>
    <row r="1786">
      <c r="A1786" s="9"/>
      <c r="B1786" s="15"/>
      <c r="C1786" s="9">
        <f>IFERROR(__xludf.DUMMYFUNCTION("""COMPUTED_VALUE"""),44493.0734382291)</f>
        <v>44493.07344</v>
      </c>
      <c r="D1786" s="15">
        <f>IFERROR(__xludf.DUMMYFUNCTION("""COMPUTED_VALUE"""),1.025)</f>
        <v>1.025</v>
      </c>
      <c r="E1786" s="16">
        <f>IFERROR(__xludf.DUMMYFUNCTION("""COMPUTED_VALUE"""),63.0)</f>
        <v>63</v>
      </c>
      <c r="F1786" s="19" t="str">
        <f>IFERROR(__xludf.DUMMYFUNCTION("""COMPUTED_VALUE"""),"BLACK")</f>
        <v>BLACK</v>
      </c>
      <c r="G1786" s="20" t="str">
        <f>IFERROR(__xludf.DUMMYFUNCTION("""COMPUTED_VALUE"""),"Tap 6 Clone (10/15/2021)")</f>
        <v>Tap 6 Clone (10/15/2021)</v>
      </c>
      <c r="H1786" s="19"/>
    </row>
    <row r="1787">
      <c r="A1787" s="9"/>
      <c r="B1787" s="15"/>
      <c r="C1787" s="9">
        <f>IFERROR(__xludf.DUMMYFUNCTION("""COMPUTED_VALUE"""),44493.0630176851)</f>
        <v>44493.06302</v>
      </c>
      <c r="D1787" s="15">
        <f>IFERROR(__xludf.DUMMYFUNCTION("""COMPUTED_VALUE"""),1.024)</f>
        <v>1.024</v>
      </c>
      <c r="E1787" s="16">
        <f>IFERROR(__xludf.DUMMYFUNCTION("""COMPUTED_VALUE"""),63.0)</f>
        <v>63</v>
      </c>
      <c r="F1787" s="19" t="str">
        <f>IFERROR(__xludf.DUMMYFUNCTION("""COMPUTED_VALUE"""),"BLACK")</f>
        <v>BLACK</v>
      </c>
      <c r="G1787" s="20" t="str">
        <f>IFERROR(__xludf.DUMMYFUNCTION("""COMPUTED_VALUE"""),"Tap 6 Clone (10/15/2021)")</f>
        <v>Tap 6 Clone (10/15/2021)</v>
      </c>
      <c r="H1787" s="19"/>
    </row>
    <row r="1788">
      <c r="A1788" s="9"/>
      <c r="B1788" s="15"/>
      <c r="C1788" s="9">
        <f>IFERROR(__xludf.DUMMYFUNCTION("""COMPUTED_VALUE"""),44493.0525980787)</f>
        <v>44493.0526</v>
      </c>
      <c r="D1788" s="15">
        <f>IFERROR(__xludf.DUMMYFUNCTION("""COMPUTED_VALUE"""),1.024)</f>
        <v>1.024</v>
      </c>
      <c r="E1788" s="16">
        <f>IFERROR(__xludf.DUMMYFUNCTION("""COMPUTED_VALUE"""),63.0)</f>
        <v>63</v>
      </c>
      <c r="F1788" s="19" t="str">
        <f>IFERROR(__xludf.DUMMYFUNCTION("""COMPUTED_VALUE"""),"BLACK")</f>
        <v>BLACK</v>
      </c>
      <c r="G1788" s="20" t="str">
        <f>IFERROR(__xludf.DUMMYFUNCTION("""COMPUTED_VALUE"""),"Tap 6 Clone (10/15/2021)")</f>
        <v>Tap 6 Clone (10/15/2021)</v>
      </c>
      <c r="H1788" s="19"/>
    </row>
    <row r="1789">
      <c r="A1789" s="9"/>
      <c r="B1789" s="15"/>
      <c r="C1789" s="9">
        <f>IFERROR(__xludf.DUMMYFUNCTION("""COMPUTED_VALUE"""),44493.0421758912)</f>
        <v>44493.04218</v>
      </c>
      <c r="D1789" s="15">
        <f>IFERROR(__xludf.DUMMYFUNCTION("""COMPUTED_VALUE"""),1.023)</f>
        <v>1.023</v>
      </c>
      <c r="E1789" s="16">
        <f>IFERROR(__xludf.DUMMYFUNCTION("""COMPUTED_VALUE"""),63.0)</f>
        <v>63</v>
      </c>
      <c r="F1789" s="19" t="str">
        <f>IFERROR(__xludf.DUMMYFUNCTION("""COMPUTED_VALUE"""),"BLACK")</f>
        <v>BLACK</v>
      </c>
      <c r="G1789" s="20" t="str">
        <f>IFERROR(__xludf.DUMMYFUNCTION("""COMPUTED_VALUE"""),"Tap 6 Clone (10/15/2021)")</f>
        <v>Tap 6 Clone (10/15/2021)</v>
      </c>
      <c r="H1789" s="19"/>
    </row>
    <row r="1790">
      <c r="A1790" s="9"/>
      <c r="B1790" s="15"/>
      <c r="C1790" s="9">
        <f>IFERROR(__xludf.DUMMYFUNCTION("""COMPUTED_VALUE"""),44493.0317546296)</f>
        <v>44493.03175</v>
      </c>
      <c r="D1790" s="15">
        <f>IFERROR(__xludf.DUMMYFUNCTION("""COMPUTED_VALUE"""),1.023)</f>
        <v>1.023</v>
      </c>
      <c r="E1790" s="16">
        <f>IFERROR(__xludf.DUMMYFUNCTION("""COMPUTED_VALUE"""),63.0)</f>
        <v>63</v>
      </c>
      <c r="F1790" s="19" t="str">
        <f>IFERROR(__xludf.DUMMYFUNCTION("""COMPUTED_VALUE"""),"BLACK")</f>
        <v>BLACK</v>
      </c>
      <c r="G1790" s="20" t="str">
        <f>IFERROR(__xludf.DUMMYFUNCTION("""COMPUTED_VALUE"""),"Tap 6 Clone (10/15/2021)")</f>
        <v>Tap 6 Clone (10/15/2021)</v>
      </c>
      <c r="H1790" s="19"/>
    </row>
    <row r="1791">
      <c r="A1791" s="9"/>
      <c r="B1791" s="15"/>
      <c r="C1791" s="9">
        <f>IFERROR(__xludf.DUMMYFUNCTION("""COMPUTED_VALUE"""),44493.0213321643)</f>
        <v>44493.02133</v>
      </c>
      <c r="D1791" s="15">
        <f>IFERROR(__xludf.DUMMYFUNCTION("""COMPUTED_VALUE"""),1.023)</f>
        <v>1.023</v>
      </c>
      <c r="E1791" s="16">
        <f>IFERROR(__xludf.DUMMYFUNCTION("""COMPUTED_VALUE"""),63.0)</f>
        <v>63</v>
      </c>
      <c r="F1791" s="19" t="str">
        <f>IFERROR(__xludf.DUMMYFUNCTION("""COMPUTED_VALUE"""),"BLACK")</f>
        <v>BLACK</v>
      </c>
      <c r="G1791" s="20" t="str">
        <f>IFERROR(__xludf.DUMMYFUNCTION("""COMPUTED_VALUE"""),"Tap 6 Clone (10/15/2021)")</f>
        <v>Tap 6 Clone (10/15/2021)</v>
      </c>
      <c r="H1791" s="19"/>
    </row>
    <row r="1792">
      <c r="A1792" s="9"/>
      <c r="B1792" s="15"/>
      <c r="C1792" s="9">
        <f>IFERROR(__xludf.DUMMYFUNCTION("""COMPUTED_VALUE"""),44493.0109012963)</f>
        <v>44493.0109</v>
      </c>
      <c r="D1792" s="15">
        <f>IFERROR(__xludf.DUMMYFUNCTION("""COMPUTED_VALUE"""),1.023)</f>
        <v>1.023</v>
      </c>
      <c r="E1792" s="16">
        <f>IFERROR(__xludf.DUMMYFUNCTION("""COMPUTED_VALUE"""),63.0)</f>
        <v>63</v>
      </c>
      <c r="F1792" s="19" t="str">
        <f>IFERROR(__xludf.DUMMYFUNCTION("""COMPUTED_VALUE"""),"BLACK")</f>
        <v>BLACK</v>
      </c>
      <c r="G1792" s="20" t="str">
        <f>IFERROR(__xludf.DUMMYFUNCTION("""COMPUTED_VALUE"""),"Tap 6 Clone (10/15/2021)")</f>
        <v>Tap 6 Clone (10/15/2021)</v>
      </c>
      <c r="H1792" s="19"/>
    </row>
    <row r="1793">
      <c r="A1793" s="9"/>
      <c r="B1793" s="15"/>
      <c r="C1793" s="9">
        <f>IFERROR(__xludf.DUMMYFUNCTION("""COMPUTED_VALUE"""),44493.0004823958)</f>
        <v>44493.00048</v>
      </c>
      <c r="D1793" s="15">
        <f>IFERROR(__xludf.DUMMYFUNCTION("""COMPUTED_VALUE"""),1.023)</f>
        <v>1.023</v>
      </c>
      <c r="E1793" s="16">
        <f>IFERROR(__xludf.DUMMYFUNCTION("""COMPUTED_VALUE"""),63.0)</f>
        <v>63</v>
      </c>
      <c r="F1793" s="19" t="str">
        <f>IFERROR(__xludf.DUMMYFUNCTION("""COMPUTED_VALUE"""),"BLACK")</f>
        <v>BLACK</v>
      </c>
      <c r="G1793" s="20" t="str">
        <f>IFERROR(__xludf.DUMMYFUNCTION("""COMPUTED_VALUE"""),"Tap 6 Clone (10/15/2021)")</f>
        <v>Tap 6 Clone (10/15/2021)</v>
      </c>
      <c r="H1793" s="19"/>
    </row>
    <row r="1794">
      <c r="A1794" s="9"/>
      <c r="B1794" s="15"/>
      <c r="C1794" s="9">
        <f>IFERROR(__xludf.DUMMYFUNCTION("""COMPUTED_VALUE"""),44492.9900607986)</f>
        <v>44492.99006</v>
      </c>
      <c r="D1794" s="15">
        <f>IFERROR(__xludf.DUMMYFUNCTION("""COMPUTED_VALUE"""),1.023)</f>
        <v>1.023</v>
      </c>
      <c r="E1794" s="16">
        <f>IFERROR(__xludf.DUMMYFUNCTION("""COMPUTED_VALUE"""),63.0)</f>
        <v>63</v>
      </c>
      <c r="F1794" s="19" t="str">
        <f>IFERROR(__xludf.DUMMYFUNCTION("""COMPUTED_VALUE"""),"BLACK")</f>
        <v>BLACK</v>
      </c>
      <c r="G1794" s="20" t="str">
        <f>IFERROR(__xludf.DUMMYFUNCTION("""COMPUTED_VALUE"""),"Tap 6 Clone (10/15/2021)")</f>
        <v>Tap 6 Clone (10/15/2021)</v>
      </c>
      <c r="H1794" s="19"/>
    </row>
    <row r="1795">
      <c r="A1795" s="9"/>
      <c r="B1795" s="15"/>
      <c r="C1795" s="9">
        <f>IFERROR(__xludf.DUMMYFUNCTION("""COMPUTED_VALUE"""),44492.979639537)</f>
        <v>44492.97964</v>
      </c>
      <c r="D1795" s="15">
        <f>IFERROR(__xludf.DUMMYFUNCTION("""COMPUTED_VALUE"""),1.023)</f>
        <v>1.023</v>
      </c>
      <c r="E1795" s="16">
        <f>IFERROR(__xludf.DUMMYFUNCTION("""COMPUTED_VALUE"""),63.0)</f>
        <v>63</v>
      </c>
      <c r="F1795" s="19" t="str">
        <f>IFERROR(__xludf.DUMMYFUNCTION("""COMPUTED_VALUE"""),"BLACK")</f>
        <v>BLACK</v>
      </c>
      <c r="G1795" s="20" t="str">
        <f>IFERROR(__xludf.DUMMYFUNCTION("""COMPUTED_VALUE"""),"Tap 6 Clone (10/15/2021)")</f>
        <v>Tap 6 Clone (10/15/2021)</v>
      </c>
      <c r="H1795" s="19"/>
    </row>
    <row r="1796">
      <c r="A1796" s="9"/>
      <c r="B1796" s="15"/>
      <c r="C1796" s="9">
        <f>IFERROR(__xludf.DUMMYFUNCTION("""COMPUTED_VALUE"""),44492.9692176736)</f>
        <v>44492.96922</v>
      </c>
      <c r="D1796" s="15">
        <f>IFERROR(__xludf.DUMMYFUNCTION("""COMPUTED_VALUE"""),1.023)</f>
        <v>1.023</v>
      </c>
      <c r="E1796" s="16">
        <f>IFERROR(__xludf.DUMMYFUNCTION("""COMPUTED_VALUE"""),63.0)</f>
        <v>63</v>
      </c>
      <c r="F1796" s="19" t="str">
        <f>IFERROR(__xludf.DUMMYFUNCTION("""COMPUTED_VALUE"""),"BLACK")</f>
        <v>BLACK</v>
      </c>
      <c r="G1796" s="20" t="str">
        <f>IFERROR(__xludf.DUMMYFUNCTION("""COMPUTED_VALUE"""),"Tap 6 Clone (10/15/2021)")</f>
        <v>Tap 6 Clone (10/15/2021)</v>
      </c>
      <c r="H1796" s="19"/>
    </row>
    <row r="1797">
      <c r="A1797" s="9"/>
      <c r="B1797" s="15"/>
      <c r="C1797" s="9">
        <f>IFERROR(__xludf.DUMMYFUNCTION("""COMPUTED_VALUE"""),44492.9587972222)</f>
        <v>44492.9588</v>
      </c>
      <c r="D1797" s="15">
        <f>IFERROR(__xludf.DUMMYFUNCTION("""COMPUTED_VALUE"""),1.024)</f>
        <v>1.024</v>
      </c>
      <c r="E1797" s="16">
        <f>IFERROR(__xludf.DUMMYFUNCTION("""COMPUTED_VALUE"""),63.0)</f>
        <v>63</v>
      </c>
      <c r="F1797" s="19" t="str">
        <f>IFERROR(__xludf.DUMMYFUNCTION("""COMPUTED_VALUE"""),"BLACK")</f>
        <v>BLACK</v>
      </c>
      <c r="G1797" s="20" t="str">
        <f>IFERROR(__xludf.DUMMYFUNCTION("""COMPUTED_VALUE"""),"Tap 6 Clone (10/15/2021)")</f>
        <v>Tap 6 Clone (10/15/2021)</v>
      </c>
      <c r="H1797" s="19"/>
    </row>
    <row r="1798">
      <c r="A1798" s="9"/>
      <c r="B1798" s="15"/>
      <c r="C1798" s="9">
        <f>IFERROR(__xludf.DUMMYFUNCTION("""COMPUTED_VALUE"""),44492.9483526041)</f>
        <v>44492.94835</v>
      </c>
      <c r="D1798" s="15">
        <f>IFERROR(__xludf.DUMMYFUNCTION("""COMPUTED_VALUE"""),1.023)</f>
        <v>1.023</v>
      </c>
      <c r="E1798" s="16">
        <f>IFERROR(__xludf.DUMMYFUNCTION("""COMPUTED_VALUE"""),63.0)</f>
        <v>63</v>
      </c>
      <c r="F1798" s="19" t="str">
        <f>IFERROR(__xludf.DUMMYFUNCTION("""COMPUTED_VALUE"""),"BLACK")</f>
        <v>BLACK</v>
      </c>
      <c r="G1798" s="20" t="str">
        <f>IFERROR(__xludf.DUMMYFUNCTION("""COMPUTED_VALUE"""),"Tap 6 Clone (10/15/2021)")</f>
        <v>Tap 6 Clone (10/15/2021)</v>
      </c>
      <c r="H1798" s="19"/>
    </row>
    <row r="1799">
      <c r="A1799" s="9"/>
      <c r="B1799" s="15"/>
      <c r="C1799" s="9">
        <f>IFERROR(__xludf.DUMMYFUNCTION("""COMPUTED_VALUE"""),44492.9379323958)</f>
        <v>44492.93793</v>
      </c>
      <c r="D1799" s="15">
        <f>IFERROR(__xludf.DUMMYFUNCTION("""COMPUTED_VALUE"""),1.023)</f>
        <v>1.023</v>
      </c>
      <c r="E1799" s="16">
        <f>IFERROR(__xludf.DUMMYFUNCTION("""COMPUTED_VALUE"""),63.0)</f>
        <v>63</v>
      </c>
      <c r="F1799" s="19" t="str">
        <f>IFERROR(__xludf.DUMMYFUNCTION("""COMPUTED_VALUE"""),"BLACK")</f>
        <v>BLACK</v>
      </c>
      <c r="G1799" s="20" t="str">
        <f>IFERROR(__xludf.DUMMYFUNCTION("""COMPUTED_VALUE"""),"Tap 6 Clone (10/15/2021)")</f>
        <v>Tap 6 Clone (10/15/2021)</v>
      </c>
      <c r="H1799" s="19"/>
    </row>
    <row r="1800">
      <c r="A1800" s="9"/>
      <c r="B1800" s="15"/>
      <c r="C1800" s="9">
        <f>IFERROR(__xludf.DUMMYFUNCTION("""COMPUTED_VALUE"""),44492.9275123032)</f>
        <v>44492.92751</v>
      </c>
      <c r="D1800" s="15">
        <f>IFERROR(__xludf.DUMMYFUNCTION("""COMPUTED_VALUE"""),1.024)</f>
        <v>1.024</v>
      </c>
      <c r="E1800" s="16">
        <f>IFERROR(__xludf.DUMMYFUNCTION("""COMPUTED_VALUE"""),63.0)</f>
        <v>63</v>
      </c>
      <c r="F1800" s="19" t="str">
        <f>IFERROR(__xludf.DUMMYFUNCTION("""COMPUTED_VALUE"""),"BLACK")</f>
        <v>BLACK</v>
      </c>
      <c r="G1800" s="20" t="str">
        <f>IFERROR(__xludf.DUMMYFUNCTION("""COMPUTED_VALUE"""),"Tap 6 Clone (10/15/2021)")</f>
        <v>Tap 6 Clone (10/15/2021)</v>
      </c>
      <c r="H1800" s="19"/>
    </row>
    <row r="1801">
      <c r="A1801" s="9"/>
      <c r="B1801" s="15"/>
      <c r="C1801" s="9">
        <f>IFERROR(__xludf.DUMMYFUNCTION("""COMPUTED_VALUE"""),44492.9170795254)</f>
        <v>44492.91708</v>
      </c>
      <c r="D1801" s="15">
        <f>IFERROR(__xludf.DUMMYFUNCTION("""COMPUTED_VALUE"""),1.024)</f>
        <v>1.024</v>
      </c>
      <c r="E1801" s="16">
        <f>IFERROR(__xludf.DUMMYFUNCTION("""COMPUTED_VALUE"""),63.0)</f>
        <v>63</v>
      </c>
      <c r="F1801" s="19" t="str">
        <f>IFERROR(__xludf.DUMMYFUNCTION("""COMPUTED_VALUE"""),"BLACK")</f>
        <v>BLACK</v>
      </c>
      <c r="G1801" s="20" t="str">
        <f>IFERROR(__xludf.DUMMYFUNCTION("""COMPUTED_VALUE"""),"Tap 6 Clone (10/15/2021)")</f>
        <v>Tap 6 Clone (10/15/2021)</v>
      </c>
      <c r="H1801" s="19"/>
    </row>
    <row r="1802">
      <c r="A1802" s="9"/>
      <c r="B1802" s="15"/>
      <c r="C1802" s="9">
        <f>IFERROR(__xludf.DUMMYFUNCTION("""COMPUTED_VALUE"""),44492.9066587615)</f>
        <v>44492.90666</v>
      </c>
      <c r="D1802" s="15">
        <f>IFERROR(__xludf.DUMMYFUNCTION("""COMPUTED_VALUE"""),1.023)</f>
        <v>1.023</v>
      </c>
      <c r="E1802" s="16">
        <f>IFERROR(__xludf.DUMMYFUNCTION("""COMPUTED_VALUE"""),63.0)</f>
        <v>63</v>
      </c>
      <c r="F1802" s="19" t="str">
        <f>IFERROR(__xludf.DUMMYFUNCTION("""COMPUTED_VALUE"""),"BLACK")</f>
        <v>BLACK</v>
      </c>
      <c r="G1802" s="20" t="str">
        <f>IFERROR(__xludf.DUMMYFUNCTION("""COMPUTED_VALUE"""),"Tap 6 Clone (10/15/2021)")</f>
        <v>Tap 6 Clone (10/15/2021)</v>
      </c>
      <c r="H1802" s="19"/>
    </row>
    <row r="1803">
      <c r="A1803" s="9"/>
      <c r="B1803" s="15"/>
      <c r="C1803" s="9">
        <f>IFERROR(__xludf.DUMMYFUNCTION("""COMPUTED_VALUE"""),44492.8962266088)</f>
        <v>44492.89623</v>
      </c>
      <c r="D1803" s="15">
        <f>IFERROR(__xludf.DUMMYFUNCTION("""COMPUTED_VALUE"""),1.024)</f>
        <v>1.024</v>
      </c>
      <c r="E1803" s="16">
        <f>IFERROR(__xludf.DUMMYFUNCTION("""COMPUTED_VALUE"""),62.0)</f>
        <v>62</v>
      </c>
      <c r="F1803" s="19" t="str">
        <f>IFERROR(__xludf.DUMMYFUNCTION("""COMPUTED_VALUE"""),"BLACK")</f>
        <v>BLACK</v>
      </c>
      <c r="G1803" s="20" t="str">
        <f>IFERROR(__xludf.DUMMYFUNCTION("""COMPUTED_VALUE"""),"Tap 6 Clone (10/15/2021)")</f>
        <v>Tap 6 Clone (10/15/2021)</v>
      </c>
      <c r="H1803" s="19"/>
    </row>
    <row r="1804">
      <c r="A1804" s="9"/>
      <c r="B1804" s="15"/>
      <c r="C1804" s="9">
        <f>IFERROR(__xludf.DUMMYFUNCTION("""COMPUTED_VALUE"""),44492.8857925463)</f>
        <v>44492.88579</v>
      </c>
      <c r="D1804" s="15">
        <f>IFERROR(__xludf.DUMMYFUNCTION("""COMPUTED_VALUE"""),1.024)</f>
        <v>1.024</v>
      </c>
      <c r="E1804" s="16">
        <f>IFERROR(__xludf.DUMMYFUNCTION("""COMPUTED_VALUE"""),62.0)</f>
        <v>62</v>
      </c>
      <c r="F1804" s="19" t="str">
        <f>IFERROR(__xludf.DUMMYFUNCTION("""COMPUTED_VALUE"""),"BLACK")</f>
        <v>BLACK</v>
      </c>
      <c r="G1804" s="20" t="str">
        <f>IFERROR(__xludf.DUMMYFUNCTION("""COMPUTED_VALUE"""),"Tap 6 Clone (10/15/2021)")</f>
        <v>Tap 6 Clone (10/15/2021)</v>
      </c>
      <c r="H1804" s="19"/>
    </row>
    <row r="1805">
      <c r="A1805" s="9"/>
      <c r="B1805" s="15"/>
      <c r="C1805" s="9">
        <f>IFERROR(__xludf.DUMMYFUNCTION("""COMPUTED_VALUE"""),44492.8753715046)</f>
        <v>44492.87537</v>
      </c>
      <c r="D1805" s="15">
        <f>IFERROR(__xludf.DUMMYFUNCTION("""COMPUTED_VALUE"""),1.026)</f>
        <v>1.026</v>
      </c>
      <c r="E1805" s="16">
        <f>IFERROR(__xludf.DUMMYFUNCTION("""COMPUTED_VALUE"""),62.0)</f>
        <v>62</v>
      </c>
      <c r="F1805" s="19" t="str">
        <f>IFERROR(__xludf.DUMMYFUNCTION("""COMPUTED_VALUE"""),"BLACK")</f>
        <v>BLACK</v>
      </c>
      <c r="G1805" s="20" t="str">
        <f>IFERROR(__xludf.DUMMYFUNCTION("""COMPUTED_VALUE"""),"Tap 6 Clone (10/15/2021)")</f>
        <v>Tap 6 Clone (10/15/2021)</v>
      </c>
      <c r="H1805" s="19"/>
    </row>
    <row r="1806">
      <c r="A1806" s="9"/>
      <c r="B1806" s="15"/>
      <c r="C1806" s="9">
        <f>IFERROR(__xludf.DUMMYFUNCTION("""COMPUTED_VALUE"""),44492.8649508101)</f>
        <v>44492.86495</v>
      </c>
      <c r="D1806" s="15">
        <f>IFERROR(__xludf.DUMMYFUNCTION("""COMPUTED_VALUE"""),1.025)</f>
        <v>1.025</v>
      </c>
      <c r="E1806" s="16">
        <f>IFERROR(__xludf.DUMMYFUNCTION("""COMPUTED_VALUE"""),62.0)</f>
        <v>62</v>
      </c>
      <c r="F1806" s="19" t="str">
        <f>IFERROR(__xludf.DUMMYFUNCTION("""COMPUTED_VALUE"""),"BLACK")</f>
        <v>BLACK</v>
      </c>
      <c r="G1806" s="20" t="str">
        <f>IFERROR(__xludf.DUMMYFUNCTION("""COMPUTED_VALUE"""),"Tap 6 Clone (10/15/2021)")</f>
        <v>Tap 6 Clone (10/15/2021)</v>
      </c>
      <c r="H1806" s="19"/>
    </row>
    <row r="1807">
      <c r="A1807" s="9"/>
      <c r="B1807" s="15"/>
      <c r="C1807" s="9">
        <f>IFERROR(__xludf.DUMMYFUNCTION("""COMPUTED_VALUE"""),44492.8545293055)</f>
        <v>44492.85453</v>
      </c>
      <c r="D1807" s="15">
        <f>IFERROR(__xludf.DUMMYFUNCTION("""COMPUTED_VALUE"""),1.026)</f>
        <v>1.026</v>
      </c>
      <c r="E1807" s="16">
        <f>IFERROR(__xludf.DUMMYFUNCTION("""COMPUTED_VALUE"""),62.0)</f>
        <v>62</v>
      </c>
      <c r="F1807" s="19" t="str">
        <f>IFERROR(__xludf.DUMMYFUNCTION("""COMPUTED_VALUE"""),"BLACK")</f>
        <v>BLACK</v>
      </c>
      <c r="G1807" s="20" t="str">
        <f>IFERROR(__xludf.DUMMYFUNCTION("""COMPUTED_VALUE"""),"Tap 6 Clone (10/15/2021)")</f>
        <v>Tap 6 Clone (10/15/2021)</v>
      </c>
      <c r="H1807" s="19"/>
    </row>
    <row r="1808">
      <c r="A1808" s="9"/>
      <c r="B1808" s="15"/>
      <c r="C1808" s="9">
        <f>IFERROR(__xludf.DUMMYFUNCTION("""COMPUTED_VALUE"""),44492.8441078819)</f>
        <v>44492.84411</v>
      </c>
      <c r="D1808" s="15">
        <f>IFERROR(__xludf.DUMMYFUNCTION("""COMPUTED_VALUE"""),1.026)</f>
        <v>1.026</v>
      </c>
      <c r="E1808" s="16">
        <f>IFERROR(__xludf.DUMMYFUNCTION("""COMPUTED_VALUE"""),62.0)</f>
        <v>62</v>
      </c>
      <c r="F1808" s="19" t="str">
        <f>IFERROR(__xludf.DUMMYFUNCTION("""COMPUTED_VALUE"""),"BLACK")</f>
        <v>BLACK</v>
      </c>
      <c r="G1808" s="20" t="str">
        <f>IFERROR(__xludf.DUMMYFUNCTION("""COMPUTED_VALUE"""),"Tap 6 Clone (10/15/2021)")</f>
        <v>Tap 6 Clone (10/15/2021)</v>
      </c>
      <c r="H1808" s="19"/>
    </row>
    <row r="1809">
      <c r="A1809" s="9"/>
      <c r="B1809" s="15"/>
      <c r="C1809" s="9">
        <f>IFERROR(__xludf.DUMMYFUNCTION("""COMPUTED_VALUE"""),44492.8336861689)</f>
        <v>44492.83369</v>
      </c>
      <c r="D1809" s="15">
        <f>IFERROR(__xludf.DUMMYFUNCTION("""COMPUTED_VALUE"""),1.026)</f>
        <v>1.026</v>
      </c>
      <c r="E1809" s="16">
        <f>IFERROR(__xludf.DUMMYFUNCTION("""COMPUTED_VALUE"""),62.0)</f>
        <v>62</v>
      </c>
      <c r="F1809" s="19" t="str">
        <f>IFERROR(__xludf.DUMMYFUNCTION("""COMPUTED_VALUE"""),"BLACK")</f>
        <v>BLACK</v>
      </c>
      <c r="G1809" s="20" t="str">
        <f>IFERROR(__xludf.DUMMYFUNCTION("""COMPUTED_VALUE"""),"Tap 6 Clone (10/15/2021)")</f>
        <v>Tap 6 Clone (10/15/2021)</v>
      </c>
      <c r="H1809" s="19"/>
    </row>
    <row r="1810">
      <c r="A1810" s="9"/>
      <c r="B1810" s="15"/>
      <c r="C1810" s="9">
        <f>IFERROR(__xludf.DUMMYFUNCTION("""COMPUTED_VALUE"""),44492.8232533449)</f>
        <v>44492.82325</v>
      </c>
      <c r="D1810" s="15">
        <f>IFERROR(__xludf.DUMMYFUNCTION("""COMPUTED_VALUE"""),1.026)</f>
        <v>1.026</v>
      </c>
      <c r="E1810" s="16">
        <f>IFERROR(__xludf.DUMMYFUNCTION("""COMPUTED_VALUE"""),62.0)</f>
        <v>62</v>
      </c>
      <c r="F1810" s="19" t="str">
        <f>IFERROR(__xludf.DUMMYFUNCTION("""COMPUTED_VALUE"""),"BLACK")</f>
        <v>BLACK</v>
      </c>
      <c r="G1810" s="20" t="str">
        <f>IFERROR(__xludf.DUMMYFUNCTION("""COMPUTED_VALUE"""),"Tap 6 Clone (10/15/2021)")</f>
        <v>Tap 6 Clone (10/15/2021)</v>
      </c>
      <c r="H1810" s="19"/>
    </row>
    <row r="1811">
      <c r="A1811" s="9"/>
      <c r="B1811" s="15"/>
      <c r="C1811" s="9">
        <f>IFERROR(__xludf.DUMMYFUNCTION("""COMPUTED_VALUE"""),44492.8128208796)</f>
        <v>44492.81282</v>
      </c>
      <c r="D1811" s="15">
        <f>IFERROR(__xludf.DUMMYFUNCTION("""COMPUTED_VALUE"""),1.027)</f>
        <v>1.027</v>
      </c>
      <c r="E1811" s="16">
        <f>IFERROR(__xludf.DUMMYFUNCTION("""COMPUTED_VALUE"""),62.0)</f>
        <v>62</v>
      </c>
      <c r="F1811" s="19" t="str">
        <f>IFERROR(__xludf.DUMMYFUNCTION("""COMPUTED_VALUE"""),"BLACK")</f>
        <v>BLACK</v>
      </c>
      <c r="G1811" s="20" t="str">
        <f>IFERROR(__xludf.DUMMYFUNCTION("""COMPUTED_VALUE"""),"Tap 6 Clone (10/15/2021)")</f>
        <v>Tap 6 Clone (10/15/2021)</v>
      </c>
      <c r="H1811" s="19"/>
    </row>
    <row r="1812">
      <c r="A1812" s="9"/>
      <c r="B1812" s="15"/>
      <c r="C1812" s="9">
        <f>IFERROR(__xludf.DUMMYFUNCTION("""COMPUTED_VALUE"""),44492.8023990277)</f>
        <v>44492.8024</v>
      </c>
      <c r="D1812" s="15">
        <f>IFERROR(__xludf.DUMMYFUNCTION("""COMPUTED_VALUE"""),1.026)</f>
        <v>1.026</v>
      </c>
      <c r="E1812" s="16">
        <f>IFERROR(__xludf.DUMMYFUNCTION("""COMPUTED_VALUE"""),62.0)</f>
        <v>62</v>
      </c>
      <c r="F1812" s="19" t="str">
        <f>IFERROR(__xludf.DUMMYFUNCTION("""COMPUTED_VALUE"""),"BLACK")</f>
        <v>BLACK</v>
      </c>
      <c r="G1812" s="20" t="str">
        <f>IFERROR(__xludf.DUMMYFUNCTION("""COMPUTED_VALUE"""),"Tap 6 Clone (10/15/2021)")</f>
        <v>Tap 6 Clone (10/15/2021)</v>
      </c>
      <c r="H1812" s="19"/>
    </row>
    <row r="1813">
      <c r="A1813" s="9"/>
      <c r="B1813" s="15"/>
      <c r="C1813" s="9">
        <f>IFERROR(__xludf.DUMMYFUNCTION("""COMPUTED_VALUE"""),44492.7919783564)</f>
        <v>44492.79198</v>
      </c>
      <c r="D1813" s="15">
        <f>IFERROR(__xludf.DUMMYFUNCTION("""COMPUTED_VALUE"""),1.027)</f>
        <v>1.027</v>
      </c>
      <c r="E1813" s="16">
        <f>IFERROR(__xludf.DUMMYFUNCTION("""COMPUTED_VALUE"""),62.0)</f>
        <v>62</v>
      </c>
      <c r="F1813" s="19" t="str">
        <f>IFERROR(__xludf.DUMMYFUNCTION("""COMPUTED_VALUE"""),"BLACK")</f>
        <v>BLACK</v>
      </c>
      <c r="G1813" s="20" t="str">
        <f>IFERROR(__xludf.DUMMYFUNCTION("""COMPUTED_VALUE"""),"Tap 6 Clone (10/15/2021)")</f>
        <v>Tap 6 Clone (10/15/2021)</v>
      </c>
      <c r="H1813" s="19"/>
    </row>
    <row r="1814">
      <c r="A1814" s="9"/>
      <c r="B1814" s="15"/>
      <c r="C1814" s="9">
        <f>IFERROR(__xludf.DUMMYFUNCTION("""COMPUTED_VALUE"""),44492.781556412)</f>
        <v>44492.78156</v>
      </c>
      <c r="D1814" s="15">
        <f>IFERROR(__xludf.DUMMYFUNCTION("""COMPUTED_VALUE"""),1.026)</f>
        <v>1.026</v>
      </c>
      <c r="E1814" s="16">
        <f>IFERROR(__xludf.DUMMYFUNCTION("""COMPUTED_VALUE"""),62.0)</f>
        <v>62</v>
      </c>
      <c r="F1814" s="19" t="str">
        <f>IFERROR(__xludf.DUMMYFUNCTION("""COMPUTED_VALUE"""),"BLACK")</f>
        <v>BLACK</v>
      </c>
      <c r="G1814" s="20" t="str">
        <f>IFERROR(__xludf.DUMMYFUNCTION("""COMPUTED_VALUE"""),"Tap 6 Clone (10/15/2021)")</f>
        <v>Tap 6 Clone (10/15/2021)</v>
      </c>
      <c r="H1814" s="19"/>
    </row>
    <row r="1815">
      <c r="A1815" s="9"/>
      <c r="B1815" s="15"/>
      <c r="C1815" s="9">
        <f>IFERROR(__xludf.DUMMYFUNCTION("""COMPUTED_VALUE"""),44492.7711342592)</f>
        <v>44492.77113</v>
      </c>
      <c r="D1815" s="15">
        <f>IFERROR(__xludf.DUMMYFUNCTION("""COMPUTED_VALUE"""),1.026)</f>
        <v>1.026</v>
      </c>
      <c r="E1815" s="16">
        <f>IFERROR(__xludf.DUMMYFUNCTION("""COMPUTED_VALUE"""),62.0)</f>
        <v>62</v>
      </c>
      <c r="F1815" s="19" t="str">
        <f>IFERROR(__xludf.DUMMYFUNCTION("""COMPUTED_VALUE"""),"BLACK")</f>
        <v>BLACK</v>
      </c>
      <c r="G1815" s="20" t="str">
        <f>IFERROR(__xludf.DUMMYFUNCTION("""COMPUTED_VALUE"""),"Tap 6 Clone (10/15/2021)")</f>
        <v>Tap 6 Clone (10/15/2021)</v>
      </c>
      <c r="H1815" s="19"/>
    </row>
    <row r="1816">
      <c r="A1816" s="9"/>
      <c r="B1816" s="15"/>
      <c r="C1816" s="9">
        <f>IFERROR(__xludf.DUMMYFUNCTION("""COMPUTED_VALUE"""),44492.7607125347)</f>
        <v>44492.76071</v>
      </c>
      <c r="D1816" s="15">
        <f>IFERROR(__xludf.DUMMYFUNCTION("""COMPUTED_VALUE"""),1.026)</f>
        <v>1.026</v>
      </c>
      <c r="E1816" s="16">
        <f>IFERROR(__xludf.DUMMYFUNCTION("""COMPUTED_VALUE"""),62.0)</f>
        <v>62</v>
      </c>
      <c r="F1816" s="19" t="str">
        <f>IFERROR(__xludf.DUMMYFUNCTION("""COMPUTED_VALUE"""),"BLACK")</f>
        <v>BLACK</v>
      </c>
      <c r="G1816" s="20" t="str">
        <f>IFERROR(__xludf.DUMMYFUNCTION("""COMPUTED_VALUE"""),"Tap 6 Clone (10/15/2021)")</f>
        <v>Tap 6 Clone (10/15/2021)</v>
      </c>
      <c r="H1816" s="19"/>
    </row>
    <row r="1817">
      <c r="A1817" s="9"/>
      <c r="B1817" s="15"/>
      <c r="C1817" s="9">
        <f>IFERROR(__xludf.DUMMYFUNCTION("""COMPUTED_VALUE"""),44492.7502919097)</f>
        <v>44492.75029</v>
      </c>
      <c r="D1817" s="15">
        <f>IFERROR(__xludf.DUMMYFUNCTION("""COMPUTED_VALUE"""),1.027)</f>
        <v>1.027</v>
      </c>
      <c r="E1817" s="16">
        <f>IFERROR(__xludf.DUMMYFUNCTION("""COMPUTED_VALUE"""),62.0)</f>
        <v>62</v>
      </c>
      <c r="F1817" s="19" t="str">
        <f>IFERROR(__xludf.DUMMYFUNCTION("""COMPUTED_VALUE"""),"BLACK")</f>
        <v>BLACK</v>
      </c>
      <c r="G1817" s="20" t="str">
        <f>IFERROR(__xludf.DUMMYFUNCTION("""COMPUTED_VALUE"""),"Tap 6 Clone (10/15/2021)")</f>
        <v>Tap 6 Clone (10/15/2021)</v>
      </c>
      <c r="H1817" s="19"/>
    </row>
    <row r="1818">
      <c r="A1818" s="9"/>
      <c r="B1818" s="15"/>
      <c r="C1818" s="9">
        <f>IFERROR(__xludf.DUMMYFUNCTION("""COMPUTED_VALUE"""),44492.7398703703)</f>
        <v>44492.73987</v>
      </c>
      <c r="D1818" s="15">
        <f>IFERROR(__xludf.DUMMYFUNCTION("""COMPUTED_VALUE"""),1.026)</f>
        <v>1.026</v>
      </c>
      <c r="E1818" s="16">
        <f>IFERROR(__xludf.DUMMYFUNCTION("""COMPUTED_VALUE"""),62.0)</f>
        <v>62</v>
      </c>
      <c r="F1818" s="19" t="str">
        <f>IFERROR(__xludf.DUMMYFUNCTION("""COMPUTED_VALUE"""),"BLACK")</f>
        <v>BLACK</v>
      </c>
      <c r="G1818" s="20" t="str">
        <f>IFERROR(__xludf.DUMMYFUNCTION("""COMPUTED_VALUE"""),"Tap 6 Clone (10/15/2021)")</f>
        <v>Tap 6 Clone (10/15/2021)</v>
      </c>
      <c r="H1818" s="19"/>
    </row>
    <row r="1819">
      <c r="A1819" s="9"/>
      <c r="B1819" s="15"/>
      <c r="C1819" s="9">
        <f>IFERROR(__xludf.DUMMYFUNCTION("""COMPUTED_VALUE"""),44492.7294502083)</f>
        <v>44492.72945</v>
      </c>
      <c r="D1819" s="15">
        <f>IFERROR(__xludf.DUMMYFUNCTION("""COMPUTED_VALUE"""),1.027)</f>
        <v>1.027</v>
      </c>
      <c r="E1819" s="16">
        <f>IFERROR(__xludf.DUMMYFUNCTION("""COMPUTED_VALUE"""),62.0)</f>
        <v>62</v>
      </c>
      <c r="F1819" s="19" t="str">
        <f>IFERROR(__xludf.DUMMYFUNCTION("""COMPUTED_VALUE"""),"BLACK")</f>
        <v>BLACK</v>
      </c>
      <c r="G1819" s="20" t="str">
        <f>IFERROR(__xludf.DUMMYFUNCTION("""COMPUTED_VALUE"""),"Tap 6 Clone (10/15/2021)")</f>
        <v>Tap 6 Clone (10/15/2021)</v>
      </c>
      <c r="H1819" s="19"/>
    </row>
    <row r="1820">
      <c r="A1820" s="9"/>
      <c r="B1820" s="15"/>
      <c r="C1820" s="9">
        <f>IFERROR(__xludf.DUMMYFUNCTION("""COMPUTED_VALUE"""),44492.7190168287)</f>
        <v>44492.71902</v>
      </c>
      <c r="D1820" s="15">
        <f>IFERROR(__xludf.DUMMYFUNCTION("""COMPUTED_VALUE"""),1.026)</f>
        <v>1.026</v>
      </c>
      <c r="E1820" s="16">
        <f>IFERROR(__xludf.DUMMYFUNCTION("""COMPUTED_VALUE"""),62.0)</f>
        <v>62</v>
      </c>
      <c r="F1820" s="19" t="str">
        <f>IFERROR(__xludf.DUMMYFUNCTION("""COMPUTED_VALUE"""),"BLACK")</f>
        <v>BLACK</v>
      </c>
      <c r="G1820" s="20" t="str">
        <f>IFERROR(__xludf.DUMMYFUNCTION("""COMPUTED_VALUE"""),"Tap 6 Clone (10/15/2021)")</f>
        <v>Tap 6 Clone (10/15/2021)</v>
      </c>
      <c r="H1820" s="19"/>
    </row>
    <row r="1821">
      <c r="A1821" s="9"/>
      <c r="B1821" s="15"/>
      <c r="C1821" s="9">
        <f>IFERROR(__xludf.DUMMYFUNCTION("""COMPUTED_VALUE"""),44492.7085961111)</f>
        <v>44492.7086</v>
      </c>
      <c r="D1821" s="15">
        <f>IFERROR(__xludf.DUMMYFUNCTION("""COMPUTED_VALUE"""),1.025)</f>
        <v>1.025</v>
      </c>
      <c r="E1821" s="16">
        <f>IFERROR(__xludf.DUMMYFUNCTION("""COMPUTED_VALUE"""),62.0)</f>
        <v>62</v>
      </c>
      <c r="F1821" s="19" t="str">
        <f>IFERROR(__xludf.DUMMYFUNCTION("""COMPUTED_VALUE"""),"BLACK")</f>
        <v>BLACK</v>
      </c>
      <c r="G1821" s="20" t="str">
        <f>IFERROR(__xludf.DUMMYFUNCTION("""COMPUTED_VALUE"""),"Tap 6 Clone (10/15/2021)")</f>
        <v>Tap 6 Clone (10/15/2021)</v>
      </c>
      <c r="H1821" s="19"/>
    </row>
    <row r="1822">
      <c r="A1822" s="9"/>
      <c r="B1822" s="15"/>
      <c r="C1822" s="9">
        <f>IFERROR(__xludf.DUMMYFUNCTION("""COMPUTED_VALUE"""),44492.6981630439)</f>
        <v>44492.69816</v>
      </c>
      <c r="D1822" s="15">
        <f>IFERROR(__xludf.DUMMYFUNCTION("""COMPUTED_VALUE"""),1.024)</f>
        <v>1.024</v>
      </c>
      <c r="E1822" s="16">
        <f>IFERROR(__xludf.DUMMYFUNCTION("""COMPUTED_VALUE"""),62.0)</f>
        <v>62</v>
      </c>
      <c r="F1822" s="19" t="str">
        <f>IFERROR(__xludf.DUMMYFUNCTION("""COMPUTED_VALUE"""),"BLACK")</f>
        <v>BLACK</v>
      </c>
      <c r="G1822" s="20" t="str">
        <f>IFERROR(__xludf.DUMMYFUNCTION("""COMPUTED_VALUE"""),"Tap 6 Clone (10/15/2021)")</f>
        <v>Tap 6 Clone (10/15/2021)</v>
      </c>
      <c r="H1822" s="19"/>
    </row>
    <row r="1823">
      <c r="A1823" s="9"/>
      <c r="B1823" s="15"/>
      <c r="C1823" s="9">
        <f>IFERROR(__xludf.DUMMYFUNCTION("""COMPUTED_VALUE"""),44492.6877428588)</f>
        <v>44492.68774</v>
      </c>
      <c r="D1823" s="15">
        <f>IFERROR(__xludf.DUMMYFUNCTION("""COMPUTED_VALUE"""),1.024)</f>
        <v>1.024</v>
      </c>
      <c r="E1823" s="16">
        <f>IFERROR(__xludf.DUMMYFUNCTION("""COMPUTED_VALUE"""),62.0)</f>
        <v>62</v>
      </c>
      <c r="F1823" s="19" t="str">
        <f>IFERROR(__xludf.DUMMYFUNCTION("""COMPUTED_VALUE"""),"BLACK")</f>
        <v>BLACK</v>
      </c>
      <c r="G1823" s="20" t="str">
        <f>IFERROR(__xludf.DUMMYFUNCTION("""COMPUTED_VALUE"""),"Tap 6 Clone (10/15/2021)")</f>
        <v>Tap 6 Clone (10/15/2021)</v>
      </c>
      <c r="H1823" s="19"/>
    </row>
    <row r="1824">
      <c r="A1824" s="9"/>
      <c r="B1824" s="15"/>
      <c r="C1824" s="9">
        <f>IFERROR(__xludf.DUMMYFUNCTION("""COMPUTED_VALUE"""),44492.6773224074)</f>
        <v>44492.67732</v>
      </c>
      <c r="D1824" s="15">
        <f>IFERROR(__xludf.DUMMYFUNCTION("""COMPUTED_VALUE"""),1.024)</f>
        <v>1.024</v>
      </c>
      <c r="E1824" s="16">
        <f>IFERROR(__xludf.DUMMYFUNCTION("""COMPUTED_VALUE"""),62.0)</f>
        <v>62</v>
      </c>
      <c r="F1824" s="19" t="str">
        <f>IFERROR(__xludf.DUMMYFUNCTION("""COMPUTED_VALUE"""),"BLACK")</f>
        <v>BLACK</v>
      </c>
      <c r="G1824" s="20" t="str">
        <f>IFERROR(__xludf.DUMMYFUNCTION("""COMPUTED_VALUE"""),"Tap 6 Clone (10/15/2021)")</f>
        <v>Tap 6 Clone (10/15/2021)</v>
      </c>
      <c r="H1824" s="19"/>
    </row>
    <row r="1825">
      <c r="A1825" s="9"/>
      <c r="B1825" s="15"/>
      <c r="C1825" s="9">
        <f>IFERROR(__xludf.DUMMYFUNCTION("""COMPUTED_VALUE"""),44492.6669022569)</f>
        <v>44492.6669</v>
      </c>
      <c r="D1825" s="15">
        <f>IFERROR(__xludf.DUMMYFUNCTION("""COMPUTED_VALUE"""),1.023)</f>
        <v>1.023</v>
      </c>
      <c r="E1825" s="16">
        <f>IFERROR(__xludf.DUMMYFUNCTION("""COMPUTED_VALUE"""),62.0)</f>
        <v>62</v>
      </c>
      <c r="F1825" s="19" t="str">
        <f>IFERROR(__xludf.DUMMYFUNCTION("""COMPUTED_VALUE"""),"BLACK")</f>
        <v>BLACK</v>
      </c>
      <c r="G1825" s="20" t="str">
        <f>IFERROR(__xludf.DUMMYFUNCTION("""COMPUTED_VALUE"""),"Tap 6 Clone (10/15/2021)")</f>
        <v>Tap 6 Clone (10/15/2021)</v>
      </c>
      <c r="H1825" s="19"/>
    </row>
    <row r="1826">
      <c r="A1826" s="9"/>
      <c r="B1826" s="15"/>
      <c r="C1826" s="9">
        <f>IFERROR(__xludf.DUMMYFUNCTION("""COMPUTED_VALUE"""),44492.6564797338)</f>
        <v>44492.65648</v>
      </c>
      <c r="D1826" s="15">
        <f>IFERROR(__xludf.DUMMYFUNCTION("""COMPUTED_VALUE"""),1.024)</f>
        <v>1.024</v>
      </c>
      <c r="E1826" s="16">
        <f>IFERROR(__xludf.DUMMYFUNCTION("""COMPUTED_VALUE"""),62.0)</f>
        <v>62</v>
      </c>
      <c r="F1826" s="19" t="str">
        <f>IFERROR(__xludf.DUMMYFUNCTION("""COMPUTED_VALUE"""),"BLACK")</f>
        <v>BLACK</v>
      </c>
      <c r="G1826" s="20" t="str">
        <f>IFERROR(__xludf.DUMMYFUNCTION("""COMPUTED_VALUE"""),"Tap 6 Clone (10/15/2021)")</f>
        <v>Tap 6 Clone (10/15/2021)</v>
      </c>
      <c r="H1826" s="19"/>
    </row>
    <row r="1827">
      <c r="A1827" s="9"/>
      <c r="B1827" s="15"/>
      <c r="C1827" s="9">
        <f>IFERROR(__xludf.DUMMYFUNCTION("""COMPUTED_VALUE"""),44492.6460592129)</f>
        <v>44492.64606</v>
      </c>
      <c r="D1827" s="15">
        <f>IFERROR(__xludf.DUMMYFUNCTION("""COMPUTED_VALUE"""),1.025)</f>
        <v>1.025</v>
      </c>
      <c r="E1827" s="16">
        <f>IFERROR(__xludf.DUMMYFUNCTION("""COMPUTED_VALUE"""),62.0)</f>
        <v>62</v>
      </c>
      <c r="F1827" s="19" t="str">
        <f>IFERROR(__xludf.DUMMYFUNCTION("""COMPUTED_VALUE"""),"BLACK")</f>
        <v>BLACK</v>
      </c>
      <c r="G1827" s="20" t="str">
        <f>IFERROR(__xludf.DUMMYFUNCTION("""COMPUTED_VALUE"""),"Tap 6 Clone (10/15/2021)")</f>
        <v>Tap 6 Clone (10/15/2021)</v>
      </c>
      <c r="H1827" s="19"/>
    </row>
    <row r="1828">
      <c r="A1828" s="9"/>
      <c r="B1828" s="15"/>
      <c r="C1828" s="9">
        <f>IFERROR(__xludf.DUMMYFUNCTION("""COMPUTED_VALUE"""),44492.6356370949)</f>
        <v>44492.63564</v>
      </c>
      <c r="D1828" s="15">
        <f>IFERROR(__xludf.DUMMYFUNCTION("""COMPUTED_VALUE"""),1.025)</f>
        <v>1.025</v>
      </c>
      <c r="E1828" s="16">
        <f>IFERROR(__xludf.DUMMYFUNCTION("""COMPUTED_VALUE"""),62.0)</f>
        <v>62</v>
      </c>
      <c r="F1828" s="19" t="str">
        <f>IFERROR(__xludf.DUMMYFUNCTION("""COMPUTED_VALUE"""),"BLACK")</f>
        <v>BLACK</v>
      </c>
      <c r="G1828" s="20" t="str">
        <f>IFERROR(__xludf.DUMMYFUNCTION("""COMPUTED_VALUE"""),"Tap 6 Clone (10/15/2021)")</f>
        <v>Tap 6 Clone (10/15/2021)</v>
      </c>
      <c r="H1828" s="19"/>
    </row>
    <row r="1829">
      <c r="A1829" s="9"/>
      <c r="B1829" s="15"/>
      <c r="C1829" s="9">
        <f>IFERROR(__xludf.DUMMYFUNCTION("""COMPUTED_VALUE"""),44492.6252160648)</f>
        <v>44492.62522</v>
      </c>
      <c r="D1829" s="15">
        <f>IFERROR(__xludf.DUMMYFUNCTION("""COMPUTED_VALUE"""),1.025)</f>
        <v>1.025</v>
      </c>
      <c r="E1829" s="16">
        <f>IFERROR(__xludf.DUMMYFUNCTION("""COMPUTED_VALUE"""),62.0)</f>
        <v>62</v>
      </c>
      <c r="F1829" s="19" t="str">
        <f>IFERROR(__xludf.DUMMYFUNCTION("""COMPUTED_VALUE"""),"BLACK")</f>
        <v>BLACK</v>
      </c>
      <c r="G1829" s="20" t="str">
        <f>IFERROR(__xludf.DUMMYFUNCTION("""COMPUTED_VALUE"""),"Tap 6 Clone (10/15/2021)")</f>
        <v>Tap 6 Clone (10/15/2021)</v>
      </c>
      <c r="H1829" s="19"/>
    </row>
    <row r="1830">
      <c r="A1830" s="9"/>
      <c r="B1830" s="15"/>
      <c r="C1830" s="9">
        <f>IFERROR(__xludf.DUMMYFUNCTION("""COMPUTED_VALUE"""),44492.614796956)</f>
        <v>44492.6148</v>
      </c>
      <c r="D1830" s="15">
        <f>IFERROR(__xludf.DUMMYFUNCTION("""COMPUTED_VALUE"""),1.025)</f>
        <v>1.025</v>
      </c>
      <c r="E1830" s="16">
        <f>IFERROR(__xludf.DUMMYFUNCTION("""COMPUTED_VALUE"""),62.0)</f>
        <v>62</v>
      </c>
      <c r="F1830" s="19" t="str">
        <f>IFERROR(__xludf.DUMMYFUNCTION("""COMPUTED_VALUE"""),"BLACK")</f>
        <v>BLACK</v>
      </c>
      <c r="G1830" s="20" t="str">
        <f>IFERROR(__xludf.DUMMYFUNCTION("""COMPUTED_VALUE"""),"Tap 6 Clone (10/15/2021)")</f>
        <v>Tap 6 Clone (10/15/2021)</v>
      </c>
      <c r="H1830" s="19"/>
    </row>
    <row r="1831">
      <c r="A1831" s="9"/>
      <c r="B1831" s="15"/>
      <c r="C1831" s="9">
        <f>IFERROR(__xludf.DUMMYFUNCTION("""COMPUTED_VALUE"""),44492.6043614236)</f>
        <v>44492.60436</v>
      </c>
      <c r="D1831" s="15">
        <f>IFERROR(__xludf.DUMMYFUNCTION("""COMPUTED_VALUE"""),1.025)</f>
        <v>1.025</v>
      </c>
      <c r="E1831" s="16">
        <f>IFERROR(__xludf.DUMMYFUNCTION("""COMPUTED_VALUE"""),61.0)</f>
        <v>61</v>
      </c>
      <c r="F1831" s="19" t="str">
        <f>IFERROR(__xludf.DUMMYFUNCTION("""COMPUTED_VALUE"""),"BLACK")</f>
        <v>BLACK</v>
      </c>
      <c r="G1831" s="20" t="str">
        <f>IFERROR(__xludf.DUMMYFUNCTION("""COMPUTED_VALUE"""),"Tap 6 Clone (10/15/2021)")</f>
        <v>Tap 6 Clone (10/15/2021)</v>
      </c>
      <c r="H1831" s="19"/>
    </row>
    <row r="1832">
      <c r="A1832" s="9"/>
      <c r="B1832" s="15"/>
      <c r="C1832" s="9">
        <f>IFERROR(__xludf.DUMMYFUNCTION("""COMPUTED_VALUE"""),44492.5939393287)</f>
        <v>44492.59394</v>
      </c>
      <c r="D1832" s="15">
        <f>IFERROR(__xludf.DUMMYFUNCTION("""COMPUTED_VALUE"""),1.025)</f>
        <v>1.025</v>
      </c>
      <c r="E1832" s="16">
        <f>IFERROR(__xludf.DUMMYFUNCTION("""COMPUTED_VALUE"""),61.0)</f>
        <v>61</v>
      </c>
      <c r="F1832" s="19" t="str">
        <f>IFERROR(__xludf.DUMMYFUNCTION("""COMPUTED_VALUE"""),"BLACK")</f>
        <v>BLACK</v>
      </c>
      <c r="G1832" s="20" t="str">
        <f>IFERROR(__xludf.DUMMYFUNCTION("""COMPUTED_VALUE"""),"Tap 6 Clone (10/15/2021)")</f>
        <v>Tap 6 Clone (10/15/2021)</v>
      </c>
      <c r="H1832" s="19"/>
    </row>
    <row r="1833">
      <c r="A1833" s="9"/>
      <c r="B1833" s="15"/>
      <c r="C1833" s="9">
        <f>IFERROR(__xludf.DUMMYFUNCTION("""COMPUTED_VALUE"""),44492.5835066088)</f>
        <v>44492.58351</v>
      </c>
      <c r="D1833" s="15">
        <f>IFERROR(__xludf.DUMMYFUNCTION("""COMPUTED_VALUE"""),1.025)</f>
        <v>1.025</v>
      </c>
      <c r="E1833" s="16">
        <f>IFERROR(__xludf.DUMMYFUNCTION("""COMPUTED_VALUE"""),61.0)</f>
        <v>61</v>
      </c>
      <c r="F1833" s="19" t="str">
        <f>IFERROR(__xludf.DUMMYFUNCTION("""COMPUTED_VALUE"""),"BLACK")</f>
        <v>BLACK</v>
      </c>
      <c r="G1833" s="20" t="str">
        <f>IFERROR(__xludf.DUMMYFUNCTION("""COMPUTED_VALUE"""),"Tap 6 Clone (10/15/2021)")</f>
        <v>Tap 6 Clone (10/15/2021)</v>
      </c>
      <c r="H1833" s="19"/>
    </row>
    <row r="1834">
      <c r="A1834" s="9"/>
      <c r="B1834" s="15"/>
      <c r="C1834" s="9">
        <f>IFERROR(__xludf.DUMMYFUNCTION("""COMPUTED_VALUE"""),44492.5730825)</f>
        <v>44492.57308</v>
      </c>
      <c r="D1834" s="15">
        <f>IFERROR(__xludf.DUMMYFUNCTION("""COMPUTED_VALUE"""),1.025)</f>
        <v>1.025</v>
      </c>
      <c r="E1834" s="16">
        <f>IFERROR(__xludf.DUMMYFUNCTION("""COMPUTED_VALUE"""),62.0)</f>
        <v>62</v>
      </c>
      <c r="F1834" s="19" t="str">
        <f>IFERROR(__xludf.DUMMYFUNCTION("""COMPUTED_VALUE"""),"BLACK")</f>
        <v>BLACK</v>
      </c>
      <c r="G1834" s="20" t="str">
        <f>IFERROR(__xludf.DUMMYFUNCTION("""COMPUTED_VALUE"""),"Tap 6 Clone (10/15/2021)")</f>
        <v>Tap 6 Clone (10/15/2021)</v>
      </c>
      <c r="H1834" s="19"/>
    </row>
    <row r="1835">
      <c r="A1835" s="9"/>
      <c r="B1835" s="15"/>
      <c r="C1835" s="9">
        <f>IFERROR(__xludf.DUMMYFUNCTION("""COMPUTED_VALUE"""),44492.5626608333)</f>
        <v>44492.56266</v>
      </c>
      <c r="D1835" s="15">
        <f>IFERROR(__xludf.DUMMYFUNCTION("""COMPUTED_VALUE"""),1.026)</f>
        <v>1.026</v>
      </c>
      <c r="E1835" s="16">
        <f>IFERROR(__xludf.DUMMYFUNCTION("""COMPUTED_VALUE"""),61.0)</f>
        <v>61</v>
      </c>
      <c r="F1835" s="19" t="str">
        <f>IFERROR(__xludf.DUMMYFUNCTION("""COMPUTED_VALUE"""),"BLACK")</f>
        <v>BLACK</v>
      </c>
      <c r="G1835" s="20" t="str">
        <f>IFERROR(__xludf.DUMMYFUNCTION("""COMPUTED_VALUE"""),"Tap 6 Clone (10/15/2021)")</f>
        <v>Tap 6 Clone (10/15/2021)</v>
      </c>
      <c r="H1835" s="19"/>
    </row>
    <row r="1836">
      <c r="A1836" s="9"/>
      <c r="B1836" s="15"/>
      <c r="C1836" s="9">
        <f>IFERROR(__xludf.DUMMYFUNCTION("""COMPUTED_VALUE"""),44492.5522367129)</f>
        <v>44492.55224</v>
      </c>
      <c r="D1836" s="15">
        <f>IFERROR(__xludf.DUMMYFUNCTION("""COMPUTED_VALUE"""),1.025)</f>
        <v>1.025</v>
      </c>
      <c r="E1836" s="16">
        <f>IFERROR(__xludf.DUMMYFUNCTION("""COMPUTED_VALUE"""),61.0)</f>
        <v>61</v>
      </c>
      <c r="F1836" s="19" t="str">
        <f>IFERROR(__xludf.DUMMYFUNCTION("""COMPUTED_VALUE"""),"BLACK")</f>
        <v>BLACK</v>
      </c>
      <c r="G1836" s="20" t="str">
        <f>IFERROR(__xludf.DUMMYFUNCTION("""COMPUTED_VALUE"""),"Tap 6 Clone (10/15/2021)")</f>
        <v>Tap 6 Clone (10/15/2021)</v>
      </c>
      <c r="H1836" s="19"/>
    </row>
    <row r="1837">
      <c r="A1837" s="9"/>
      <c r="B1837" s="15"/>
      <c r="C1837" s="9">
        <f>IFERROR(__xludf.DUMMYFUNCTION("""COMPUTED_VALUE"""),44492.5418164699)</f>
        <v>44492.54182</v>
      </c>
      <c r="D1837" s="15">
        <f>IFERROR(__xludf.DUMMYFUNCTION("""COMPUTED_VALUE"""),1.025)</f>
        <v>1.025</v>
      </c>
      <c r="E1837" s="16">
        <f>IFERROR(__xludf.DUMMYFUNCTION("""COMPUTED_VALUE"""),61.0)</f>
        <v>61</v>
      </c>
      <c r="F1837" s="19" t="str">
        <f>IFERROR(__xludf.DUMMYFUNCTION("""COMPUTED_VALUE"""),"BLACK")</f>
        <v>BLACK</v>
      </c>
      <c r="G1837" s="20" t="str">
        <f>IFERROR(__xludf.DUMMYFUNCTION("""COMPUTED_VALUE"""),"Tap 6 Clone (10/15/2021)")</f>
        <v>Tap 6 Clone (10/15/2021)</v>
      </c>
      <c r="H1837" s="19"/>
    </row>
    <row r="1838">
      <c r="A1838" s="9"/>
      <c r="B1838" s="15"/>
      <c r="C1838" s="9">
        <f>IFERROR(__xludf.DUMMYFUNCTION("""COMPUTED_VALUE"""),44492.5313943634)</f>
        <v>44492.53139</v>
      </c>
      <c r="D1838" s="15">
        <f>IFERROR(__xludf.DUMMYFUNCTION("""COMPUTED_VALUE"""),1.025)</f>
        <v>1.025</v>
      </c>
      <c r="E1838" s="16">
        <f>IFERROR(__xludf.DUMMYFUNCTION("""COMPUTED_VALUE"""),61.0)</f>
        <v>61</v>
      </c>
      <c r="F1838" s="19" t="str">
        <f>IFERROR(__xludf.DUMMYFUNCTION("""COMPUTED_VALUE"""),"BLACK")</f>
        <v>BLACK</v>
      </c>
      <c r="G1838" s="20" t="str">
        <f>IFERROR(__xludf.DUMMYFUNCTION("""COMPUTED_VALUE"""),"Tap 6 Clone (10/15/2021)")</f>
        <v>Tap 6 Clone (10/15/2021)</v>
      </c>
      <c r="H1838" s="19"/>
    </row>
    <row r="1839">
      <c r="A1839" s="9"/>
      <c r="B1839" s="15"/>
      <c r="C1839" s="9">
        <f>IFERROR(__xludf.DUMMYFUNCTION("""COMPUTED_VALUE"""),44492.5209731828)</f>
        <v>44492.52097</v>
      </c>
      <c r="D1839" s="15">
        <f>IFERROR(__xludf.DUMMYFUNCTION("""COMPUTED_VALUE"""),1.025)</f>
        <v>1.025</v>
      </c>
      <c r="E1839" s="16">
        <f>IFERROR(__xludf.DUMMYFUNCTION("""COMPUTED_VALUE"""),61.0)</f>
        <v>61</v>
      </c>
      <c r="F1839" s="19" t="str">
        <f>IFERROR(__xludf.DUMMYFUNCTION("""COMPUTED_VALUE"""),"BLACK")</f>
        <v>BLACK</v>
      </c>
      <c r="G1839" s="20" t="str">
        <f>IFERROR(__xludf.DUMMYFUNCTION("""COMPUTED_VALUE"""),"Tap 6 Clone (10/15/2021)")</f>
        <v>Tap 6 Clone (10/15/2021)</v>
      </c>
      <c r="H1839" s="19"/>
    </row>
    <row r="1840">
      <c r="A1840" s="9"/>
      <c r="B1840" s="15"/>
      <c r="C1840" s="9">
        <f>IFERROR(__xludf.DUMMYFUNCTION("""COMPUTED_VALUE"""),44492.5105524537)</f>
        <v>44492.51055</v>
      </c>
      <c r="D1840" s="15">
        <f>IFERROR(__xludf.DUMMYFUNCTION("""COMPUTED_VALUE"""),1.025)</f>
        <v>1.025</v>
      </c>
      <c r="E1840" s="16">
        <f>IFERROR(__xludf.DUMMYFUNCTION("""COMPUTED_VALUE"""),61.0)</f>
        <v>61</v>
      </c>
      <c r="F1840" s="19" t="str">
        <f>IFERROR(__xludf.DUMMYFUNCTION("""COMPUTED_VALUE"""),"BLACK")</f>
        <v>BLACK</v>
      </c>
      <c r="G1840" s="20" t="str">
        <f>IFERROR(__xludf.DUMMYFUNCTION("""COMPUTED_VALUE"""),"Tap 6 Clone (10/15/2021)")</f>
        <v>Tap 6 Clone (10/15/2021)</v>
      </c>
      <c r="H1840" s="19"/>
    </row>
    <row r="1841">
      <c r="A1841" s="9"/>
      <c r="B1841" s="15"/>
      <c r="C1841" s="9">
        <f>IFERROR(__xludf.DUMMYFUNCTION("""COMPUTED_VALUE"""),44492.500119618)</f>
        <v>44492.50012</v>
      </c>
      <c r="D1841" s="15">
        <f>IFERROR(__xludf.DUMMYFUNCTION("""COMPUTED_VALUE"""),1.026)</f>
        <v>1.026</v>
      </c>
      <c r="E1841" s="16">
        <f>IFERROR(__xludf.DUMMYFUNCTION("""COMPUTED_VALUE"""),61.0)</f>
        <v>61</v>
      </c>
      <c r="F1841" s="19" t="str">
        <f>IFERROR(__xludf.DUMMYFUNCTION("""COMPUTED_VALUE"""),"BLACK")</f>
        <v>BLACK</v>
      </c>
      <c r="G1841" s="20" t="str">
        <f>IFERROR(__xludf.DUMMYFUNCTION("""COMPUTED_VALUE"""),"Tap 6 Clone (10/15/2021)")</f>
        <v>Tap 6 Clone (10/15/2021)</v>
      </c>
      <c r="H1841" s="19"/>
    </row>
    <row r="1842">
      <c r="A1842" s="9"/>
      <c r="B1842" s="15"/>
      <c r="C1842" s="9">
        <f>IFERROR(__xludf.DUMMYFUNCTION("""COMPUTED_VALUE"""),44492.4896868981)</f>
        <v>44492.48969</v>
      </c>
      <c r="D1842" s="15">
        <f>IFERROR(__xludf.DUMMYFUNCTION("""COMPUTED_VALUE"""),1.025)</f>
        <v>1.025</v>
      </c>
      <c r="E1842" s="16">
        <f>IFERROR(__xludf.DUMMYFUNCTION("""COMPUTED_VALUE"""),61.0)</f>
        <v>61</v>
      </c>
      <c r="F1842" s="19" t="str">
        <f>IFERROR(__xludf.DUMMYFUNCTION("""COMPUTED_VALUE"""),"BLACK")</f>
        <v>BLACK</v>
      </c>
      <c r="G1842" s="20" t="str">
        <f>IFERROR(__xludf.DUMMYFUNCTION("""COMPUTED_VALUE"""),"Tap 6 Clone (10/15/2021)")</f>
        <v>Tap 6 Clone (10/15/2021)</v>
      </c>
      <c r="H1842" s="19"/>
    </row>
    <row r="1843">
      <c r="A1843" s="9"/>
      <c r="B1843" s="15"/>
      <c r="C1843" s="9">
        <f>IFERROR(__xludf.DUMMYFUNCTION("""COMPUTED_VALUE"""),44492.479266493)</f>
        <v>44492.47927</v>
      </c>
      <c r="D1843" s="15">
        <f>IFERROR(__xludf.DUMMYFUNCTION("""COMPUTED_VALUE"""),1.026)</f>
        <v>1.026</v>
      </c>
      <c r="E1843" s="16">
        <f>IFERROR(__xludf.DUMMYFUNCTION("""COMPUTED_VALUE"""),61.0)</f>
        <v>61</v>
      </c>
      <c r="F1843" s="19" t="str">
        <f>IFERROR(__xludf.DUMMYFUNCTION("""COMPUTED_VALUE"""),"BLACK")</f>
        <v>BLACK</v>
      </c>
      <c r="G1843" s="20" t="str">
        <f>IFERROR(__xludf.DUMMYFUNCTION("""COMPUTED_VALUE"""),"Tap 6 Clone (10/15/2021)")</f>
        <v>Tap 6 Clone (10/15/2021)</v>
      </c>
      <c r="H1843" s="19"/>
    </row>
    <row r="1844">
      <c r="A1844" s="9"/>
      <c r="B1844" s="15"/>
      <c r="C1844" s="9">
        <f>IFERROR(__xludf.DUMMYFUNCTION("""COMPUTED_VALUE"""),44492.4688441898)</f>
        <v>44492.46884</v>
      </c>
      <c r="D1844" s="15">
        <f>IFERROR(__xludf.DUMMYFUNCTION("""COMPUTED_VALUE"""),1.025)</f>
        <v>1.025</v>
      </c>
      <c r="E1844" s="16">
        <f>IFERROR(__xludf.DUMMYFUNCTION("""COMPUTED_VALUE"""),61.0)</f>
        <v>61</v>
      </c>
      <c r="F1844" s="19" t="str">
        <f>IFERROR(__xludf.DUMMYFUNCTION("""COMPUTED_VALUE"""),"BLACK")</f>
        <v>BLACK</v>
      </c>
      <c r="G1844" s="20" t="str">
        <f>IFERROR(__xludf.DUMMYFUNCTION("""COMPUTED_VALUE"""),"Tap 6 Clone (10/15/2021)")</f>
        <v>Tap 6 Clone (10/15/2021)</v>
      </c>
      <c r="H1844" s="19"/>
    </row>
    <row r="1845">
      <c r="A1845" s="9"/>
      <c r="B1845" s="15"/>
      <c r="C1845" s="9">
        <f>IFERROR(__xludf.DUMMYFUNCTION("""COMPUTED_VALUE"""),44492.4584248726)</f>
        <v>44492.45842</v>
      </c>
      <c r="D1845" s="15">
        <f>IFERROR(__xludf.DUMMYFUNCTION("""COMPUTED_VALUE"""),1.025)</f>
        <v>1.025</v>
      </c>
      <c r="E1845" s="16">
        <f>IFERROR(__xludf.DUMMYFUNCTION("""COMPUTED_VALUE"""),62.0)</f>
        <v>62</v>
      </c>
      <c r="F1845" s="19" t="str">
        <f>IFERROR(__xludf.DUMMYFUNCTION("""COMPUTED_VALUE"""),"BLACK")</f>
        <v>BLACK</v>
      </c>
      <c r="G1845" s="20" t="str">
        <f>IFERROR(__xludf.DUMMYFUNCTION("""COMPUTED_VALUE"""),"Tap 6 Clone (10/15/2021)")</f>
        <v>Tap 6 Clone (10/15/2021)</v>
      </c>
      <c r="H1845" s="19"/>
    </row>
    <row r="1846">
      <c r="A1846" s="9"/>
      <c r="B1846" s="15"/>
      <c r="C1846" s="9">
        <f>IFERROR(__xludf.DUMMYFUNCTION("""COMPUTED_VALUE"""),44492.448003206)</f>
        <v>44492.448</v>
      </c>
      <c r="D1846" s="15">
        <f>IFERROR(__xludf.DUMMYFUNCTION("""COMPUTED_VALUE"""),1.024)</f>
        <v>1.024</v>
      </c>
      <c r="E1846" s="16">
        <f>IFERROR(__xludf.DUMMYFUNCTION("""COMPUTED_VALUE"""),62.0)</f>
        <v>62</v>
      </c>
      <c r="F1846" s="19" t="str">
        <f>IFERROR(__xludf.DUMMYFUNCTION("""COMPUTED_VALUE"""),"BLACK")</f>
        <v>BLACK</v>
      </c>
      <c r="G1846" s="20" t="str">
        <f>IFERROR(__xludf.DUMMYFUNCTION("""COMPUTED_VALUE"""),"Tap 6 Clone (10/15/2021)")</f>
        <v>Tap 6 Clone (10/15/2021)</v>
      </c>
      <c r="H1846" s="19"/>
    </row>
    <row r="1847">
      <c r="A1847" s="9"/>
      <c r="B1847" s="15"/>
      <c r="C1847" s="9">
        <f>IFERROR(__xludf.DUMMYFUNCTION("""COMPUTED_VALUE"""),44492.4375817824)</f>
        <v>44492.43758</v>
      </c>
      <c r="D1847" s="15">
        <f>IFERROR(__xludf.DUMMYFUNCTION("""COMPUTED_VALUE"""),1.024)</f>
        <v>1.024</v>
      </c>
      <c r="E1847" s="16">
        <f>IFERROR(__xludf.DUMMYFUNCTION("""COMPUTED_VALUE"""),62.0)</f>
        <v>62</v>
      </c>
      <c r="F1847" s="19" t="str">
        <f>IFERROR(__xludf.DUMMYFUNCTION("""COMPUTED_VALUE"""),"BLACK")</f>
        <v>BLACK</v>
      </c>
      <c r="G1847" s="20" t="str">
        <f>IFERROR(__xludf.DUMMYFUNCTION("""COMPUTED_VALUE"""),"Tap 6 Clone (10/15/2021)")</f>
        <v>Tap 6 Clone (10/15/2021)</v>
      </c>
      <c r="H1847" s="19"/>
    </row>
    <row r="1848">
      <c r="A1848" s="9"/>
      <c r="B1848" s="15"/>
      <c r="C1848" s="9">
        <f>IFERROR(__xludf.DUMMYFUNCTION("""COMPUTED_VALUE"""),44492.4271480787)</f>
        <v>44492.42715</v>
      </c>
      <c r="D1848" s="15">
        <f>IFERROR(__xludf.DUMMYFUNCTION("""COMPUTED_VALUE"""),1.023)</f>
        <v>1.023</v>
      </c>
      <c r="E1848" s="16">
        <f>IFERROR(__xludf.DUMMYFUNCTION("""COMPUTED_VALUE"""),62.0)</f>
        <v>62</v>
      </c>
      <c r="F1848" s="19" t="str">
        <f>IFERROR(__xludf.DUMMYFUNCTION("""COMPUTED_VALUE"""),"BLACK")</f>
        <v>BLACK</v>
      </c>
      <c r="G1848" s="20" t="str">
        <f>IFERROR(__xludf.DUMMYFUNCTION("""COMPUTED_VALUE"""),"Tap 6 Clone (10/15/2021)")</f>
        <v>Tap 6 Clone (10/15/2021)</v>
      </c>
      <c r="H1848" s="19"/>
    </row>
    <row r="1849">
      <c r="A1849" s="9"/>
      <c r="B1849" s="15"/>
      <c r="C1849" s="9">
        <f>IFERROR(__xludf.DUMMYFUNCTION("""COMPUTED_VALUE"""),44492.4167148148)</f>
        <v>44492.41671</v>
      </c>
      <c r="D1849" s="15">
        <f>IFERROR(__xludf.DUMMYFUNCTION("""COMPUTED_VALUE"""),1.023)</f>
        <v>1.023</v>
      </c>
      <c r="E1849" s="16">
        <f>IFERROR(__xludf.DUMMYFUNCTION("""COMPUTED_VALUE"""),62.0)</f>
        <v>62</v>
      </c>
      <c r="F1849" s="19" t="str">
        <f>IFERROR(__xludf.DUMMYFUNCTION("""COMPUTED_VALUE"""),"BLACK")</f>
        <v>BLACK</v>
      </c>
      <c r="G1849" s="20" t="str">
        <f>IFERROR(__xludf.DUMMYFUNCTION("""COMPUTED_VALUE"""),"Tap 6 Clone (10/15/2021)")</f>
        <v>Tap 6 Clone (10/15/2021)</v>
      </c>
      <c r="H1849" s="19"/>
    </row>
    <row r="1850">
      <c r="A1850" s="9"/>
      <c r="B1850" s="15"/>
      <c r="C1850" s="9">
        <f>IFERROR(__xludf.DUMMYFUNCTION("""COMPUTED_VALUE"""),44492.406295625)</f>
        <v>44492.4063</v>
      </c>
      <c r="D1850" s="15">
        <f>IFERROR(__xludf.DUMMYFUNCTION("""COMPUTED_VALUE"""),1.024)</f>
        <v>1.024</v>
      </c>
      <c r="E1850" s="16">
        <f>IFERROR(__xludf.DUMMYFUNCTION("""COMPUTED_VALUE"""),63.0)</f>
        <v>63</v>
      </c>
      <c r="F1850" s="19" t="str">
        <f>IFERROR(__xludf.DUMMYFUNCTION("""COMPUTED_VALUE"""),"BLACK")</f>
        <v>BLACK</v>
      </c>
      <c r="G1850" s="20" t="str">
        <f>IFERROR(__xludf.DUMMYFUNCTION("""COMPUTED_VALUE"""),"Tap 6 Clone (10/15/2021)")</f>
        <v>Tap 6 Clone (10/15/2021)</v>
      </c>
      <c r="H1850" s="19"/>
    </row>
    <row r="1851">
      <c r="A1851" s="9"/>
      <c r="B1851" s="15"/>
      <c r="C1851" s="9">
        <f>IFERROR(__xludf.DUMMYFUNCTION("""COMPUTED_VALUE"""),44492.3958754976)</f>
        <v>44492.39588</v>
      </c>
      <c r="D1851" s="15">
        <f>IFERROR(__xludf.DUMMYFUNCTION("""COMPUTED_VALUE"""),1.025)</f>
        <v>1.025</v>
      </c>
      <c r="E1851" s="16">
        <f>IFERROR(__xludf.DUMMYFUNCTION("""COMPUTED_VALUE"""),63.0)</f>
        <v>63</v>
      </c>
      <c r="F1851" s="19" t="str">
        <f>IFERROR(__xludf.DUMMYFUNCTION("""COMPUTED_VALUE"""),"BLACK")</f>
        <v>BLACK</v>
      </c>
      <c r="G1851" s="20" t="str">
        <f>IFERROR(__xludf.DUMMYFUNCTION("""COMPUTED_VALUE"""),"Tap 6 Clone (10/15/2021)")</f>
        <v>Tap 6 Clone (10/15/2021)</v>
      </c>
      <c r="H1851" s="19"/>
    </row>
    <row r="1852">
      <c r="A1852" s="9"/>
      <c r="B1852" s="15"/>
      <c r="C1852" s="9">
        <f>IFERROR(__xludf.DUMMYFUNCTION("""COMPUTED_VALUE"""),44492.3854431481)</f>
        <v>44492.38544</v>
      </c>
      <c r="D1852" s="15">
        <f>IFERROR(__xludf.DUMMYFUNCTION("""COMPUTED_VALUE"""),1.025)</f>
        <v>1.025</v>
      </c>
      <c r="E1852" s="16">
        <f>IFERROR(__xludf.DUMMYFUNCTION("""COMPUTED_VALUE"""),63.0)</f>
        <v>63</v>
      </c>
      <c r="F1852" s="19" t="str">
        <f>IFERROR(__xludf.DUMMYFUNCTION("""COMPUTED_VALUE"""),"BLACK")</f>
        <v>BLACK</v>
      </c>
      <c r="G1852" s="20" t="str">
        <f>IFERROR(__xludf.DUMMYFUNCTION("""COMPUTED_VALUE"""),"Tap 6 Clone (10/15/2021)")</f>
        <v>Tap 6 Clone (10/15/2021)</v>
      </c>
      <c r="H1852" s="19"/>
    </row>
    <row r="1853">
      <c r="A1853" s="9"/>
      <c r="B1853" s="15"/>
      <c r="C1853" s="9">
        <f>IFERROR(__xludf.DUMMYFUNCTION("""COMPUTED_VALUE"""),44492.3750218518)</f>
        <v>44492.37502</v>
      </c>
      <c r="D1853" s="15">
        <f>IFERROR(__xludf.DUMMYFUNCTION("""COMPUTED_VALUE"""),1.025)</f>
        <v>1.025</v>
      </c>
      <c r="E1853" s="16">
        <f>IFERROR(__xludf.DUMMYFUNCTION("""COMPUTED_VALUE"""),64.0)</f>
        <v>64</v>
      </c>
      <c r="F1853" s="19" t="str">
        <f>IFERROR(__xludf.DUMMYFUNCTION("""COMPUTED_VALUE"""),"BLACK")</f>
        <v>BLACK</v>
      </c>
      <c r="G1853" s="20" t="str">
        <f>IFERROR(__xludf.DUMMYFUNCTION("""COMPUTED_VALUE"""),"Tap 6 Clone (10/15/2021)")</f>
        <v>Tap 6 Clone (10/15/2021)</v>
      </c>
      <c r="H1853" s="19"/>
    </row>
    <row r="1854">
      <c r="A1854" s="9"/>
      <c r="B1854" s="15"/>
      <c r="C1854" s="9">
        <f>IFERROR(__xludf.DUMMYFUNCTION("""COMPUTED_VALUE"""),44492.3645996643)</f>
        <v>44492.3646</v>
      </c>
      <c r="D1854" s="15">
        <f>IFERROR(__xludf.DUMMYFUNCTION("""COMPUTED_VALUE"""),1.025)</f>
        <v>1.025</v>
      </c>
      <c r="E1854" s="16">
        <f>IFERROR(__xludf.DUMMYFUNCTION("""COMPUTED_VALUE"""),65.0)</f>
        <v>65</v>
      </c>
      <c r="F1854" s="19" t="str">
        <f>IFERROR(__xludf.DUMMYFUNCTION("""COMPUTED_VALUE"""),"BLACK")</f>
        <v>BLACK</v>
      </c>
      <c r="G1854" s="20" t="str">
        <f>IFERROR(__xludf.DUMMYFUNCTION("""COMPUTED_VALUE"""),"Tap 6 Clone (10/15/2021)")</f>
        <v>Tap 6 Clone (10/15/2021)</v>
      </c>
      <c r="H1854" s="19"/>
    </row>
    <row r="1855">
      <c r="A1855" s="9"/>
      <c r="B1855" s="15"/>
      <c r="C1855" s="9">
        <f>IFERROR(__xludf.DUMMYFUNCTION("""COMPUTED_VALUE"""),44492.3541796759)</f>
        <v>44492.35418</v>
      </c>
      <c r="D1855" s="15">
        <f>IFERROR(__xludf.DUMMYFUNCTION("""COMPUTED_VALUE"""),1.025)</f>
        <v>1.025</v>
      </c>
      <c r="E1855" s="16">
        <f>IFERROR(__xludf.DUMMYFUNCTION("""COMPUTED_VALUE"""),65.0)</f>
        <v>65</v>
      </c>
      <c r="F1855" s="19" t="str">
        <f>IFERROR(__xludf.DUMMYFUNCTION("""COMPUTED_VALUE"""),"BLACK")</f>
        <v>BLACK</v>
      </c>
      <c r="G1855" s="20" t="str">
        <f>IFERROR(__xludf.DUMMYFUNCTION("""COMPUTED_VALUE"""),"Tap 6 Clone (10/15/2021)")</f>
        <v>Tap 6 Clone (10/15/2021)</v>
      </c>
      <c r="H1855" s="19"/>
    </row>
    <row r="1856">
      <c r="A1856" s="9"/>
      <c r="B1856" s="15"/>
      <c r="C1856" s="9">
        <f>IFERROR(__xludf.DUMMYFUNCTION("""COMPUTED_VALUE"""),44492.3437472222)</f>
        <v>44492.34375</v>
      </c>
      <c r="D1856" s="15">
        <f>IFERROR(__xludf.DUMMYFUNCTION("""COMPUTED_VALUE"""),1.025)</f>
        <v>1.025</v>
      </c>
      <c r="E1856" s="16">
        <f>IFERROR(__xludf.DUMMYFUNCTION("""COMPUTED_VALUE"""),66.0)</f>
        <v>66</v>
      </c>
      <c r="F1856" s="19" t="str">
        <f>IFERROR(__xludf.DUMMYFUNCTION("""COMPUTED_VALUE"""),"BLACK")</f>
        <v>BLACK</v>
      </c>
      <c r="G1856" s="20" t="str">
        <f>IFERROR(__xludf.DUMMYFUNCTION("""COMPUTED_VALUE"""),"Tap 6 Clone (10/15/2021)")</f>
        <v>Tap 6 Clone (10/15/2021)</v>
      </c>
      <c r="H1856" s="19"/>
    </row>
    <row r="1857">
      <c r="A1857" s="9"/>
      <c r="B1857" s="15"/>
      <c r="C1857" s="9">
        <f>IFERROR(__xludf.DUMMYFUNCTION("""COMPUTED_VALUE"""),44492.3333257291)</f>
        <v>44492.33333</v>
      </c>
      <c r="D1857" s="15">
        <f>IFERROR(__xludf.DUMMYFUNCTION("""COMPUTED_VALUE"""),1.025)</f>
        <v>1.025</v>
      </c>
      <c r="E1857" s="16">
        <f>IFERROR(__xludf.DUMMYFUNCTION("""COMPUTED_VALUE"""),66.0)</f>
        <v>66</v>
      </c>
      <c r="F1857" s="19" t="str">
        <f>IFERROR(__xludf.DUMMYFUNCTION("""COMPUTED_VALUE"""),"BLACK")</f>
        <v>BLACK</v>
      </c>
      <c r="G1857" s="20" t="str">
        <f>IFERROR(__xludf.DUMMYFUNCTION("""COMPUTED_VALUE"""),"Tap 6 Clone (10/15/2021)")</f>
        <v>Tap 6 Clone (10/15/2021)</v>
      </c>
      <c r="H1857" s="19"/>
    </row>
    <row r="1858">
      <c r="A1858" s="9"/>
      <c r="B1858" s="15"/>
      <c r="C1858" s="9">
        <f>IFERROR(__xludf.DUMMYFUNCTION("""COMPUTED_VALUE"""),44492.3229059027)</f>
        <v>44492.32291</v>
      </c>
      <c r="D1858" s="15">
        <f>IFERROR(__xludf.DUMMYFUNCTION("""COMPUTED_VALUE"""),1.025)</f>
        <v>1.025</v>
      </c>
      <c r="E1858" s="16">
        <f>IFERROR(__xludf.DUMMYFUNCTION("""COMPUTED_VALUE"""),66.0)</f>
        <v>66</v>
      </c>
      <c r="F1858" s="19" t="str">
        <f>IFERROR(__xludf.DUMMYFUNCTION("""COMPUTED_VALUE"""),"BLACK")</f>
        <v>BLACK</v>
      </c>
      <c r="G1858" s="20" t="str">
        <f>IFERROR(__xludf.DUMMYFUNCTION("""COMPUTED_VALUE"""),"Tap 6 Clone (10/15/2021)")</f>
        <v>Tap 6 Clone (10/15/2021)</v>
      </c>
      <c r="H1858" s="19"/>
    </row>
    <row r="1859">
      <c r="A1859" s="9"/>
      <c r="B1859" s="15"/>
      <c r="C1859" s="9">
        <f>IFERROR(__xludf.DUMMYFUNCTION("""COMPUTED_VALUE"""),44492.3124830092)</f>
        <v>44492.31248</v>
      </c>
      <c r="D1859" s="15">
        <f>IFERROR(__xludf.DUMMYFUNCTION("""COMPUTED_VALUE"""),1.024)</f>
        <v>1.024</v>
      </c>
      <c r="E1859" s="16">
        <f>IFERROR(__xludf.DUMMYFUNCTION("""COMPUTED_VALUE"""),66.0)</f>
        <v>66</v>
      </c>
      <c r="F1859" s="19" t="str">
        <f>IFERROR(__xludf.DUMMYFUNCTION("""COMPUTED_VALUE"""),"BLACK")</f>
        <v>BLACK</v>
      </c>
      <c r="G1859" s="20" t="str">
        <f>IFERROR(__xludf.DUMMYFUNCTION("""COMPUTED_VALUE"""),"Tap 6 Clone (10/15/2021)")</f>
        <v>Tap 6 Clone (10/15/2021)</v>
      </c>
      <c r="H1859" s="19"/>
    </row>
    <row r="1860">
      <c r="A1860" s="9"/>
      <c r="B1860" s="15"/>
      <c r="C1860" s="9">
        <f>IFERROR(__xludf.DUMMYFUNCTION("""COMPUTED_VALUE"""),44492.3020609375)</f>
        <v>44492.30206</v>
      </c>
      <c r="D1860" s="15">
        <f>IFERROR(__xludf.DUMMYFUNCTION("""COMPUTED_VALUE"""),1.024)</f>
        <v>1.024</v>
      </c>
      <c r="E1860" s="16">
        <f>IFERROR(__xludf.DUMMYFUNCTION("""COMPUTED_VALUE"""),66.0)</f>
        <v>66</v>
      </c>
      <c r="F1860" s="19" t="str">
        <f>IFERROR(__xludf.DUMMYFUNCTION("""COMPUTED_VALUE"""),"BLACK")</f>
        <v>BLACK</v>
      </c>
      <c r="G1860" s="20" t="str">
        <f>IFERROR(__xludf.DUMMYFUNCTION("""COMPUTED_VALUE"""),"Tap 6 Clone (10/15/2021)")</f>
        <v>Tap 6 Clone (10/15/2021)</v>
      </c>
      <c r="H1860" s="19"/>
    </row>
    <row r="1861">
      <c r="A1861" s="9"/>
      <c r="B1861" s="15"/>
      <c r="C1861" s="9">
        <f>IFERROR(__xludf.DUMMYFUNCTION("""COMPUTED_VALUE"""),44492.2916276273)</f>
        <v>44492.29163</v>
      </c>
      <c r="D1861" s="15">
        <f>IFERROR(__xludf.DUMMYFUNCTION("""COMPUTED_VALUE"""),1.024)</f>
        <v>1.024</v>
      </c>
      <c r="E1861" s="16">
        <f>IFERROR(__xludf.DUMMYFUNCTION("""COMPUTED_VALUE"""),66.0)</f>
        <v>66</v>
      </c>
      <c r="F1861" s="19" t="str">
        <f>IFERROR(__xludf.DUMMYFUNCTION("""COMPUTED_VALUE"""),"BLACK")</f>
        <v>BLACK</v>
      </c>
      <c r="G1861" s="20" t="str">
        <f>IFERROR(__xludf.DUMMYFUNCTION("""COMPUTED_VALUE"""),"Tap 6 Clone (10/15/2021)")</f>
        <v>Tap 6 Clone (10/15/2021)</v>
      </c>
      <c r="H1861" s="19"/>
    </row>
    <row r="1862">
      <c r="A1862" s="9"/>
      <c r="B1862" s="15"/>
      <c r="C1862" s="9">
        <f>IFERROR(__xludf.DUMMYFUNCTION("""COMPUTED_VALUE"""),44492.281193912)</f>
        <v>44492.28119</v>
      </c>
      <c r="D1862" s="15">
        <f>IFERROR(__xludf.DUMMYFUNCTION("""COMPUTED_VALUE"""),1.025)</f>
        <v>1.025</v>
      </c>
      <c r="E1862" s="16">
        <f>IFERROR(__xludf.DUMMYFUNCTION("""COMPUTED_VALUE"""),66.0)</f>
        <v>66</v>
      </c>
      <c r="F1862" s="19" t="str">
        <f>IFERROR(__xludf.DUMMYFUNCTION("""COMPUTED_VALUE"""),"BLACK")</f>
        <v>BLACK</v>
      </c>
      <c r="G1862" s="20" t="str">
        <f>IFERROR(__xludf.DUMMYFUNCTION("""COMPUTED_VALUE"""),"Tap 6 Clone (10/15/2021)")</f>
        <v>Tap 6 Clone (10/15/2021)</v>
      </c>
      <c r="H1862" s="19"/>
    </row>
    <row r="1863">
      <c r="A1863" s="9"/>
      <c r="B1863" s="15"/>
      <c r="C1863" s="9">
        <f>IFERROR(__xludf.DUMMYFUNCTION("""COMPUTED_VALUE"""),44492.2707745601)</f>
        <v>44492.27077</v>
      </c>
      <c r="D1863" s="15">
        <f>IFERROR(__xludf.DUMMYFUNCTION("""COMPUTED_VALUE"""),1.024)</f>
        <v>1.024</v>
      </c>
      <c r="E1863" s="16">
        <f>IFERROR(__xludf.DUMMYFUNCTION("""COMPUTED_VALUE"""),66.0)</f>
        <v>66</v>
      </c>
      <c r="F1863" s="19" t="str">
        <f>IFERROR(__xludf.DUMMYFUNCTION("""COMPUTED_VALUE"""),"BLACK")</f>
        <v>BLACK</v>
      </c>
      <c r="G1863" s="20" t="str">
        <f>IFERROR(__xludf.DUMMYFUNCTION("""COMPUTED_VALUE"""),"Tap 6 Clone (10/15/2021)")</f>
        <v>Tap 6 Clone (10/15/2021)</v>
      </c>
      <c r="H1863" s="19"/>
    </row>
    <row r="1864">
      <c r="A1864" s="9"/>
      <c r="B1864" s="15"/>
      <c r="C1864" s="9">
        <f>IFERROR(__xludf.DUMMYFUNCTION("""COMPUTED_VALUE"""),44492.2603538194)</f>
        <v>44492.26035</v>
      </c>
      <c r="D1864" s="15">
        <f>IFERROR(__xludf.DUMMYFUNCTION("""COMPUTED_VALUE"""),1.025)</f>
        <v>1.025</v>
      </c>
      <c r="E1864" s="16">
        <f>IFERROR(__xludf.DUMMYFUNCTION("""COMPUTED_VALUE"""),66.0)</f>
        <v>66</v>
      </c>
      <c r="F1864" s="19" t="str">
        <f>IFERROR(__xludf.DUMMYFUNCTION("""COMPUTED_VALUE"""),"BLACK")</f>
        <v>BLACK</v>
      </c>
      <c r="G1864" s="20" t="str">
        <f>IFERROR(__xludf.DUMMYFUNCTION("""COMPUTED_VALUE"""),"Tap 6 Clone (10/15/2021)")</f>
        <v>Tap 6 Clone (10/15/2021)</v>
      </c>
      <c r="H1864" s="19"/>
    </row>
    <row r="1865">
      <c r="A1865" s="9"/>
      <c r="B1865" s="15"/>
      <c r="C1865" s="9">
        <f>IFERROR(__xludf.DUMMYFUNCTION("""COMPUTED_VALUE"""),44492.2499326504)</f>
        <v>44492.24993</v>
      </c>
      <c r="D1865" s="15">
        <f>IFERROR(__xludf.DUMMYFUNCTION("""COMPUTED_VALUE"""),1.025)</f>
        <v>1.025</v>
      </c>
      <c r="E1865" s="16">
        <f>IFERROR(__xludf.DUMMYFUNCTION("""COMPUTED_VALUE"""),66.0)</f>
        <v>66</v>
      </c>
      <c r="F1865" s="19" t="str">
        <f>IFERROR(__xludf.DUMMYFUNCTION("""COMPUTED_VALUE"""),"BLACK")</f>
        <v>BLACK</v>
      </c>
      <c r="G1865" s="20" t="str">
        <f>IFERROR(__xludf.DUMMYFUNCTION("""COMPUTED_VALUE"""),"Tap 6 Clone (10/15/2021)")</f>
        <v>Tap 6 Clone (10/15/2021)</v>
      </c>
      <c r="H1865" s="19"/>
    </row>
    <row r="1866">
      <c r="A1866" s="9"/>
      <c r="B1866" s="15"/>
      <c r="C1866" s="9">
        <f>IFERROR(__xludf.DUMMYFUNCTION("""COMPUTED_VALUE"""),44492.2395127199)</f>
        <v>44492.23951</v>
      </c>
      <c r="D1866" s="15">
        <f>IFERROR(__xludf.DUMMYFUNCTION("""COMPUTED_VALUE"""),1.025)</f>
        <v>1.025</v>
      </c>
      <c r="E1866" s="16">
        <f>IFERROR(__xludf.DUMMYFUNCTION("""COMPUTED_VALUE"""),66.0)</f>
        <v>66</v>
      </c>
      <c r="F1866" s="19" t="str">
        <f>IFERROR(__xludf.DUMMYFUNCTION("""COMPUTED_VALUE"""),"BLACK")</f>
        <v>BLACK</v>
      </c>
      <c r="G1866" s="20" t="str">
        <f>IFERROR(__xludf.DUMMYFUNCTION("""COMPUTED_VALUE"""),"Tap 6 Clone (10/15/2021)")</f>
        <v>Tap 6 Clone (10/15/2021)</v>
      </c>
      <c r="H1866" s="19"/>
    </row>
    <row r="1867">
      <c r="A1867" s="9"/>
      <c r="B1867" s="15"/>
      <c r="C1867" s="9">
        <f>IFERROR(__xludf.DUMMYFUNCTION("""COMPUTED_VALUE"""),44492.2290903472)</f>
        <v>44492.22909</v>
      </c>
      <c r="D1867" s="15">
        <f>IFERROR(__xludf.DUMMYFUNCTION("""COMPUTED_VALUE"""),1.026)</f>
        <v>1.026</v>
      </c>
      <c r="E1867" s="16">
        <f>IFERROR(__xludf.DUMMYFUNCTION("""COMPUTED_VALUE"""),66.0)</f>
        <v>66</v>
      </c>
      <c r="F1867" s="19" t="str">
        <f>IFERROR(__xludf.DUMMYFUNCTION("""COMPUTED_VALUE"""),"BLACK")</f>
        <v>BLACK</v>
      </c>
      <c r="G1867" s="20" t="str">
        <f>IFERROR(__xludf.DUMMYFUNCTION("""COMPUTED_VALUE"""),"Tap 6 Clone (10/15/2021)")</f>
        <v>Tap 6 Clone (10/15/2021)</v>
      </c>
      <c r="H1867" s="19"/>
    </row>
    <row r="1868">
      <c r="A1868" s="9"/>
      <c r="B1868" s="15"/>
      <c r="C1868" s="9">
        <f>IFERROR(__xludf.DUMMYFUNCTION("""COMPUTED_VALUE"""),44492.2186700925)</f>
        <v>44492.21867</v>
      </c>
      <c r="D1868" s="15">
        <f>IFERROR(__xludf.DUMMYFUNCTION("""COMPUTED_VALUE"""),1.025)</f>
        <v>1.025</v>
      </c>
      <c r="E1868" s="16">
        <f>IFERROR(__xludf.DUMMYFUNCTION("""COMPUTED_VALUE"""),66.0)</f>
        <v>66</v>
      </c>
      <c r="F1868" s="19" t="str">
        <f>IFERROR(__xludf.DUMMYFUNCTION("""COMPUTED_VALUE"""),"BLACK")</f>
        <v>BLACK</v>
      </c>
      <c r="G1868" s="20" t="str">
        <f>IFERROR(__xludf.DUMMYFUNCTION("""COMPUTED_VALUE"""),"Tap 6 Clone (10/15/2021)")</f>
        <v>Tap 6 Clone (10/15/2021)</v>
      </c>
      <c r="H1868" s="19"/>
    </row>
    <row r="1869">
      <c r="A1869" s="9"/>
      <c r="B1869" s="15"/>
      <c r="C1869" s="9">
        <f>IFERROR(__xludf.DUMMYFUNCTION("""COMPUTED_VALUE"""),44492.2082499189)</f>
        <v>44492.20825</v>
      </c>
      <c r="D1869" s="15">
        <f>IFERROR(__xludf.DUMMYFUNCTION("""COMPUTED_VALUE"""),1.025)</f>
        <v>1.025</v>
      </c>
      <c r="E1869" s="16">
        <f>IFERROR(__xludf.DUMMYFUNCTION("""COMPUTED_VALUE"""),66.0)</f>
        <v>66</v>
      </c>
      <c r="F1869" s="19" t="str">
        <f>IFERROR(__xludf.DUMMYFUNCTION("""COMPUTED_VALUE"""),"BLACK")</f>
        <v>BLACK</v>
      </c>
      <c r="G1869" s="20" t="str">
        <f>IFERROR(__xludf.DUMMYFUNCTION("""COMPUTED_VALUE"""),"Tap 6 Clone (10/15/2021)")</f>
        <v>Tap 6 Clone (10/15/2021)</v>
      </c>
      <c r="H1869" s="19"/>
    </row>
    <row r="1870">
      <c r="A1870" s="9"/>
      <c r="B1870" s="15"/>
      <c r="C1870" s="9">
        <f>IFERROR(__xludf.DUMMYFUNCTION("""COMPUTED_VALUE"""),44492.1978283796)</f>
        <v>44492.19783</v>
      </c>
      <c r="D1870" s="15">
        <f>IFERROR(__xludf.DUMMYFUNCTION("""COMPUTED_VALUE"""),1.024)</f>
        <v>1.024</v>
      </c>
      <c r="E1870" s="16">
        <f>IFERROR(__xludf.DUMMYFUNCTION("""COMPUTED_VALUE"""),66.0)</f>
        <v>66</v>
      </c>
      <c r="F1870" s="19" t="str">
        <f>IFERROR(__xludf.DUMMYFUNCTION("""COMPUTED_VALUE"""),"BLACK")</f>
        <v>BLACK</v>
      </c>
      <c r="G1870" s="20" t="str">
        <f>IFERROR(__xludf.DUMMYFUNCTION("""COMPUTED_VALUE"""),"Tap 6 Clone (10/15/2021)")</f>
        <v>Tap 6 Clone (10/15/2021)</v>
      </c>
      <c r="H1870" s="19"/>
    </row>
    <row r="1871">
      <c r="A1871" s="9"/>
      <c r="B1871" s="15"/>
      <c r="C1871" s="9">
        <f>IFERROR(__xludf.DUMMYFUNCTION("""COMPUTED_VALUE"""),44492.1873944676)</f>
        <v>44492.18739</v>
      </c>
      <c r="D1871" s="15">
        <f>IFERROR(__xludf.DUMMYFUNCTION("""COMPUTED_VALUE"""),1.025)</f>
        <v>1.025</v>
      </c>
      <c r="E1871" s="16">
        <f>IFERROR(__xludf.DUMMYFUNCTION("""COMPUTED_VALUE"""),66.0)</f>
        <v>66</v>
      </c>
      <c r="F1871" s="19" t="str">
        <f>IFERROR(__xludf.DUMMYFUNCTION("""COMPUTED_VALUE"""),"BLACK")</f>
        <v>BLACK</v>
      </c>
      <c r="G1871" s="20" t="str">
        <f>IFERROR(__xludf.DUMMYFUNCTION("""COMPUTED_VALUE"""),"Tap 6 Clone (10/15/2021)")</f>
        <v>Tap 6 Clone (10/15/2021)</v>
      </c>
      <c r="H1871" s="19"/>
    </row>
    <row r="1872">
      <c r="A1872" s="9"/>
      <c r="B1872" s="15"/>
      <c r="C1872" s="9">
        <f>IFERROR(__xludf.DUMMYFUNCTION("""COMPUTED_VALUE"""),44492.1769738194)</f>
        <v>44492.17697</v>
      </c>
      <c r="D1872" s="15">
        <f>IFERROR(__xludf.DUMMYFUNCTION("""COMPUTED_VALUE"""),1.024)</f>
        <v>1.024</v>
      </c>
      <c r="E1872" s="16">
        <f>IFERROR(__xludf.DUMMYFUNCTION("""COMPUTED_VALUE"""),65.0)</f>
        <v>65</v>
      </c>
      <c r="F1872" s="19" t="str">
        <f>IFERROR(__xludf.DUMMYFUNCTION("""COMPUTED_VALUE"""),"BLACK")</f>
        <v>BLACK</v>
      </c>
      <c r="G1872" s="20" t="str">
        <f>IFERROR(__xludf.DUMMYFUNCTION("""COMPUTED_VALUE"""),"Tap 6 Clone (10/15/2021)")</f>
        <v>Tap 6 Clone (10/15/2021)</v>
      </c>
      <c r="H1872" s="19"/>
    </row>
    <row r="1873">
      <c r="A1873" s="9"/>
      <c r="B1873" s="15"/>
      <c r="C1873" s="9">
        <f>IFERROR(__xludf.DUMMYFUNCTION("""COMPUTED_VALUE"""),44492.1665529282)</f>
        <v>44492.16655</v>
      </c>
      <c r="D1873" s="15">
        <f>IFERROR(__xludf.DUMMYFUNCTION("""COMPUTED_VALUE"""),1.024)</f>
        <v>1.024</v>
      </c>
      <c r="E1873" s="16">
        <f>IFERROR(__xludf.DUMMYFUNCTION("""COMPUTED_VALUE"""),65.0)</f>
        <v>65</v>
      </c>
      <c r="F1873" s="19" t="str">
        <f>IFERROR(__xludf.DUMMYFUNCTION("""COMPUTED_VALUE"""),"BLACK")</f>
        <v>BLACK</v>
      </c>
      <c r="G1873" s="20" t="str">
        <f>IFERROR(__xludf.DUMMYFUNCTION("""COMPUTED_VALUE"""),"Tap 6 Clone (10/15/2021)")</f>
        <v>Tap 6 Clone (10/15/2021)</v>
      </c>
      <c r="H1873" s="19"/>
    </row>
    <row r="1874">
      <c r="A1874" s="9"/>
      <c r="B1874" s="15"/>
      <c r="C1874" s="9">
        <f>IFERROR(__xludf.DUMMYFUNCTION("""COMPUTED_VALUE"""),44492.1561324537)</f>
        <v>44492.15613</v>
      </c>
      <c r="D1874" s="15">
        <f>IFERROR(__xludf.DUMMYFUNCTION("""COMPUTED_VALUE"""),1.024)</f>
        <v>1.024</v>
      </c>
      <c r="E1874" s="16">
        <f>IFERROR(__xludf.DUMMYFUNCTION("""COMPUTED_VALUE"""),65.0)</f>
        <v>65</v>
      </c>
      <c r="F1874" s="19" t="str">
        <f>IFERROR(__xludf.DUMMYFUNCTION("""COMPUTED_VALUE"""),"BLACK")</f>
        <v>BLACK</v>
      </c>
      <c r="G1874" s="20" t="str">
        <f>IFERROR(__xludf.DUMMYFUNCTION("""COMPUTED_VALUE"""),"Tap 6 Clone (10/15/2021)")</f>
        <v>Tap 6 Clone (10/15/2021)</v>
      </c>
      <c r="H1874" s="19"/>
    </row>
    <row r="1875">
      <c r="A1875" s="9"/>
      <c r="B1875" s="15"/>
      <c r="C1875" s="9">
        <f>IFERROR(__xludf.DUMMYFUNCTION("""COMPUTED_VALUE"""),44492.1457117245)</f>
        <v>44492.14571</v>
      </c>
      <c r="D1875" s="15">
        <f>IFERROR(__xludf.DUMMYFUNCTION("""COMPUTED_VALUE"""),1.025)</f>
        <v>1.025</v>
      </c>
      <c r="E1875" s="16">
        <f>IFERROR(__xludf.DUMMYFUNCTION("""COMPUTED_VALUE"""),65.0)</f>
        <v>65</v>
      </c>
      <c r="F1875" s="19" t="str">
        <f>IFERROR(__xludf.DUMMYFUNCTION("""COMPUTED_VALUE"""),"BLACK")</f>
        <v>BLACK</v>
      </c>
      <c r="G1875" s="20" t="str">
        <f>IFERROR(__xludf.DUMMYFUNCTION("""COMPUTED_VALUE"""),"Tap 6 Clone (10/15/2021)")</f>
        <v>Tap 6 Clone (10/15/2021)</v>
      </c>
      <c r="H1875" s="19"/>
    </row>
    <row r="1876">
      <c r="A1876" s="9"/>
      <c r="B1876" s="15"/>
      <c r="C1876" s="9">
        <f>IFERROR(__xludf.DUMMYFUNCTION("""COMPUTED_VALUE"""),44492.1352905439)</f>
        <v>44492.13529</v>
      </c>
      <c r="D1876" s="15">
        <f>IFERROR(__xludf.DUMMYFUNCTION("""COMPUTED_VALUE"""),1.025)</f>
        <v>1.025</v>
      </c>
      <c r="E1876" s="16">
        <f>IFERROR(__xludf.DUMMYFUNCTION("""COMPUTED_VALUE"""),65.0)</f>
        <v>65</v>
      </c>
      <c r="F1876" s="19" t="str">
        <f>IFERROR(__xludf.DUMMYFUNCTION("""COMPUTED_VALUE"""),"BLACK")</f>
        <v>BLACK</v>
      </c>
      <c r="G1876" s="20" t="str">
        <f>IFERROR(__xludf.DUMMYFUNCTION("""COMPUTED_VALUE"""),"Tap 6 Clone (10/15/2021)")</f>
        <v>Tap 6 Clone (10/15/2021)</v>
      </c>
      <c r="H1876" s="19"/>
    </row>
    <row r="1877">
      <c r="A1877" s="9"/>
      <c r="B1877" s="15"/>
      <c r="C1877" s="9">
        <f>IFERROR(__xludf.DUMMYFUNCTION("""COMPUTED_VALUE"""),44492.1248694444)</f>
        <v>44492.12487</v>
      </c>
      <c r="D1877" s="15">
        <f>IFERROR(__xludf.DUMMYFUNCTION("""COMPUTED_VALUE"""),1.025)</f>
        <v>1.025</v>
      </c>
      <c r="E1877" s="16">
        <f>IFERROR(__xludf.DUMMYFUNCTION("""COMPUTED_VALUE"""),65.0)</f>
        <v>65</v>
      </c>
      <c r="F1877" s="19" t="str">
        <f>IFERROR(__xludf.DUMMYFUNCTION("""COMPUTED_VALUE"""),"BLACK")</f>
        <v>BLACK</v>
      </c>
      <c r="G1877" s="20" t="str">
        <f>IFERROR(__xludf.DUMMYFUNCTION("""COMPUTED_VALUE"""),"Tap 6 Clone (10/15/2021)")</f>
        <v>Tap 6 Clone (10/15/2021)</v>
      </c>
      <c r="H1877" s="19"/>
    </row>
    <row r="1878">
      <c r="A1878" s="9"/>
      <c r="B1878" s="15"/>
      <c r="C1878" s="9">
        <f>IFERROR(__xludf.DUMMYFUNCTION("""COMPUTED_VALUE"""),44492.1144472453)</f>
        <v>44492.11445</v>
      </c>
      <c r="D1878" s="15">
        <f>IFERROR(__xludf.DUMMYFUNCTION("""COMPUTED_VALUE"""),1.025)</f>
        <v>1.025</v>
      </c>
      <c r="E1878" s="16">
        <f>IFERROR(__xludf.DUMMYFUNCTION("""COMPUTED_VALUE"""),65.0)</f>
        <v>65</v>
      </c>
      <c r="F1878" s="19" t="str">
        <f>IFERROR(__xludf.DUMMYFUNCTION("""COMPUTED_VALUE"""),"BLACK")</f>
        <v>BLACK</v>
      </c>
      <c r="G1878" s="20" t="str">
        <f>IFERROR(__xludf.DUMMYFUNCTION("""COMPUTED_VALUE"""),"Tap 6 Clone (10/15/2021)")</f>
        <v>Tap 6 Clone (10/15/2021)</v>
      </c>
      <c r="H1878" s="19"/>
    </row>
    <row r="1879">
      <c r="A1879" s="9"/>
      <c r="B1879" s="15"/>
      <c r="C1879" s="9">
        <f>IFERROR(__xludf.DUMMYFUNCTION("""COMPUTED_VALUE"""),44492.1040129282)</f>
        <v>44492.10401</v>
      </c>
      <c r="D1879" s="15">
        <f>IFERROR(__xludf.DUMMYFUNCTION("""COMPUTED_VALUE"""),1.026)</f>
        <v>1.026</v>
      </c>
      <c r="E1879" s="16">
        <f>IFERROR(__xludf.DUMMYFUNCTION("""COMPUTED_VALUE"""),65.0)</f>
        <v>65</v>
      </c>
      <c r="F1879" s="19" t="str">
        <f>IFERROR(__xludf.DUMMYFUNCTION("""COMPUTED_VALUE"""),"BLACK")</f>
        <v>BLACK</v>
      </c>
      <c r="G1879" s="20" t="str">
        <f>IFERROR(__xludf.DUMMYFUNCTION("""COMPUTED_VALUE"""),"Tap 6 Clone (10/15/2021)")</f>
        <v>Tap 6 Clone (10/15/2021)</v>
      </c>
      <c r="H1879" s="19"/>
    </row>
    <row r="1880">
      <c r="A1880" s="9"/>
      <c r="B1880" s="15"/>
      <c r="C1880" s="9">
        <f>IFERROR(__xludf.DUMMYFUNCTION("""COMPUTED_VALUE"""),44492.0935926388)</f>
        <v>44492.09359</v>
      </c>
      <c r="D1880" s="15">
        <f>IFERROR(__xludf.DUMMYFUNCTION("""COMPUTED_VALUE"""),1.025)</f>
        <v>1.025</v>
      </c>
      <c r="E1880" s="16">
        <f>IFERROR(__xludf.DUMMYFUNCTION("""COMPUTED_VALUE"""),65.0)</f>
        <v>65</v>
      </c>
      <c r="F1880" s="19" t="str">
        <f>IFERROR(__xludf.DUMMYFUNCTION("""COMPUTED_VALUE"""),"BLACK")</f>
        <v>BLACK</v>
      </c>
      <c r="G1880" s="20" t="str">
        <f>IFERROR(__xludf.DUMMYFUNCTION("""COMPUTED_VALUE"""),"Tap 6 Clone (10/15/2021)")</f>
        <v>Tap 6 Clone (10/15/2021)</v>
      </c>
      <c r="H1880" s="19"/>
    </row>
    <row r="1881">
      <c r="A1881" s="9"/>
      <c r="B1881" s="15"/>
      <c r="C1881" s="9">
        <f>IFERROR(__xludf.DUMMYFUNCTION("""COMPUTED_VALUE"""),44492.0831732986)</f>
        <v>44492.08317</v>
      </c>
      <c r="D1881" s="15">
        <f>IFERROR(__xludf.DUMMYFUNCTION("""COMPUTED_VALUE"""),1.026)</f>
        <v>1.026</v>
      </c>
      <c r="E1881" s="16">
        <f>IFERROR(__xludf.DUMMYFUNCTION("""COMPUTED_VALUE"""),65.0)</f>
        <v>65</v>
      </c>
      <c r="F1881" s="19" t="str">
        <f>IFERROR(__xludf.DUMMYFUNCTION("""COMPUTED_VALUE"""),"BLACK")</f>
        <v>BLACK</v>
      </c>
      <c r="G1881" s="20" t="str">
        <f>IFERROR(__xludf.DUMMYFUNCTION("""COMPUTED_VALUE"""),"Tap 6 Clone (10/15/2021)")</f>
        <v>Tap 6 Clone (10/15/2021)</v>
      </c>
      <c r="H1881" s="19"/>
    </row>
    <row r="1882">
      <c r="A1882" s="9"/>
      <c r="B1882" s="15"/>
      <c r="C1882" s="9">
        <f>IFERROR(__xludf.DUMMYFUNCTION("""COMPUTED_VALUE"""),44492.072752581)</f>
        <v>44492.07275</v>
      </c>
      <c r="D1882" s="15">
        <f>IFERROR(__xludf.DUMMYFUNCTION("""COMPUTED_VALUE"""),1.026)</f>
        <v>1.026</v>
      </c>
      <c r="E1882" s="16">
        <f>IFERROR(__xludf.DUMMYFUNCTION("""COMPUTED_VALUE"""),65.0)</f>
        <v>65</v>
      </c>
      <c r="F1882" s="19" t="str">
        <f>IFERROR(__xludf.DUMMYFUNCTION("""COMPUTED_VALUE"""),"BLACK")</f>
        <v>BLACK</v>
      </c>
      <c r="G1882" s="20" t="str">
        <f>IFERROR(__xludf.DUMMYFUNCTION("""COMPUTED_VALUE"""),"Tap 6 Clone (10/15/2021)")</f>
        <v>Tap 6 Clone (10/15/2021)</v>
      </c>
      <c r="H1882" s="19"/>
    </row>
    <row r="1883">
      <c r="A1883" s="9"/>
      <c r="B1883" s="15"/>
      <c r="C1883" s="9">
        <f>IFERROR(__xludf.DUMMYFUNCTION("""COMPUTED_VALUE"""),44492.0623328819)</f>
        <v>44492.06233</v>
      </c>
      <c r="D1883" s="15">
        <f>IFERROR(__xludf.DUMMYFUNCTION("""COMPUTED_VALUE"""),1.026)</f>
        <v>1.026</v>
      </c>
      <c r="E1883" s="16">
        <f>IFERROR(__xludf.DUMMYFUNCTION("""COMPUTED_VALUE"""),65.0)</f>
        <v>65</v>
      </c>
      <c r="F1883" s="19" t="str">
        <f>IFERROR(__xludf.DUMMYFUNCTION("""COMPUTED_VALUE"""),"BLACK")</f>
        <v>BLACK</v>
      </c>
      <c r="G1883" s="20" t="str">
        <f>IFERROR(__xludf.DUMMYFUNCTION("""COMPUTED_VALUE"""),"Tap 6 Clone (10/15/2021)")</f>
        <v>Tap 6 Clone (10/15/2021)</v>
      </c>
      <c r="H1883" s="19"/>
    </row>
    <row r="1884">
      <c r="A1884" s="9"/>
      <c r="B1884" s="15"/>
      <c r="C1884" s="9">
        <f>IFERROR(__xludf.DUMMYFUNCTION("""COMPUTED_VALUE"""),44492.0519109606)</f>
        <v>44492.05191</v>
      </c>
      <c r="D1884" s="15">
        <f>IFERROR(__xludf.DUMMYFUNCTION("""COMPUTED_VALUE"""),1.027)</f>
        <v>1.027</v>
      </c>
      <c r="E1884" s="16">
        <f>IFERROR(__xludf.DUMMYFUNCTION("""COMPUTED_VALUE"""),65.0)</f>
        <v>65</v>
      </c>
      <c r="F1884" s="19" t="str">
        <f>IFERROR(__xludf.DUMMYFUNCTION("""COMPUTED_VALUE"""),"BLACK")</f>
        <v>BLACK</v>
      </c>
      <c r="G1884" s="20" t="str">
        <f>IFERROR(__xludf.DUMMYFUNCTION("""COMPUTED_VALUE"""),"Tap 6 Clone (10/15/2021)")</f>
        <v>Tap 6 Clone (10/15/2021)</v>
      </c>
      <c r="H1884" s="19"/>
    </row>
    <row r="1885">
      <c r="A1885" s="9"/>
      <c r="B1885" s="15"/>
      <c r="C1885" s="9">
        <f>IFERROR(__xludf.DUMMYFUNCTION("""COMPUTED_VALUE"""),44492.0414766666)</f>
        <v>44492.04148</v>
      </c>
      <c r="D1885" s="15">
        <f>IFERROR(__xludf.DUMMYFUNCTION("""COMPUTED_VALUE"""),1.025)</f>
        <v>1.025</v>
      </c>
      <c r="E1885" s="16">
        <f>IFERROR(__xludf.DUMMYFUNCTION("""COMPUTED_VALUE"""),65.0)</f>
        <v>65</v>
      </c>
      <c r="F1885" s="19" t="str">
        <f>IFERROR(__xludf.DUMMYFUNCTION("""COMPUTED_VALUE"""),"BLACK")</f>
        <v>BLACK</v>
      </c>
      <c r="G1885" s="20" t="str">
        <f>IFERROR(__xludf.DUMMYFUNCTION("""COMPUTED_VALUE"""),"Tap 6 Clone (10/15/2021)")</f>
        <v>Tap 6 Clone (10/15/2021)</v>
      </c>
      <c r="H1885" s="19"/>
    </row>
    <row r="1886">
      <c r="A1886" s="9"/>
      <c r="B1886" s="15"/>
      <c r="C1886" s="9">
        <f>IFERROR(__xludf.DUMMYFUNCTION("""COMPUTED_VALUE"""),44492.0310551736)</f>
        <v>44492.03106</v>
      </c>
      <c r="D1886" s="15">
        <f>IFERROR(__xludf.DUMMYFUNCTION("""COMPUTED_VALUE"""),1.026)</f>
        <v>1.026</v>
      </c>
      <c r="E1886" s="16">
        <f>IFERROR(__xludf.DUMMYFUNCTION("""COMPUTED_VALUE"""),65.0)</f>
        <v>65</v>
      </c>
      <c r="F1886" s="19" t="str">
        <f>IFERROR(__xludf.DUMMYFUNCTION("""COMPUTED_VALUE"""),"BLACK")</f>
        <v>BLACK</v>
      </c>
      <c r="G1886" s="20" t="str">
        <f>IFERROR(__xludf.DUMMYFUNCTION("""COMPUTED_VALUE"""),"Tap 6 Clone (10/15/2021)")</f>
        <v>Tap 6 Clone (10/15/2021)</v>
      </c>
      <c r="H1886" s="19"/>
    </row>
    <row r="1887">
      <c r="A1887" s="9"/>
      <c r="B1887" s="15"/>
      <c r="C1887" s="9">
        <f>IFERROR(__xludf.DUMMYFUNCTION("""COMPUTED_VALUE"""),44492.020634456)</f>
        <v>44492.02063</v>
      </c>
      <c r="D1887" s="15">
        <f>IFERROR(__xludf.DUMMYFUNCTION("""COMPUTED_VALUE"""),1.026)</f>
        <v>1.026</v>
      </c>
      <c r="E1887" s="16">
        <f>IFERROR(__xludf.DUMMYFUNCTION("""COMPUTED_VALUE"""),65.0)</f>
        <v>65</v>
      </c>
      <c r="F1887" s="19" t="str">
        <f>IFERROR(__xludf.DUMMYFUNCTION("""COMPUTED_VALUE"""),"BLACK")</f>
        <v>BLACK</v>
      </c>
      <c r="G1887" s="20" t="str">
        <f>IFERROR(__xludf.DUMMYFUNCTION("""COMPUTED_VALUE"""),"Tap 6 Clone (10/15/2021)")</f>
        <v>Tap 6 Clone (10/15/2021)</v>
      </c>
      <c r="H1887" s="19"/>
    </row>
    <row r="1888">
      <c r="A1888" s="9"/>
      <c r="B1888" s="15"/>
      <c r="C1888" s="9">
        <f>IFERROR(__xludf.DUMMYFUNCTION("""COMPUTED_VALUE"""),44492.0102135995)</f>
        <v>44492.01021</v>
      </c>
      <c r="D1888" s="15">
        <f>IFERROR(__xludf.DUMMYFUNCTION("""COMPUTED_VALUE"""),1.025)</f>
        <v>1.025</v>
      </c>
      <c r="E1888" s="16">
        <f>IFERROR(__xludf.DUMMYFUNCTION("""COMPUTED_VALUE"""),65.0)</f>
        <v>65</v>
      </c>
      <c r="F1888" s="19" t="str">
        <f>IFERROR(__xludf.DUMMYFUNCTION("""COMPUTED_VALUE"""),"BLACK")</f>
        <v>BLACK</v>
      </c>
      <c r="G1888" s="20" t="str">
        <f>IFERROR(__xludf.DUMMYFUNCTION("""COMPUTED_VALUE"""),"Tap 6 Clone (10/15/2021)")</f>
        <v>Tap 6 Clone (10/15/2021)</v>
      </c>
      <c r="H1888" s="19"/>
    </row>
    <row r="1889">
      <c r="A1889" s="9"/>
      <c r="B1889" s="15"/>
      <c r="C1889" s="9">
        <f>IFERROR(__xludf.DUMMYFUNCTION("""COMPUTED_VALUE"""),44491.9997922916)</f>
        <v>44491.99979</v>
      </c>
      <c r="D1889" s="15">
        <f>IFERROR(__xludf.DUMMYFUNCTION("""COMPUTED_VALUE"""),1.025)</f>
        <v>1.025</v>
      </c>
      <c r="E1889" s="16">
        <f>IFERROR(__xludf.DUMMYFUNCTION("""COMPUTED_VALUE"""),65.0)</f>
        <v>65</v>
      </c>
      <c r="F1889" s="19" t="str">
        <f>IFERROR(__xludf.DUMMYFUNCTION("""COMPUTED_VALUE"""),"BLACK")</f>
        <v>BLACK</v>
      </c>
      <c r="G1889" s="20" t="str">
        <f>IFERROR(__xludf.DUMMYFUNCTION("""COMPUTED_VALUE"""),"Tap 6 Clone (10/15/2021)")</f>
        <v>Tap 6 Clone (10/15/2021)</v>
      </c>
      <c r="H1889" s="19"/>
    </row>
    <row r="1890">
      <c r="A1890" s="9"/>
      <c r="B1890" s="15"/>
      <c r="C1890" s="9">
        <f>IFERROR(__xludf.DUMMYFUNCTION("""COMPUTED_VALUE"""),44491.989371493)</f>
        <v>44491.98937</v>
      </c>
      <c r="D1890" s="15">
        <f>IFERROR(__xludf.DUMMYFUNCTION("""COMPUTED_VALUE"""),1.024)</f>
        <v>1.024</v>
      </c>
      <c r="E1890" s="16">
        <f>IFERROR(__xludf.DUMMYFUNCTION("""COMPUTED_VALUE"""),65.0)</f>
        <v>65</v>
      </c>
      <c r="F1890" s="19" t="str">
        <f>IFERROR(__xludf.DUMMYFUNCTION("""COMPUTED_VALUE"""),"BLACK")</f>
        <v>BLACK</v>
      </c>
      <c r="G1890" s="20" t="str">
        <f>IFERROR(__xludf.DUMMYFUNCTION("""COMPUTED_VALUE"""),"Tap 6 Clone (10/15/2021)")</f>
        <v>Tap 6 Clone (10/15/2021)</v>
      </c>
      <c r="H1890" s="19"/>
    </row>
    <row r="1891">
      <c r="A1891" s="9"/>
      <c r="B1891" s="15"/>
      <c r="C1891" s="9">
        <f>IFERROR(__xludf.DUMMYFUNCTION("""COMPUTED_VALUE"""),44491.9789375)</f>
        <v>44491.97894</v>
      </c>
      <c r="D1891" s="15">
        <f>IFERROR(__xludf.DUMMYFUNCTION("""COMPUTED_VALUE"""),1.025)</f>
        <v>1.025</v>
      </c>
      <c r="E1891" s="16">
        <f>IFERROR(__xludf.DUMMYFUNCTION("""COMPUTED_VALUE"""),65.0)</f>
        <v>65</v>
      </c>
      <c r="F1891" s="19" t="str">
        <f>IFERROR(__xludf.DUMMYFUNCTION("""COMPUTED_VALUE"""),"BLACK")</f>
        <v>BLACK</v>
      </c>
      <c r="G1891" s="20" t="str">
        <f>IFERROR(__xludf.DUMMYFUNCTION("""COMPUTED_VALUE"""),"Tap 6 Clone (10/15/2021)")</f>
        <v>Tap 6 Clone (10/15/2021)</v>
      </c>
      <c r="H1891" s="19"/>
    </row>
    <row r="1892">
      <c r="A1892" s="9"/>
      <c r="B1892" s="15"/>
      <c r="C1892" s="9">
        <f>IFERROR(__xludf.DUMMYFUNCTION("""COMPUTED_VALUE"""),44491.9685151736)</f>
        <v>44491.96852</v>
      </c>
      <c r="D1892" s="15">
        <f>IFERROR(__xludf.DUMMYFUNCTION("""COMPUTED_VALUE"""),1.025)</f>
        <v>1.025</v>
      </c>
      <c r="E1892" s="16">
        <f>IFERROR(__xludf.DUMMYFUNCTION("""COMPUTED_VALUE"""),65.0)</f>
        <v>65</v>
      </c>
      <c r="F1892" s="19" t="str">
        <f>IFERROR(__xludf.DUMMYFUNCTION("""COMPUTED_VALUE"""),"BLACK")</f>
        <v>BLACK</v>
      </c>
      <c r="G1892" s="20" t="str">
        <f>IFERROR(__xludf.DUMMYFUNCTION("""COMPUTED_VALUE"""),"Tap 6 Clone (10/15/2021)")</f>
        <v>Tap 6 Clone (10/15/2021)</v>
      </c>
      <c r="H1892" s="19"/>
    </row>
    <row r="1893">
      <c r="A1893" s="9"/>
      <c r="B1893" s="15"/>
      <c r="C1893" s="9">
        <f>IFERROR(__xludf.DUMMYFUNCTION("""COMPUTED_VALUE"""),44491.958094537)</f>
        <v>44491.95809</v>
      </c>
      <c r="D1893" s="15">
        <f>IFERROR(__xludf.DUMMYFUNCTION("""COMPUTED_VALUE"""),1.024)</f>
        <v>1.024</v>
      </c>
      <c r="E1893" s="16">
        <f>IFERROR(__xludf.DUMMYFUNCTION("""COMPUTED_VALUE"""),65.0)</f>
        <v>65</v>
      </c>
      <c r="F1893" s="19" t="str">
        <f>IFERROR(__xludf.DUMMYFUNCTION("""COMPUTED_VALUE"""),"BLACK")</f>
        <v>BLACK</v>
      </c>
      <c r="G1893" s="20" t="str">
        <f>IFERROR(__xludf.DUMMYFUNCTION("""COMPUTED_VALUE"""),"Tap 6 Clone (10/15/2021)")</f>
        <v>Tap 6 Clone (10/15/2021)</v>
      </c>
      <c r="H1893" s="19"/>
    </row>
    <row r="1894">
      <c r="A1894" s="9"/>
      <c r="B1894" s="15"/>
      <c r="C1894" s="9">
        <f>IFERROR(__xludf.DUMMYFUNCTION("""COMPUTED_VALUE"""),44491.9476735069)</f>
        <v>44491.94767</v>
      </c>
      <c r="D1894" s="15">
        <f>IFERROR(__xludf.DUMMYFUNCTION("""COMPUTED_VALUE"""),1.025)</f>
        <v>1.025</v>
      </c>
      <c r="E1894" s="16">
        <f>IFERROR(__xludf.DUMMYFUNCTION("""COMPUTED_VALUE"""),65.0)</f>
        <v>65</v>
      </c>
      <c r="F1894" s="19" t="str">
        <f>IFERROR(__xludf.DUMMYFUNCTION("""COMPUTED_VALUE"""),"BLACK")</f>
        <v>BLACK</v>
      </c>
      <c r="G1894" s="20" t="str">
        <f>IFERROR(__xludf.DUMMYFUNCTION("""COMPUTED_VALUE"""),"Tap 6 Clone (10/15/2021)")</f>
        <v>Tap 6 Clone (10/15/2021)</v>
      </c>
      <c r="H1894" s="19"/>
    </row>
    <row r="1895">
      <c r="A1895" s="9"/>
      <c r="B1895" s="15"/>
      <c r="C1895" s="9">
        <f>IFERROR(__xludf.DUMMYFUNCTION("""COMPUTED_VALUE"""),44491.937255)</f>
        <v>44491.93726</v>
      </c>
      <c r="D1895" s="15">
        <f>IFERROR(__xludf.DUMMYFUNCTION("""COMPUTED_VALUE"""),1.026)</f>
        <v>1.026</v>
      </c>
      <c r="E1895" s="16">
        <f>IFERROR(__xludf.DUMMYFUNCTION("""COMPUTED_VALUE"""),65.0)</f>
        <v>65</v>
      </c>
      <c r="F1895" s="19" t="str">
        <f>IFERROR(__xludf.DUMMYFUNCTION("""COMPUTED_VALUE"""),"BLACK")</f>
        <v>BLACK</v>
      </c>
      <c r="G1895" s="20" t="str">
        <f>IFERROR(__xludf.DUMMYFUNCTION("""COMPUTED_VALUE"""),"Tap 6 Clone (10/15/2021)")</f>
        <v>Tap 6 Clone (10/15/2021)</v>
      </c>
      <c r="H1895" s="19"/>
    </row>
    <row r="1896">
      <c r="A1896" s="9"/>
      <c r="B1896" s="15"/>
      <c r="C1896" s="9">
        <f>IFERROR(__xludf.DUMMYFUNCTION("""COMPUTED_VALUE"""),44491.9268326388)</f>
        <v>44491.92683</v>
      </c>
      <c r="D1896" s="15">
        <f>IFERROR(__xludf.DUMMYFUNCTION("""COMPUTED_VALUE"""),1.026)</f>
        <v>1.026</v>
      </c>
      <c r="E1896" s="16">
        <f>IFERROR(__xludf.DUMMYFUNCTION("""COMPUTED_VALUE"""),65.0)</f>
        <v>65</v>
      </c>
      <c r="F1896" s="19" t="str">
        <f>IFERROR(__xludf.DUMMYFUNCTION("""COMPUTED_VALUE"""),"BLACK")</f>
        <v>BLACK</v>
      </c>
      <c r="G1896" s="20" t="str">
        <f>IFERROR(__xludf.DUMMYFUNCTION("""COMPUTED_VALUE"""),"Tap 6 Clone (10/15/2021)")</f>
        <v>Tap 6 Clone (10/15/2021)</v>
      </c>
      <c r="H1896" s="19"/>
    </row>
    <row r="1897">
      <c r="A1897" s="9"/>
      <c r="B1897" s="15"/>
      <c r="C1897" s="9">
        <f>IFERROR(__xludf.DUMMYFUNCTION("""COMPUTED_VALUE"""),44491.9164114467)</f>
        <v>44491.91641</v>
      </c>
      <c r="D1897" s="15">
        <f>IFERROR(__xludf.DUMMYFUNCTION("""COMPUTED_VALUE"""),1.025)</f>
        <v>1.025</v>
      </c>
      <c r="E1897" s="16">
        <f>IFERROR(__xludf.DUMMYFUNCTION("""COMPUTED_VALUE"""),65.0)</f>
        <v>65</v>
      </c>
      <c r="F1897" s="19" t="str">
        <f>IFERROR(__xludf.DUMMYFUNCTION("""COMPUTED_VALUE"""),"BLACK")</f>
        <v>BLACK</v>
      </c>
      <c r="G1897" s="20" t="str">
        <f>IFERROR(__xludf.DUMMYFUNCTION("""COMPUTED_VALUE"""),"Tap 6 Clone (10/15/2021)")</f>
        <v>Tap 6 Clone (10/15/2021)</v>
      </c>
      <c r="H1897" s="19"/>
    </row>
    <row r="1898">
      <c r="A1898" s="9"/>
      <c r="B1898" s="15"/>
      <c r="C1898" s="9">
        <f>IFERROR(__xludf.DUMMYFUNCTION("""COMPUTED_VALUE"""),44491.9059920717)</f>
        <v>44491.90599</v>
      </c>
      <c r="D1898" s="15">
        <f>IFERROR(__xludf.DUMMYFUNCTION("""COMPUTED_VALUE"""),1.024)</f>
        <v>1.024</v>
      </c>
      <c r="E1898" s="16">
        <f>IFERROR(__xludf.DUMMYFUNCTION("""COMPUTED_VALUE"""),65.0)</f>
        <v>65</v>
      </c>
      <c r="F1898" s="19" t="str">
        <f>IFERROR(__xludf.DUMMYFUNCTION("""COMPUTED_VALUE"""),"BLACK")</f>
        <v>BLACK</v>
      </c>
      <c r="G1898" s="20" t="str">
        <f>IFERROR(__xludf.DUMMYFUNCTION("""COMPUTED_VALUE"""),"Tap 6 Clone (10/15/2021)")</f>
        <v>Tap 6 Clone (10/15/2021)</v>
      </c>
      <c r="H1898" s="19"/>
    </row>
    <row r="1899">
      <c r="A1899" s="9"/>
      <c r="B1899" s="15"/>
      <c r="C1899" s="9">
        <f>IFERROR(__xludf.DUMMYFUNCTION("""COMPUTED_VALUE"""),44491.8955701041)</f>
        <v>44491.89557</v>
      </c>
      <c r="D1899" s="15">
        <f>IFERROR(__xludf.DUMMYFUNCTION("""COMPUTED_VALUE"""),1.025)</f>
        <v>1.025</v>
      </c>
      <c r="E1899" s="16">
        <f>IFERROR(__xludf.DUMMYFUNCTION("""COMPUTED_VALUE"""),65.0)</f>
        <v>65</v>
      </c>
      <c r="F1899" s="19" t="str">
        <f>IFERROR(__xludf.DUMMYFUNCTION("""COMPUTED_VALUE"""),"BLACK")</f>
        <v>BLACK</v>
      </c>
      <c r="G1899" s="20" t="str">
        <f>IFERROR(__xludf.DUMMYFUNCTION("""COMPUTED_VALUE"""),"Tap 6 Clone (10/15/2021)")</f>
        <v>Tap 6 Clone (10/15/2021)</v>
      </c>
      <c r="H1899" s="19"/>
    </row>
    <row r="1900">
      <c r="A1900" s="9"/>
      <c r="B1900" s="15"/>
      <c r="C1900" s="9">
        <f>IFERROR(__xludf.DUMMYFUNCTION("""COMPUTED_VALUE"""),44491.8851497685)</f>
        <v>44491.88515</v>
      </c>
      <c r="D1900" s="15">
        <f>IFERROR(__xludf.DUMMYFUNCTION("""COMPUTED_VALUE"""),1.026)</f>
        <v>1.026</v>
      </c>
      <c r="E1900" s="16">
        <f>IFERROR(__xludf.DUMMYFUNCTION("""COMPUTED_VALUE"""),65.0)</f>
        <v>65</v>
      </c>
      <c r="F1900" s="19" t="str">
        <f>IFERROR(__xludf.DUMMYFUNCTION("""COMPUTED_VALUE"""),"BLACK")</f>
        <v>BLACK</v>
      </c>
      <c r="G1900" s="20" t="str">
        <f>IFERROR(__xludf.DUMMYFUNCTION("""COMPUTED_VALUE"""),"Tap 6 Clone (10/15/2021)")</f>
        <v>Tap 6 Clone (10/15/2021)</v>
      </c>
      <c r="H1900" s="19"/>
    </row>
    <row r="1901">
      <c r="A1901" s="9"/>
      <c r="B1901" s="15"/>
      <c r="C1901" s="9">
        <f>IFERROR(__xludf.DUMMYFUNCTION("""COMPUTED_VALUE"""),44491.8747287731)</f>
        <v>44491.87473</v>
      </c>
      <c r="D1901" s="15">
        <f>IFERROR(__xludf.DUMMYFUNCTION("""COMPUTED_VALUE"""),1.026)</f>
        <v>1.026</v>
      </c>
      <c r="E1901" s="16">
        <f>IFERROR(__xludf.DUMMYFUNCTION("""COMPUTED_VALUE"""),65.0)</f>
        <v>65</v>
      </c>
      <c r="F1901" s="19" t="str">
        <f>IFERROR(__xludf.DUMMYFUNCTION("""COMPUTED_VALUE"""),"BLACK")</f>
        <v>BLACK</v>
      </c>
      <c r="G1901" s="20" t="str">
        <f>IFERROR(__xludf.DUMMYFUNCTION("""COMPUTED_VALUE"""),"Tap 6 Clone (10/15/2021)")</f>
        <v>Tap 6 Clone (10/15/2021)</v>
      </c>
      <c r="H1901" s="19"/>
    </row>
    <row r="1902">
      <c r="A1902" s="9"/>
      <c r="B1902" s="15"/>
      <c r="C1902" s="9">
        <f>IFERROR(__xludf.DUMMYFUNCTION("""COMPUTED_VALUE"""),44491.8643092592)</f>
        <v>44491.86431</v>
      </c>
      <c r="D1902" s="15">
        <f>IFERROR(__xludf.DUMMYFUNCTION("""COMPUTED_VALUE"""),1.026)</f>
        <v>1.026</v>
      </c>
      <c r="E1902" s="16">
        <f>IFERROR(__xludf.DUMMYFUNCTION("""COMPUTED_VALUE"""),65.0)</f>
        <v>65</v>
      </c>
      <c r="F1902" s="19" t="str">
        <f>IFERROR(__xludf.DUMMYFUNCTION("""COMPUTED_VALUE"""),"BLACK")</f>
        <v>BLACK</v>
      </c>
      <c r="G1902" s="20" t="str">
        <f>IFERROR(__xludf.DUMMYFUNCTION("""COMPUTED_VALUE"""),"Tap 6 Clone (10/15/2021)")</f>
        <v>Tap 6 Clone (10/15/2021)</v>
      </c>
      <c r="H1902" s="19"/>
    </row>
    <row r="1903">
      <c r="A1903" s="9"/>
      <c r="B1903" s="15"/>
      <c r="C1903" s="9">
        <f>IFERROR(__xludf.DUMMYFUNCTION("""COMPUTED_VALUE"""),44491.8538637847)</f>
        <v>44491.85386</v>
      </c>
      <c r="D1903" s="15">
        <f>IFERROR(__xludf.DUMMYFUNCTION("""COMPUTED_VALUE"""),1.026)</f>
        <v>1.026</v>
      </c>
      <c r="E1903" s="16">
        <f>IFERROR(__xludf.DUMMYFUNCTION("""COMPUTED_VALUE"""),65.0)</f>
        <v>65</v>
      </c>
      <c r="F1903" s="19" t="str">
        <f>IFERROR(__xludf.DUMMYFUNCTION("""COMPUTED_VALUE"""),"BLACK")</f>
        <v>BLACK</v>
      </c>
      <c r="G1903" s="20" t="str">
        <f>IFERROR(__xludf.DUMMYFUNCTION("""COMPUTED_VALUE"""),"Tap 6 Clone (10/15/2021)")</f>
        <v>Tap 6 Clone (10/15/2021)</v>
      </c>
      <c r="H1903" s="19"/>
    </row>
    <row r="1904">
      <c r="A1904" s="9"/>
      <c r="B1904" s="15"/>
      <c r="C1904" s="9">
        <f>IFERROR(__xludf.DUMMYFUNCTION("""COMPUTED_VALUE"""),44491.8434406134)</f>
        <v>44491.84344</v>
      </c>
      <c r="D1904" s="15">
        <f>IFERROR(__xludf.DUMMYFUNCTION("""COMPUTED_VALUE"""),1.027)</f>
        <v>1.027</v>
      </c>
      <c r="E1904" s="16">
        <f>IFERROR(__xludf.DUMMYFUNCTION("""COMPUTED_VALUE"""),65.0)</f>
        <v>65</v>
      </c>
      <c r="F1904" s="19" t="str">
        <f>IFERROR(__xludf.DUMMYFUNCTION("""COMPUTED_VALUE"""),"BLACK")</f>
        <v>BLACK</v>
      </c>
      <c r="G1904" s="20" t="str">
        <f>IFERROR(__xludf.DUMMYFUNCTION("""COMPUTED_VALUE"""),"Tap 6 Clone (10/15/2021)")</f>
        <v>Tap 6 Clone (10/15/2021)</v>
      </c>
      <c r="H1904" s="19"/>
    </row>
    <row r="1905">
      <c r="A1905" s="9"/>
      <c r="B1905" s="15"/>
      <c r="C1905" s="9">
        <f>IFERROR(__xludf.DUMMYFUNCTION("""COMPUTED_VALUE"""),44491.8330194328)</f>
        <v>44491.83302</v>
      </c>
      <c r="D1905" s="15">
        <f>IFERROR(__xludf.DUMMYFUNCTION("""COMPUTED_VALUE"""),1.027)</f>
        <v>1.027</v>
      </c>
      <c r="E1905" s="16">
        <f>IFERROR(__xludf.DUMMYFUNCTION("""COMPUTED_VALUE"""),65.0)</f>
        <v>65</v>
      </c>
      <c r="F1905" s="19" t="str">
        <f>IFERROR(__xludf.DUMMYFUNCTION("""COMPUTED_VALUE"""),"BLACK")</f>
        <v>BLACK</v>
      </c>
      <c r="G1905" s="20" t="str">
        <f>IFERROR(__xludf.DUMMYFUNCTION("""COMPUTED_VALUE"""),"Tap 6 Clone (10/15/2021)")</f>
        <v>Tap 6 Clone (10/15/2021)</v>
      </c>
      <c r="H1905" s="19"/>
    </row>
    <row r="1906">
      <c r="A1906" s="9"/>
      <c r="B1906" s="15"/>
      <c r="C1906" s="9">
        <f>IFERROR(__xludf.DUMMYFUNCTION("""COMPUTED_VALUE"""),44491.82259853)</f>
        <v>44491.8226</v>
      </c>
      <c r="D1906" s="15">
        <f>IFERROR(__xludf.DUMMYFUNCTION("""COMPUTED_VALUE"""),1.027)</f>
        <v>1.027</v>
      </c>
      <c r="E1906" s="16">
        <f>IFERROR(__xludf.DUMMYFUNCTION("""COMPUTED_VALUE"""),65.0)</f>
        <v>65</v>
      </c>
      <c r="F1906" s="19" t="str">
        <f>IFERROR(__xludf.DUMMYFUNCTION("""COMPUTED_VALUE"""),"BLACK")</f>
        <v>BLACK</v>
      </c>
      <c r="G1906" s="20" t="str">
        <f>IFERROR(__xludf.DUMMYFUNCTION("""COMPUTED_VALUE"""),"Tap 6 Clone (10/15/2021)")</f>
        <v>Tap 6 Clone (10/15/2021)</v>
      </c>
      <c r="H1906" s="19"/>
    </row>
    <row r="1907">
      <c r="A1907" s="9"/>
      <c r="B1907" s="15"/>
      <c r="C1907" s="9">
        <f>IFERROR(__xludf.DUMMYFUNCTION("""COMPUTED_VALUE"""),44491.8121763425)</f>
        <v>44491.81218</v>
      </c>
      <c r="D1907" s="15">
        <f>IFERROR(__xludf.DUMMYFUNCTION("""COMPUTED_VALUE"""),1.026)</f>
        <v>1.026</v>
      </c>
      <c r="E1907" s="16">
        <f>IFERROR(__xludf.DUMMYFUNCTION("""COMPUTED_VALUE"""),65.0)</f>
        <v>65</v>
      </c>
      <c r="F1907" s="19" t="str">
        <f>IFERROR(__xludf.DUMMYFUNCTION("""COMPUTED_VALUE"""),"BLACK")</f>
        <v>BLACK</v>
      </c>
      <c r="G1907" s="20" t="str">
        <f>IFERROR(__xludf.DUMMYFUNCTION("""COMPUTED_VALUE"""),"Tap 6 Clone (10/15/2021)")</f>
        <v>Tap 6 Clone (10/15/2021)</v>
      </c>
      <c r="H1907" s="19"/>
    </row>
    <row r="1908">
      <c r="A1908" s="9"/>
      <c r="B1908" s="15"/>
      <c r="C1908" s="9">
        <f>IFERROR(__xludf.DUMMYFUNCTION("""COMPUTED_VALUE"""),44491.801753912)</f>
        <v>44491.80175</v>
      </c>
      <c r="D1908" s="15">
        <f>IFERROR(__xludf.DUMMYFUNCTION("""COMPUTED_VALUE"""),1.026)</f>
        <v>1.026</v>
      </c>
      <c r="E1908" s="16">
        <f>IFERROR(__xludf.DUMMYFUNCTION("""COMPUTED_VALUE"""),65.0)</f>
        <v>65</v>
      </c>
      <c r="F1908" s="19" t="str">
        <f>IFERROR(__xludf.DUMMYFUNCTION("""COMPUTED_VALUE"""),"BLACK")</f>
        <v>BLACK</v>
      </c>
      <c r="G1908" s="20" t="str">
        <f>IFERROR(__xludf.DUMMYFUNCTION("""COMPUTED_VALUE"""),"Tap 6 Clone (10/15/2021)")</f>
        <v>Tap 6 Clone (10/15/2021)</v>
      </c>
      <c r="H1908" s="19"/>
    </row>
    <row r="1909">
      <c r="A1909" s="9"/>
      <c r="B1909" s="15"/>
      <c r="C1909" s="9">
        <f>IFERROR(__xludf.DUMMYFUNCTION("""COMPUTED_VALUE"""),44491.7913188657)</f>
        <v>44491.79132</v>
      </c>
      <c r="D1909" s="15">
        <f>IFERROR(__xludf.DUMMYFUNCTION("""COMPUTED_VALUE"""),1.027)</f>
        <v>1.027</v>
      </c>
      <c r="E1909" s="16">
        <f>IFERROR(__xludf.DUMMYFUNCTION("""COMPUTED_VALUE"""),65.0)</f>
        <v>65</v>
      </c>
      <c r="F1909" s="19" t="str">
        <f>IFERROR(__xludf.DUMMYFUNCTION("""COMPUTED_VALUE"""),"BLACK")</f>
        <v>BLACK</v>
      </c>
      <c r="G1909" s="20" t="str">
        <f>IFERROR(__xludf.DUMMYFUNCTION("""COMPUTED_VALUE"""),"Tap 6 Clone (10/15/2021)")</f>
        <v>Tap 6 Clone (10/15/2021)</v>
      </c>
      <c r="H1909" s="19"/>
    </row>
    <row r="1910">
      <c r="A1910" s="9"/>
      <c r="B1910" s="15"/>
      <c r="C1910" s="9">
        <f>IFERROR(__xludf.DUMMYFUNCTION("""COMPUTED_VALUE"""),44491.78089728)</f>
        <v>44491.7809</v>
      </c>
      <c r="D1910" s="15">
        <f>IFERROR(__xludf.DUMMYFUNCTION("""COMPUTED_VALUE"""),1.027)</f>
        <v>1.027</v>
      </c>
      <c r="E1910" s="16">
        <f>IFERROR(__xludf.DUMMYFUNCTION("""COMPUTED_VALUE"""),65.0)</f>
        <v>65</v>
      </c>
      <c r="F1910" s="19" t="str">
        <f>IFERROR(__xludf.DUMMYFUNCTION("""COMPUTED_VALUE"""),"BLACK")</f>
        <v>BLACK</v>
      </c>
      <c r="G1910" s="20" t="str">
        <f>IFERROR(__xludf.DUMMYFUNCTION("""COMPUTED_VALUE"""),"Tap 6 Clone (10/15/2021)")</f>
        <v>Tap 6 Clone (10/15/2021)</v>
      </c>
      <c r="H1910" s="19"/>
    </row>
    <row r="1911">
      <c r="A1911" s="9"/>
      <c r="B1911" s="15"/>
      <c r="C1911" s="9">
        <f>IFERROR(__xludf.DUMMYFUNCTION("""COMPUTED_VALUE"""),44491.7704773148)</f>
        <v>44491.77048</v>
      </c>
      <c r="D1911" s="15">
        <f>IFERROR(__xludf.DUMMYFUNCTION("""COMPUTED_VALUE"""),1.026)</f>
        <v>1.026</v>
      </c>
      <c r="E1911" s="16">
        <f>IFERROR(__xludf.DUMMYFUNCTION("""COMPUTED_VALUE"""),65.0)</f>
        <v>65</v>
      </c>
      <c r="F1911" s="19" t="str">
        <f>IFERROR(__xludf.DUMMYFUNCTION("""COMPUTED_VALUE"""),"BLACK")</f>
        <v>BLACK</v>
      </c>
      <c r="G1911" s="20" t="str">
        <f>IFERROR(__xludf.DUMMYFUNCTION("""COMPUTED_VALUE"""),"Tap 6 Clone (10/15/2021)")</f>
        <v>Tap 6 Clone (10/15/2021)</v>
      </c>
      <c r="H1911" s="19"/>
    </row>
    <row r="1912">
      <c r="A1912" s="9"/>
      <c r="B1912" s="15"/>
      <c r="C1912" s="9">
        <f>IFERROR(__xludf.DUMMYFUNCTION("""COMPUTED_VALUE"""),44491.7600550231)</f>
        <v>44491.76006</v>
      </c>
      <c r="D1912" s="15">
        <f>IFERROR(__xludf.DUMMYFUNCTION("""COMPUTED_VALUE"""),1.026)</f>
        <v>1.026</v>
      </c>
      <c r="E1912" s="16">
        <f>IFERROR(__xludf.DUMMYFUNCTION("""COMPUTED_VALUE"""),65.0)</f>
        <v>65</v>
      </c>
      <c r="F1912" s="19" t="str">
        <f>IFERROR(__xludf.DUMMYFUNCTION("""COMPUTED_VALUE"""),"BLACK")</f>
        <v>BLACK</v>
      </c>
      <c r="G1912" s="20" t="str">
        <f>IFERROR(__xludf.DUMMYFUNCTION("""COMPUTED_VALUE"""),"Tap 6 Clone (10/15/2021)")</f>
        <v>Tap 6 Clone (10/15/2021)</v>
      </c>
      <c r="H1912" s="19"/>
    </row>
    <row r="1913">
      <c r="A1913" s="9"/>
      <c r="B1913" s="15"/>
      <c r="C1913" s="9">
        <f>IFERROR(__xludf.DUMMYFUNCTION("""COMPUTED_VALUE"""),44491.7496337615)</f>
        <v>44491.74963</v>
      </c>
      <c r="D1913" s="15">
        <f>IFERROR(__xludf.DUMMYFUNCTION("""COMPUTED_VALUE"""),1.026)</f>
        <v>1.026</v>
      </c>
      <c r="E1913" s="16">
        <f>IFERROR(__xludf.DUMMYFUNCTION("""COMPUTED_VALUE"""),65.0)</f>
        <v>65</v>
      </c>
      <c r="F1913" s="19" t="str">
        <f>IFERROR(__xludf.DUMMYFUNCTION("""COMPUTED_VALUE"""),"BLACK")</f>
        <v>BLACK</v>
      </c>
      <c r="G1913" s="20" t="str">
        <f>IFERROR(__xludf.DUMMYFUNCTION("""COMPUTED_VALUE"""),"Tap 6 Clone (10/15/2021)")</f>
        <v>Tap 6 Clone (10/15/2021)</v>
      </c>
      <c r="H1913" s="19"/>
    </row>
    <row r="1914">
      <c r="A1914" s="9"/>
      <c r="B1914" s="15"/>
      <c r="C1914" s="9">
        <f>IFERROR(__xludf.DUMMYFUNCTION("""COMPUTED_VALUE"""),44491.7392134837)</f>
        <v>44491.73921</v>
      </c>
      <c r="D1914" s="15">
        <f>IFERROR(__xludf.DUMMYFUNCTION("""COMPUTED_VALUE"""),1.027)</f>
        <v>1.027</v>
      </c>
      <c r="E1914" s="16">
        <f>IFERROR(__xludf.DUMMYFUNCTION("""COMPUTED_VALUE"""),65.0)</f>
        <v>65</v>
      </c>
      <c r="F1914" s="19" t="str">
        <f>IFERROR(__xludf.DUMMYFUNCTION("""COMPUTED_VALUE"""),"BLACK")</f>
        <v>BLACK</v>
      </c>
      <c r="G1914" s="20" t="str">
        <f>IFERROR(__xludf.DUMMYFUNCTION("""COMPUTED_VALUE"""),"Tap 6 Clone (10/15/2021)")</f>
        <v>Tap 6 Clone (10/15/2021)</v>
      </c>
      <c r="H1914" s="19"/>
    </row>
    <row r="1915">
      <c r="A1915" s="9"/>
      <c r="B1915" s="15"/>
      <c r="C1915" s="9">
        <f>IFERROR(__xludf.DUMMYFUNCTION("""COMPUTED_VALUE"""),44491.7287817476)</f>
        <v>44491.72878</v>
      </c>
      <c r="D1915" s="15">
        <f>IFERROR(__xludf.DUMMYFUNCTION("""COMPUTED_VALUE"""),1.026)</f>
        <v>1.026</v>
      </c>
      <c r="E1915" s="16">
        <f>IFERROR(__xludf.DUMMYFUNCTION("""COMPUTED_VALUE"""),64.0)</f>
        <v>64</v>
      </c>
      <c r="F1915" s="19" t="str">
        <f>IFERROR(__xludf.DUMMYFUNCTION("""COMPUTED_VALUE"""),"BLACK")</f>
        <v>BLACK</v>
      </c>
      <c r="G1915" s="20" t="str">
        <f>IFERROR(__xludf.DUMMYFUNCTION("""COMPUTED_VALUE"""),"Tap 6 Clone (10/15/2021)")</f>
        <v>Tap 6 Clone (10/15/2021)</v>
      </c>
      <c r="H1915" s="19"/>
    </row>
    <row r="1916">
      <c r="A1916" s="9"/>
      <c r="B1916" s="15"/>
      <c r="C1916" s="9">
        <f>IFERROR(__xludf.DUMMYFUNCTION("""COMPUTED_VALUE"""),44491.7183606134)</f>
        <v>44491.71836</v>
      </c>
      <c r="D1916" s="15">
        <f>IFERROR(__xludf.DUMMYFUNCTION("""COMPUTED_VALUE"""),1.027)</f>
        <v>1.027</v>
      </c>
      <c r="E1916" s="16">
        <f>IFERROR(__xludf.DUMMYFUNCTION("""COMPUTED_VALUE"""),64.0)</f>
        <v>64</v>
      </c>
      <c r="F1916" s="19" t="str">
        <f>IFERROR(__xludf.DUMMYFUNCTION("""COMPUTED_VALUE"""),"BLACK")</f>
        <v>BLACK</v>
      </c>
      <c r="G1916" s="20" t="str">
        <f>IFERROR(__xludf.DUMMYFUNCTION("""COMPUTED_VALUE"""),"Tap 6 Clone (10/15/2021)")</f>
        <v>Tap 6 Clone (10/15/2021)</v>
      </c>
      <c r="H1916" s="19"/>
    </row>
    <row r="1917">
      <c r="A1917" s="9"/>
      <c r="B1917" s="15"/>
      <c r="C1917" s="9">
        <f>IFERROR(__xludf.DUMMYFUNCTION("""COMPUTED_VALUE"""),44491.7079286458)</f>
        <v>44491.70793</v>
      </c>
      <c r="D1917" s="15">
        <f>IFERROR(__xludf.DUMMYFUNCTION("""COMPUTED_VALUE"""),1.028)</f>
        <v>1.028</v>
      </c>
      <c r="E1917" s="16">
        <f>IFERROR(__xludf.DUMMYFUNCTION("""COMPUTED_VALUE"""),64.0)</f>
        <v>64</v>
      </c>
      <c r="F1917" s="19" t="str">
        <f>IFERROR(__xludf.DUMMYFUNCTION("""COMPUTED_VALUE"""),"BLACK")</f>
        <v>BLACK</v>
      </c>
      <c r="G1917" s="20" t="str">
        <f>IFERROR(__xludf.DUMMYFUNCTION("""COMPUTED_VALUE"""),"Tap 6 Clone (10/15/2021)")</f>
        <v>Tap 6 Clone (10/15/2021)</v>
      </c>
      <c r="H1917" s="19"/>
    </row>
    <row r="1918">
      <c r="A1918" s="9"/>
      <c r="B1918" s="15"/>
      <c r="C1918" s="9">
        <f>IFERROR(__xludf.DUMMYFUNCTION("""COMPUTED_VALUE"""),44491.6974951967)</f>
        <v>44491.6975</v>
      </c>
      <c r="D1918" s="15">
        <f>IFERROR(__xludf.DUMMYFUNCTION("""COMPUTED_VALUE"""),1.027)</f>
        <v>1.027</v>
      </c>
      <c r="E1918" s="16">
        <f>IFERROR(__xludf.DUMMYFUNCTION("""COMPUTED_VALUE"""),64.0)</f>
        <v>64</v>
      </c>
      <c r="F1918" s="19" t="str">
        <f>IFERROR(__xludf.DUMMYFUNCTION("""COMPUTED_VALUE"""),"BLACK")</f>
        <v>BLACK</v>
      </c>
      <c r="G1918" s="20" t="str">
        <f>IFERROR(__xludf.DUMMYFUNCTION("""COMPUTED_VALUE"""),"Tap 6 Clone (10/15/2021)")</f>
        <v>Tap 6 Clone (10/15/2021)</v>
      </c>
      <c r="H1918" s="19"/>
    </row>
    <row r="1919">
      <c r="A1919" s="9"/>
      <c r="B1919" s="15"/>
      <c r="C1919" s="9">
        <f>IFERROR(__xludf.DUMMYFUNCTION("""COMPUTED_VALUE"""),44491.6870624884)</f>
        <v>44491.68706</v>
      </c>
      <c r="D1919" s="15">
        <f>IFERROR(__xludf.DUMMYFUNCTION("""COMPUTED_VALUE"""),1.027)</f>
        <v>1.027</v>
      </c>
      <c r="E1919" s="16">
        <f>IFERROR(__xludf.DUMMYFUNCTION("""COMPUTED_VALUE"""),64.0)</f>
        <v>64</v>
      </c>
      <c r="F1919" s="19" t="str">
        <f>IFERROR(__xludf.DUMMYFUNCTION("""COMPUTED_VALUE"""),"BLACK")</f>
        <v>BLACK</v>
      </c>
      <c r="G1919" s="20" t="str">
        <f>IFERROR(__xludf.DUMMYFUNCTION("""COMPUTED_VALUE"""),"Tap 6 Clone (10/15/2021)")</f>
        <v>Tap 6 Clone (10/15/2021)</v>
      </c>
      <c r="H1919" s="19"/>
    </row>
    <row r="1920">
      <c r="A1920" s="9"/>
      <c r="B1920" s="15"/>
      <c r="C1920" s="9">
        <f>IFERROR(__xludf.DUMMYFUNCTION("""COMPUTED_VALUE"""),44491.6766419907)</f>
        <v>44491.67664</v>
      </c>
      <c r="D1920" s="15">
        <f>IFERROR(__xludf.DUMMYFUNCTION("""COMPUTED_VALUE"""),1.027)</f>
        <v>1.027</v>
      </c>
      <c r="E1920" s="16">
        <f>IFERROR(__xludf.DUMMYFUNCTION("""COMPUTED_VALUE"""),64.0)</f>
        <v>64</v>
      </c>
      <c r="F1920" s="19" t="str">
        <f>IFERROR(__xludf.DUMMYFUNCTION("""COMPUTED_VALUE"""),"BLACK")</f>
        <v>BLACK</v>
      </c>
      <c r="G1920" s="20" t="str">
        <f>IFERROR(__xludf.DUMMYFUNCTION("""COMPUTED_VALUE"""),"Tap 6 Clone (10/15/2021)")</f>
        <v>Tap 6 Clone (10/15/2021)</v>
      </c>
      <c r="H1920" s="19"/>
    </row>
    <row r="1921">
      <c r="A1921" s="9"/>
      <c r="B1921" s="15"/>
      <c r="C1921" s="9">
        <f>IFERROR(__xludf.DUMMYFUNCTION("""COMPUTED_VALUE"""),44491.6662212384)</f>
        <v>44491.66622</v>
      </c>
      <c r="D1921" s="15">
        <f>IFERROR(__xludf.DUMMYFUNCTION("""COMPUTED_VALUE"""),1.027)</f>
        <v>1.027</v>
      </c>
      <c r="E1921" s="16">
        <f>IFERROR(__xludf.DUMMYFUNCTION("""COMPUTED_VALUE"""),64.0)</f>
        <v>64</v>
      </c>
      <c r="F1921" s="19" t="str">
        <f>IFERROR(__xludf.DUMMYFUNCTION("""COMPUTED_VALUE"""),"BLACK")</f>
        <v>BLACK</v>
      </c>
      <c r="G1921" s="20" t="str">
        <f>IFERROR(__xludf.DUMMYFUNCTION("""COMPUTED_VALUE"""),"Tap 6 Clone (10/15/2021)")</f>
        <v>Tap 6 Clone (10/15/2021)</v>
      </c>
      <c r="H1921" s="19"/>
    </row>
    <row r="1922">
      <c r="A1922" s="9"/>
      <c r="B1922" s="15"/>
      <c r="C1922" s="9">
        <f>IFERROR(__xludf.DUMMYFUNCTION("""COMPUTED_VALUE"""),44491.6557995138)</f>
        <v>44491.6558</v>
      </c>
      <c r="D1922" s="15">
        <f>IFERROR(__xludf.DUMMYFUNCTION("""COMPUTED_VALUE"""),1.027)</f>
        <v>1.027</v>
      </c>
      <c r="E1922" s="16">
        <f>IFERROR(__xludf.DUMMYFUNCTION("""COMPUTED_VALUE"""),64.0)</f>
        <v>64</v>
      </c>
      <c r="F1922" s="19" t="str">
        <f>IFERROR(__xludf.DUMMYFUNCTION("""COMPUTED_VALUE"""),"BLACK")</f>
        <v>BLACK</v>
      </c>
      <c r="G1922" s="20" t="str">
        <f>IFERROR(__xludf.DUMMYFUNCTION("""COMPUTED_VALUE"""),"Tap 6 Clone (10/15/2021)")</f>
        <v>Tap 6 Clone (10/15/2021)</v>
      </c>
      <c r="H1922" s="19"/>
    </row>
    <row r="1923">
      <c r="A1923" s="9"/>
      <c r="B1923" s="15"/>
      <c r="C1923" s="9">
        <f>IFERROR(__xludf.DUMMYFUNCTION("""COMPUTED_VALUE"""),44491.6453784838)</f>
        <v>44491.64538</v>
      </c>
      <c r="D1923" s="15">
        <f>IFERROR(__xludf.DUMMYFUNCTION("""COMPUTED_VALUE"""),1.026)</f>
        <v>1.026</v>
      </c>
      <c r="E1923" s="16">
        <f>IFERROR(__xludf.DUMMYFUNCTION("""COMPUTED_VALUE"""),64.0)</f>
        <v>64</v>
      </c>
      <c r="F1923" s="19" t="str">
        <f>IFERROR(__xludf.DUMMYFUNCTION("""COMPUTED_VALUE"""),"BLACK")</f>
        <v>BLACK</v>
      </c>
      <c r="G1923" s="20" t="str">
        <f>IFERROR(__xludf.DUMMYFUNCTION("""COMPUTED_VALUE"""),"Tap 6 Clone (10/15/2021)")</f>
        <v>Tap 6 Clone (10/15/2021)</v>
      </c>
      <c r="H1923" s="19"/>
    </row>
    <row r="1924">
      <c r="A1924" s="9"/>
      <c r="B1924" s="15"/>
      <c r="C1924" s="9">
        <f>IFERROR(__xludf.DUMMYFUNCTION("""COMPUTED_VALUE"""),44491.6349587847)</f>
        <v>44491.63496</v>
      </c>
      <c r="D1924" s="15">
        <f>IFERROR(__xludf.DUMMYFUNCTION("""COMPUTED_VALUE"""),1.026)</f>
        <v>1.026</v>
      </c>
      <c r="E1924" s="16">
        <f>IFERROR(__xludf.DUMMYFUNCTION("""COMPUTED_VALUE"""),64.0)</f>
        <v>64</v>
      </c>
      <c r="F1924" s="19" t="str">
        <f>IFERROR(__xludf.DUMMYFUNCTION("""COMPUTED_VALUE"""),"BLACK")</f>
        <v>BLACK</v>
      </c>
      <c r="G1924" s="20" t="str">
        <f>IFERROR(__xludf.DUMMYFUNCTION("""COMPUTED_VALUE"""),"Tap 6 Clone (10/15/2021)")</f>
        <v>Tap 6 Clone (10/15/2021)</v>
      </c>
      <c r="H1924" s="19"/>
    </row>
    <row r="1925">
      <c r="A1925" s="9"/>
      <c r="B1925" s="15"/>
      <c r="C1925" s="9">
        <f>IFERROR(__xludf.DUMMYFUNCTION("""COMPUTED_VALUE"""),44491.624501331)</f>
        <v>44491.6245</v>
      </c>
      <c r="D1925" s="15">
        <f>IFERROR(__xludf.DUMMYFUNCTION("""COMPUTED_VALUE"""),1.026)</f>
        <v>1.026</v>
      </c>
      <c r="E1925" s="16">
        <f>IFERROR(__xludf.DUMMYFUNCTION("""COMPUTED_VALUE"""),64.0)</f>
        <v>64</v>
      </c>
      <c r="F1925" s="19" t="str">
        <f>IFERROR(__xludf.DUMMYFUNCTION("""COMPUTED_VALUE"""),"BLACK")</f>
        <v>BLACK</v>
      </c>
      <c r="G1925" s="20" t="str">
        <f>IFERROR(__xludf.DUMMYFUNCTION("""COMPUTED_VALUE"""),"Tap 6 Clone (10/15/2021)")</f>
        <v>Tap 6 Clone (10/15/2021)</v>
      </c>
      <c r="H1925" s="19"/>
    </row>
    <row r="1926">
      <c r="A1926" s="9"/>
      <c r="B1926" s="15"/>
      <c r="C1926" s="9">
        <f>IFERROR(__xludf.DUMMYFUNCTION("""COMPUTED_VALUE"""),44491.6140803356)</f>
        <v>44491.61408</v>
      </c>
      <c r="D1926" s="15">
        <f>IFERROR(__xludf.DUMMYFUNCTION("""COMPUTED_VALUE"""),1.026)</f>
        <v>1.026</v>
      </c>
      <c r="E1926" s="16">
        <f>IFERROR(__xludf.DUMMYFUNCTION("""COMPUTED_VALUE"""),64.0)</f>
        <v>64</v>
      </c>
      <c r="F1926" s="19" t="str">
        <f>IFERROR(__xludf.DUMMYFUNCTION("""COMPUTED_VALUE"""),"BLACK")</f>
        <v>BLACK</v>
      </c>
      <c r="G1926" s="20" t="str">
        <f>IFERROR(__xludf.DUMMYFUNCTION("""COMPUTED_VALUE"""),"Tap 6 Clone (10/15/2021)")</f>
        <v>Tap 6 Clone (10/15/2021)</v>
      </c>
      <c r="H1926" s="19"/>
    </row>
    <row r="1927">
      <c r="A1927" s="9"/>
      <c r="B1927" s="15"/>
      <c r="C1927" s="9">
        <f>IFERROR(__xludf.DUMMYFUNCTION("""COMPUTED_VALUE"""),44491.6036579861)</f>
        <v>44491.60366</v>
      </c>
      <c r="D1927" s="15">
        <f>IFERROR(__xludf.DUMMYFUNCTION("""COMPUTED_VALUE"""),1.026)</f>
        <v>1.026</v>
      </c>
      <c r="E1927" s="16">
        <f>IFERROR(__xludf.DUMMYFUNCTION("""COMPUTED_VALUE"""),64.0)</f>
        <v>64</v>
      </c>
      <c r="F1927" s="19" t="str">
        <f>IFERROR(__xludf.DUMMYFUNCTION("""COMPUTED_VALUE"""),"BLACK")</f>
        <v>BLACK</v>
      </c>
      <c r="G1927" s="20" t="str">
        <f>IFERROR(__xludf.DUMMYFUNCTION("""COMPUTED_VALUE"""),"Tap 6 Clone (10/15/2021)")</f>
        <v>Tap 6 Clone (10/15/2021)</v>
      </c>
      <c r="H1927" s="19"/>
    </row>
    <row r="1928">
      <c r="A1928" s="9"/>
      <c r="B1928" s="15"/>
      <c r="C1928" s="9">
        <f>IFERROR(__xludf.DUMMYFUNCTION("""COMPUTED_VALUE"""),44491.5932377546)</f>
        <v>44491.59324</v>
      </c>
      <c r="D1928" s="15">
        <f>IFERROR(__xludf.DUMMYFUNCTION("""COMPUTED_VALUE"""),1.026)</f>
        <v>1.026</v>
      </c>
      <c r="E1928" s="16">
        <f>IFERROR(__xludf.DUMMYFUNCTION("""COMPUTED_VALUE"""),64.0)</f>
        <v>64</v>
      </c>
      <c r="F1928" s="19" t="str">
        <f>IFERROR(__xludf.DUMMYFUNCTION("""COMPUTED_VALUE"""),"BLACK")</f>
        <v>BLACK</v>
      </c>
      <c r="G1928" s="20" t="str">
        <f>IFERROR(__xludf.DUMMYFUNCTION("""COMPUTED_VALUE"""),"Tap 6 Clone (10/15/2021)")</f>
        <v>Tap 6 Clone (10/15/2021)</v>
      </c>
      <c r="H1928" s="19"/>
    </row>
    <row r="1929">
      <c r="A1929" s="9"/>
      <c r="B1929" s="15"/>
      <c r="C1929" s="9">
        <f>IFERROR(__xludf.DUMMYFUNCTION("""COMPUTED_VALUE"""),44491.5828157291)</f>
        <v>44491.58282</v>
      </c>
      <c r="D1929" s="15">
        <f>IFERROR(__xludf.DUMMYFUNCTION("""COMPUTED_VALUE"""),1.026)</f>
        <v>1.026</v>
      </c>
      <c r="E1929" s="16">
        <f>IFERROR(__xludf.DUMMYFUNCTION("""COMPUTED_VALUE"""),64.0)</f>
        <v>64</v>
      </c>
      <c r="F1929" s="19" t="str">
        <f>IFERROR(__xludf.DUMMYFUNCTION("""COMPUTED_VALUE"""),"BLACK")</f>
        <v>BLACK</v>
      </c>
      <c r="G1929" s="20" t="str">
        <f>IFERROR(__xludf.DUMMYFUNCTION("""COMPUTED_VALUE"""),"Tap 6 Clone (10/15/2021)")</f>
        <v>Tap 6 Clone (10/15/2021)</v>
      </c>
      <c r="H1929" s="19"/>
    </row>
    <row r="1930">
      <c r="A1930" s="9"/>
      <c r="B1930" s="15"/>
      <c r="C1930" s="9">
        <f>IFERROR(__xludf.DUMMYFUNCTION("""COMPUTED_VALUE"""),44491.5723948263)</f>
        <v>44491.57239</v>
      </c>
      <c r="D1930" s="15">
        <f>IFERROR(__xludf.DUMMYFUNCTION("""COMPUTED_VALUE"""),1.027)</f>
        <v>1.027</v>
      </c>
      <c r="E1930" s="16">
        <f>IFERROR(__xludf.DUMMYFUNCTION("""COMPUTED_VALUE"""),64.0)</f>
        <v>64</v>
      </c>
      <c r="F1930" s="19" t="str">
        <f>IFERROR(__xludf.DUMMYFUNCTION("""COMPUTED_VALUE"""),"BLACK")</f>
        <v>BLACK</v>
      </c>
      <c r="G1930" s="20" t="str">
        <f>IFERROR(__xludf.DUMMYFUNCTION("""COMPUTED_VALUE"""),"Tap 6 Clone (10/15/2021)")</f>
        <v>Tap 6 Clone (10/15/2021)</v>
      </c>
      <c r="H1930" s="19"/>
    </row>
    <row r="1931">
      <c r="A1931" s="9"/>
      <c r="B1931" s="15"/>
      <c r="C1931" s="9">
        <f>IFERROR(__xludf.DUMMYFUNCTION("""COMPUTED_VALUE"""),44491.5619641319)</f>
        <v>44491.56196</v>
      </c>
      <c r="D1931" s="15">
        <f>IFERROR(__xludf.DUMMYFUNCTION("""COMPUTED_VALUE"""),1.027)</f>
        <v>1.027</v>
      </c>
      <c r="E1931" s="16">
        <f>IFERROR(__xludf.DUMMYFUNCTION("""COMPUTED_VALUE"""),64.0)</f>
        <v>64</v>
      </c>
      <c r="F1931" s="19" t="str">
        <f>IFERROR(__xludf.DUMMYFUNCTION("""COMPUTED_VALUE"""),"BLACK")</f>
        <v>BLACK</v>
      </c>
      <c r="G1931" s="20" t="str">
        <f>IFERROR(__xludf.DUMMYFUNCTION("""COMPUTED_VALUE"""),"Tap 6 Clone (10/15/2021)")</f>
        <v>Tap 6 Clone (10/15/2021)</v>
      </c>
      <c r="H1931" s="19"/>
    </row>
    <row r="1932">
      <c r="A1932" s="9"/>
      <c r="B1932" s="15"/>
      <c r="C1932" s="9">
        <f>IFERROR(__xludf.DUMMYFUNCTION("""COMPUTED_VALUE"""),44491.5515434722)</f>
        <v>44491.55154</v>
      </c>
      <c r="D1932" s="15">
        <f>IFERROR(__xludf.DUMMYFUNCTION("""COMPUTED_VALUE"""),1.027)</f>
        <v>1.027</v>
      </c>
      <c r="E1932" s="16">
        <f>IFERROR(__xludf.DUMMYFUNCTION("""COMPUTED_VALUE"""),64.0)</f>
        <v>64</v>
      </c>
      <c r="F1932" s="19" t="str">
        <f>IFERROR(__xludf.DUMMYFUNCTION("""COMPUTED_VALUE"""),"BLACK")</f>
        <v>BLACK</v>
      </c>
      <c r="G1932" s="20" t="str">
        <f>IFERROR(__xludf.DUMMYFUNCTION("""COMPUTED_VALUE"""),"Tap 6 Clone (10/15/2021)")</f>
        <v>Tap 6 Clone (10/15/2021)</v>
      </c>
      <c r="H1932" s="19"/>
    </row>
    <row r="1933">
      <c r="A1933" s="9"/>
      <c r="B1933" s="15"/>
      <c r="C1933" s="9">
        <f>IFERROR(__xludf.DUMMYFUNCTION("""COMPUTED_VALUE"""),44491.5411218634)</f>
        <v>44491.54112</v>
      </c>
      <c r="D1933" s="15">
        <f>IFERROR(__xludf.DUMMYFUNCTION("""COMPUTED_VALUE"""),1.027)</f>
        <v>1.027</v>
      </c>
      <c r="E1933" s="16">
        <f>IFERROR(__xludf.DUMMYFUNCTION("""COMPUTED_VALUE"""),64.0)</f>
        <v>64</v>
      </c>
      <c r="F1933" s="19" t="str">
        <f>IFERROR(__xludf.DUMMYFUNCTION("""COMPUTED_VALUE"""),"BLACK")</f>
        <v>BLACK</v>
      </c>
      <c r="G1933" s="20" t="str">
        <f>IFERROR(__xludf.DUMMYFUNCTION("""COMPUTED_VALUE"""),"Tap 6 Clone (10/15/2021)")</f>
        <v>Tap 6 Clone (10/15/2021)</v>
      </c>
      <c r="H1933" s="19"/>
    </row>
    <row r="1934">
      <c r="A1934" s="9"/>
      <c r="B1934" s="15"/>
      <c r="C1934" s="9">
        <f>IFERROR(__xludf.DUMMYFUNCTION("""COMPUTED_VALUE"""),44491.5306886689)</f>
        <v>44491.53069</v>
      </c>
      <c r="D1934" s="15">
        <f>IFERROR(__xludf.DUMMYFUNCTION("""COMPUTED_VALUE"""),1.027)</f>
        <v>1.027</v>
      </c>
      <c r="E1934" s="16">
        <f>IFERROR(__xludf.DUMMYFUNCTION("""COMPUTED_VALUE"""),64.0)</f>
        <v>64</v>
      </c>
      <c r="F1934" s="19" t="str">
        <f>IFERROR(__xludf.DUMMYFUNCTION("""COMPUTED_VALUE"""),"BLACK")</f>
        <v>BLACK</v>
      </c>
      <c r="G1934" s="20" t="str">
        <f>IFERROR(__xludf.DUMMYFUNCTION("""COMPUTED_VALUE"""),"Tap 6 Clone (10/15/2021)")</f>
        <v>Tap 6 Clone (10/15/2021)</v>
      </c>
      <c r="H1934" s="19"/>
    </row>
    <row r="1935">
      <c r="A1935" s="9"/>
      <c r="B1935" s="15"/>
      <c r="C1935" s="9">
        <f>IFERROR(__xludf.DUMMYFUNCTION("""COMPUTED_VALUE"""),44491.5202570833)</f>
        <v>44491.52026</v>
      </c>
      <c r="D1935" s="15">
        <f>IFERROR(__xludf.DUMMYFUNCTION("""COMPUTED_VALUE"""),1.027)</f>
        <v>1.027</v>
      </c>
      <c r="E1935" s="16">
        <f>IFERROR(__xludf.DUMMYFUNCTION("""COMPUTED_VALUE"""),64.0)</f>
        <v>64</v>
      </c>
      <c r="F1935" s="19" t="str">
        <f>IFERROR(__xludf.DUMMYFUNCTION("""COMPUTED_VALUE"""),"BLACK")</f>
        <v>BLACK</v>
      </c>
      <c r="G1935" s="20" t="str">
        <f>IFERROR(__xludf.DUMMYFUNCTION("""COMPUTED_VALUE"""),"Tap 6 Clone (10/15/2021)")</f>
        <v>Tap 6 Clone (10/15/2021)</v>
      </c>
      <c r="H1935" s="19"/>
    </row>
    <row r="1936">
      <c r="A1936" s="9"/>
      <c r="B1936" s="15"/>
      <c r="C1936" s="9">
        <f>IFERROR(__xludf.DUMMYFUNCTION("""COMPUTED_VALUE"""),44491.5098352777)</f>
        <v>44491.50984</v>
      </c>
      <c r="D1936" s="15">
        <f>IFERROR(__xludf.DUMMYFUNCTION("""COMPUTED_VALUE"""),1.027)</f>
        <v>1.027</v>
      </c>
      <c r="E1936" s="16">
        <f>IFERROR(__xludf.DUMMYFUNCTION("""COMPUTED_VALUE"""),64.0)</f>
        <v>64</v>
      </c>
      <c r="F1936" s="19" t="str">
        <f>IFERROR(__xludf.DUMMYFUNCTION("""COMPUTED_VALUE"""),"BLACK")</f>
        <v>BLACK</v>
      </c>
      <c r="G1936" s="20" t="str">
        <f>IFERROR(__xludf.DUMMYFUNCTION("""COMPUTED_VALUE"""),"Tap 6 Clone (10/15/2021)")</f>
        <v>Tap 6 Clone (10/15/2021)</v>
      </c>
      <c r="H1936" s="19"/>
    </row>
    <row r="1937">
      <c r="A1937" s="9"/>
      <c r="B1937" s="15"/>
      <c r="C1937" s="9">
        <f>IFERROR(__xludf.DUMMYFUNCTION("""COMPUTED_VALUE"""),44491.4994137963)</f>
        <v>44491.49941</v>
      </c>
      <c r="D1937" s="15">
        <f>IFERROR(__xludf.DUMMYFUNCTION("""COMPUTED_VALUE"""),1.026)</f>
        <v>1.026</v>
      </c>
      <c r="E1937" s="16">
        <f>IFERROR(__xludf.DUMMYFUNCTION("""COMPUTED_VALUE"""),64.0)</f>
        <v>64</v>
      </c>
      <c r="F1937" s="19" t="str">
        <f>IFERROR(__xludf.DUMMYFUNCTION("""COMPUTED_VALUE"""),"BLACK")</f>
        <v>BLACK</v>
      </c>
      <c r="G1937" s="20" t="str">
        <f>IFERROR(__xludf.DUMMYFUNCTION("""COMPUTED_VALUE"""),"Tap 6 Clone (10/15/2021)")</f>
        <v>Tap 6 Clone (10/15/2021)</v>
      </c>
      <c r="H1937" s="19"/>
    </row>
    <row r="1938">
      <c r="A1938" s="9"/>
      <c r="B1938" s="15"/>
      <c r="C1938" s="9">
        <f>IFERROR(__xludf.DUMMYFUNCTION("""COMPUTED_VALUE"""),44491.4889933217)</f>
        <v>44491.48899</v>
      </c>
      <c r="D1938" s="15">
        <f>IFERROR(__xludf.DUMMYFUNCTION("""COMPUTED_VALUE"""),1.026)</f>
        <v>1.026</v>
      </c>
      <c r="E1938" s="16">
        <f>IFERROR(__xludf.DUMMYFUNCTION("""COMPUTED_VALUE"""),64.0)</f>
        <v>64</v>
      </c>
      <c r="F1938" s="19" t="str">
        <f>IFERROR(__xludf.DUMMYFUNCTION("""COMPUTED_VALUE"""),"BLACK")</f>
        <v>BLACK</v>
      </c>
      <c r="G1938" s="20" t="str">
        <f>IFERROR(__xludf.DUMMYFUNCTION("""COMPUTED_VALUE"""),"Tap 6 Clone (10/15/2021)")</f>
        <v>Tap 6 Clone (10/15/2021)</v>
      </c>
      <c r="H1938" s="19"/>
    </row>
    <row r="1939">
      <c r="A1939" s="9"/>
      <c r="B1939" s="15"/>
      <c r="C1939" s="9">
        <f>IFERROR(__xludf.DUMMYFUNCTION("""COMPUTED_VALUE"""),44491.478570787)</f>
        <v>44491.47857</v>
      </c>
      <c r="D1939" s="15">
        <f>IFERROR(__xludf.DUMMYFUNCTION("""COMPUTED_VALUE"""),1.027)</f>
        <v>1.027</v>
      </c>
      <c r="E1939" s="16">
        <f>IFERROR(__xludf.DUMMYFUNCTION("""COMPUTED_VALUE"""),64.0)</f>
        <v>64</v>
      </c>
      <c r="F1939" s="19" t="str">
        <f>IFERROR(__xludf.DUMMYFUNCTION("""COMPUTED_VALUE"""),"BLACK")</f>
        <v>BLACK</v>
      </c>
      <c r="G1939" s="20" t="str">
        <f>IFERROR(__xludf.DUMMYFUNCTION("""COMPUTED_VALUE"""),"Tap 6 Clone (10/15/2021)")</f>
        <v>Tap 6 Clone (10/15/2021)</v>
      </c>
      <c r="H1939" s="19"/>
    </row>
    <row r="1940">
      <c r="A1940" s="9"/>
      <c r="B1940" s="15"/>
      <c r="C1940" s="9">
        <f>IFERROR(__xludf.DUMMYFUNCTION("""COMPUTED_VALUE"""),44491.4681482407)</f>
        <v>44491.46815</v>
      </c>
      <c r="D1940" s="15">
        <f>IFERROR(__xludf.DUMMYFUNCTION("""COMPUTED_VALUE"""),1.027)</f>
        <v>1.027</v>
      </c>
      <c r="E1940" s="16">
        <f>IFERROR(__xludf.DUMMYFUNCTION("""COMPUTED_VALUE"""),64.0)</f>
        <v>64</v>
      </c>
      <c r="F1940" s="19" t="str">
        <f>IFERROR(__xludf.DUMMYFUNCTION("""COMPUTED_VALUE"""),"BLACK")</f>
        <v>BLACK</v>
      </c>
      <c r="G1940" s="20" t="str">
        <f>IFERROR(__xludf.DUMMYFUNCTION("""COMPUTED_VALUE"""),"Tap 6 Clone (10/15/2021)")</f>
        <v>Tap 6 Clone (10/15/2021)</v>
      </c>
      <c r="H1940" s="19"/>
    </row>
    <row r="1941">
      <c r="A1941" s="9"/>
      <c r="B1941" s="15"/>
      <c r="C1941" s="9">
        <f>IFERROR(__xludf.DUMMYFUNCTION("""COMPUTED_VALUE"""),44491.4577282291)</f>
        <v>44491.45773</v>
      </c>
      <c r="D1941" s="15">
        <f>IFERROR(__xludf.DUMMYFUNCTION("""COMPUTED_VALUE"""),1.027)</f>
        <v>1.027</v>
      </c>
      <c r="E1941" s="16">
        <f>IFERROR(__xludf.DUMMYFUNCTION("""COMPUTED_VALUE"""),64.0)</f>
        <v>64</v>
      </c>
      <c r="F1941" s="19" t="str">
        <f>IFERROR(__xludf.DUMMYFUNCTION("""COMPUTED_VALUE"""),"BLACK")</f>
        <v>BLACK</v>
      </c>
      <c r="G1941" s="20" t="str">
        <f>IFERROR(__xludf.DUMMYFUNCTION("""COMPUTED_VALUE"""),"Tap 6 Clone (10/15/2021)")</f>
        <v>Tap 6 Clone (10/15/2021)</v>
      </c>
      <c r="H1941" s="19"/>
    </row>
    <row r="1942">
      <c r="A1942" s="9"/>
      <c r="B1942" s="15"/>
      <c r="C1942" s="9">
        <f>IFERROR(__xludf.DUMMYFUNCTION("""COMPUTED_VALUE"""),44491.447306412)</f>
        <v>44491.44731</v>
      </c>
      <c r="D1942" s="15">
        <f>IFERROR(__xludf.DUMMYFUNCTION("""COMPUTED_VALUE"""),1.027)</f>
        <v>1.027</v>
      </c>
      <c r="E1942" s="16">
        <f>IFERROR(__xludf.DUMMYFUNCTION("""COMPUTED_VALUE"""),64.0)</f>
        <v>64</v>
      </c>
      <c r="F1942" s="19" t="str">
        <f>IFERROR(__xludf.DUMMYFUNCTION("""COMPUTED_VALUE"""),"BLACK")</f>
        <v>BLACK</v>
      </c>
      <c r="G1942" s="20" t="str">
        <f>IFERROR(__xludf.DUMMYFUNCTION("""COMPUTED_VALUE"""),"Tap 6 Clone (10/15/2021)")</f>
        <v>Tap 6 Clone (10/15/2021)</v>
      </c>
      <c r="H1942" s="19"/>
    </row>
    <row r="1943">
      <c r="A1943" s="9"/>
      <c r="B1943" s="15"/>
      <c r="C1943" s="9">
        <f>IFERROR(__xludf.DUMMYFUNCTION("""COMPUTED_VALUE"""),44491.4368736111)</f>
        <v>44491.43687</v>
      </c>
      <c r="D1943" s="15">
        <f>IFERROR(__xludf.DUMMYFUNCTION("""COMPUTED_VALUE"""),1.027)</f>
        <v>1.027</v>
      </c>
      <c r="E1943" s="16">
        <f>IFERROR(__xludf.DUMMYFUNCTION("""COMPUTED_VALUE"""),64.0)</f>
        <v>64</v>
      </c>
      <c r="F1943" s="19" t="str">
        <f>IFERROR(__xludf.DUMMYFUNCTION("""COMPUTED_VALUE"""),"BLACK")</f>
        <v>BLACK</v>
      </c>
      <c r="G1943" s="20" t="str">
        <f>IFERROR(__xludf.DUMMYFUNCTION("""COMPUTED_VALUE"""),"Tap 6 Clone (10/15/2021)")</f>
        <v>Tap 6 Clone (10/15/2021)</v>
      </c>
      <c r="H1943" s="19"/>
    </row>
    <row r="1944">
      <c r="A1944" s="9"/>
      <c r="B1944" s="15"/>
      <c r="C1944" s="9">
        <f>IFERROR(__xludf.DUMMYFUNCTION("""COMPUTED_VALUE"""),44491.4264528009)</f>
        <v>44491.42645</v>
      </c>
      <c r="D1944" s="15">
        <f>IFERROR(__xludf.DUMMYFUNCTION("""COMPUTED_VALUE"""),1.027)</f>
        <v>1.027</v>
      </c>
      <c r="E1944" s="16">
        <f>IFERROR(__xludf.DUMMYFUNCTION("""COMPUTED_VALUE"""),64.0)</f>
        <v>64</v>
      </c>
      <c r="F1944" s="19" t="str">
        <f>IFERROR(__xludf.DUMMYFUNCTION("""COMPUTED_VALUE"""),"BLACK")</f>
        <v>BLACK</v>
      </c>
      <c r="G1944" s="20" t="str">
        <f>IFERROR(__xludf.DUMMYFUNCTION("""COMPUTED_VALUE"""),"Tap 6 Clone (10/15/2021)")</f>
        <v>Tap 6 Clone (10/15/2021)</v>
      </c>
      <c r="H1944" s="19"/>
    </row>
    <row r="1945">
      <c r="A1945" s="9"/>
      <c r="B1945" s="15"/>
      <c r="C1945" s="9">
        <f>IFERROR(__xludf.DUMMYFUNCTION("""COMPUTED_VALUE"""),44491.4160315856)</f>
        <v>44491.41603</v>
      </c>
      <c r="D1945" s="15">
        <f>IFERROR(__xludf.DUMMYFUNCTION("""COMPUTED_VALUE"""),1.027)</f>
        <v>1.027</v>
      </c>
      <c r="E1945" s="16">
        <f>IFERROR(__xludf.DUMMYFUNCTION("""COMPUTED_VALUE"""),64.0)</f>
        <v>64</v>
      </c>
      <c r="F1945" s="19" t="str">
        <f>IFERROR(__xludf.DUMMYFUNCTION("""COMPUTED_VALUE"""),"BLACK")</f>
        <v>BLACK</v>
      </c>
      <c r="G1945" s="20" t="str">
        <f>IFERROR(__xludf.DUMMYFUNCTION("""COMPUTED_VALUE"""),"Tap 6 Clone (10/15/2021)")</f>
        <v>Tap 6 Clone (10/15/2021)</v>
      </c>
      <c r="H1945" s="19"/>
    </row>
    <row r="1946">
      <c r="A1946" s="9"/>
      <c r="B1946" s="15"/>
      <c r="C1946" s="9">
        <f>IFERROR(__xludf.DUMMYFUNCTION("""COMPUTED_VALUE"""),44491.405611412)</f>
        <v>44491.40561</v>
      </c>
      <c r="D1946" s="15">
        <f>IFERROR(__xludf.DUMMYFUNCTION("""COMPUTED_VALUE"""),1.027)</f>
        <v>1.027</v>
      </c>
      <c r="E1946" s="16">
        <f>IFERROR(__xludf.DUMMYFUNCTION("""COMPUTED_VALUE"""),64.0)</f>
        <v>64</v>
      </c>
      <c r="F1946" s="19" t="str">
        <f>IFERROR(__xludf.DUMMYFUNCTION("""COMPUTED_VALUE"""),"BLACK")</f>
        <v>BLACK</v>
      </c>
      <c r="G1946" s="20" t="str">
        <f>IFERROR(__xludf.DUMMYFUNCTION("""COMPUTED_VALUE"""),"Tap 6 Clone (10/15/2021)")</f>
        <v>Tap 6 Clone (10/15/2021)</v>
      </c>
      <c r="H1946" s="19"/>
    </row>
    <row r="1947">
      <c r="A1947" s="9"/>
      <c r="B1947" s="15"/>
      <c r="C1947" s="9">
        <f>IFERROR(__xludf.DUMMYFUNCTION("""COMPUTED_VALUE"""),44491.395190949)</f>
        <v>44491.39519</v>
      </c>
      <c r="D1947" s="15">
        <f>IFERROR(__xludf.DUMMYFUNCTION("""COMPUTED_VALUE"""),1.027)</f>
        <v>1.027</v>
      </c>
      <c r="E1947" s="16">
        <f>IFERROR(__xludf.DUMMYFUNCTION("""COMPUTED_VALUE"""),64.0)</f>
        <v>64</v>
      </c>
      <c r="F1947" s="19" t="str">
        <f>IFERROR(__xludf.DUMMYFUNCTION("""COMPUTED_VALUE"""),"BLACK")</f>
        <v>BLACK</v>
      </c>
      <c r="G1947" s="20" t="str">
        <f>IFERROR(__xludf.DUMMYFUNCTION("""COMPUTED_VALUE"""),"Tap 6 Clone (10/15/2021)")</f>
        <v>Tap 6 Clone (10/15/2021)</v>
      </c>
      <c r="H1947" s="19"/>
    </row>
    <row r="1948">
      <c r="A1948" s="9"/>
      <c r="B1948" s="15"/>
      <c r="C1948" s="9">
        <f>IFERROR(__xludf.DUMMYFUNCTION("""COMPUTED_VALUE"""),44491.3847701041)</f>
        <v>44491.38477</v>
      </c>
      <c r="D1948" s="15">
        <f>IFERROR(__xludf.DUMMYFUNCTION("""COMPUTED_VALUE"""),1.027)</f>
        <v>1.027</v>
      </c>
      <c r="E1948" s="16">
        <f>IFERROR(__xludf.DUMMYFUNCTION("""COMPUTED_VALUE"""),64.0)</f>
        <v>64</v>
      </c>
      <c r="F1948" s="19" t="str">
        <f>IFERROR(__xludf.DUMMYFUNCTION("""COMPUTED_VALUE"""),"BLACK")</f>
        <v>BLACK</v>
      </c>
      <c r="G1948" s="20" t="str">
        <f>IFERROR(__xludf.DUMMYFUNCTION("""COMPUTED_VALUE"""),"Tap 6 Clone (10/15/2021)")</f>
        <v>Tap 6 Clone (10/15/2021)</v>
      </c>
      <c r="H1948" s="19"/>
    </row>
    <row r="1949">
      <c r="A1949" s="9"/>
      <c r="B1949" s="15"/>
      <c r="C1949" s="9">
        <f>IFERROR(__xludf.DUMMYFUNCTION("""COMPUTED_VALUE"""),44491.3743486689)</f>
        <v>44491.37435</v>
      </c>
      <c r="D1949" s="15">
        <f>IFERROR(__xludf.DUMMYFUNCTION("""COMPUTED_VALUE"""),1.027)</f>
        <v>1.027</v>
      </c>
      <c r="E1949" s="16">
        <f>IFERROR(__xludf.DUMMYFUNCTION("""COMPUTED_VALUE"""),64.0)</f>
        <v>64</v>
      </c>
      <c r="F1949" s="19" t="str">
        <f>IFERROR(__xludf.DUMMYFUNCTION("""COMPUTED_VALUE"""),"BLACK")</f>
        <v>BLACK</v>
      </c>
      <c r="G1949" s="20" t="str">
        <f>IFERROR(__xludf.DUMMYFUNCTION("""COMPUTED_VALUE"""),"Tap 6 Clone (10/15/2021)")</f>
        <v>Tap 6 Clone (10/15/2021)</v>
      </c>
      <c r="H1949" s="19"/>
    </row>
    <row r="1950">
      <c r="A1950" s="9"/>
      <c r="B1950" s="15"/>
      <c r="C1950" s="9">
        <f>IFERROR(__xludf.DUMMYFUNCTION("""COMPUTED_VALUE"""),44491.3639281713)</f>
        <v>44491.36393</v>
      </c>
      <c r="D1950" s="15">
        <f>IFERROR(__xludf.DUMMYFUNCTION("""COMPUTED_VALUE"""),1.027)</f>
        <v>1.027</v>
      </c>
      <c r="E1950" s="16">
        <f>IFERROR(__xludf.DUMMYFUNCTION("""COMPUTED_VALUE"""),64.0)</f>
        <v>64</v>
      </c>
      <c r="F1950" s="19" t="str">
        <f>IFERROR(__xludf.DUMMYFUNCTION("""COMPUTED_VALUE"""),"BLACK")</f>
        <v>BLACK</v>
      </c>
      <c r="G1950" s="20" t="str">
        <f>IFERROR(__xludf.DUMMYFUNCTION("""COMPUTED_VALUE"""),"Tap 6 Clone (10/15/2021)")</f>
        <v>Tap 6 Clone (10/15/2021)</v>
      </c>
      <c r="H1950" s="19"/>
    </row>
    <row r="1951">
      <c r="A1951" s="9"/>
      <c r="B1951" s="15"/>
      <c r="C1951" s="9">
        <f>IFERROR(__xludf.DUMMYFUNCTION("""COMPUTED_VALUE"""),44491.3535070833)</f>
        <v>44491.35351</v>
      </c>
      <c r="D1951" s="15">
        <f>IFERROR(__xludf.DUMMYFUNCTION("""COMPUTED_VALUE"""),1.027)</f>
        <v>1.027</v>
      </c>
      <c r="E1951" s="16">
        <f>IFERROR(__xludf.DUMMYFUNCTION("""COMPUTED_VALUE"""),64.0)</f>
        <v>64</v>
      </c>
      <c r="F1951" s="19" t="str">
        <f>IFERROR(__xludf.DUMMYFUNCTION("""COMPUTED_VALUE"""),"BLACK")</f>
        <v>BLACK</v>
      </c>
      <c r="G1951" s="20" t="str">
        <f>IFERROR(__xludf.DUMMYFUNCTION("""COMPUTED_VALUE"""),"Tap 6 Clone (10/15/2021)")</f>
        <v>Tap 6 Clone (10/15/2021)</v>
      </c>
      <c r="H1951" s="19"/>
    </row>
    <row r="1952">
      <c r="A1952" s="9"/>
      <c r="B1952" s="15"/>
      <c r="C1952" s="9">
        <f>IFERROR(__xludf.DUMMYFUNCTION("""COMPUTED_VALUE"""),44491.3430725347)</f>
        <v>44491.34307</v>
      </c>
      <c r="D1952" s="15">
        <f>IFERROR(__xludf.DUMMYFUNCTION("""COMPUTED_VALUE"""),1.027)</f>
        <v>1.027</v>
      </c>
      <c r="E1952" s="16">
        <f>IFERROR(__xludf.DUMMYFUNCTION("""COMPUTED_VALUE"""),63.0)</f>
        <v>63</v>
      </c>
      <c r="F1952" s="19" t="str">
        <f>IFERROR(__xludf.DUMMYFUNCTION("""COMPUTED_VALUE"""),"BLACK")</f>
        <v>BLACK</v>
      </c>
      <c r="G1952" s="20" t="str">
        <f>IFERROR(__xludf.DUMMYFUNCTION("""COMPUTED_VALUE"""),"Tap 6 Clone (10/15/2021)")</f>
        <v>Tap 6 Clone (10/15/2021)</v>
      </c>
      <c r="H1952" s="19"/>
    </row>
    <row r="1953">
      <c r="A1953" s="9"/>
      <c r="B1953" s="15"/>
      <c r="C1953" s="9">
        <f>IFERROR(__xludf.DUMMYFUNCTION("""COMPUTED_VALUE"""),44491.3326524074)</f>
        <v>44491.33265</v>
      </c>
      <c r="D1953" s="15">
        <f>IFERROR(__xludf.DUMMYFUNCTION("""COMPUTED_VALUE"""),1.026)</f>
        <v>1.026</v>
      </c>
      <c r="E1953" s="16">
        <f>IFERROR(__xludf.DUMMYFUNCTION("""COMPUTED_VALUE"""),63.0)</f>
        <v>63</v>
      </c>
      <c r="F1953" s="19" t="str">
        <f>IFERROR(__xludf.DUMMYFUNCTION("""COMPUTED_VALUE"""),"BLACK")</f>
        <v>BLACK</v>
      </c>
      <c r="G1953" s="20" t="str">
        <f>IFERROR(__xludf.DUMMYFUNCTION("""COMPUTED_VALUE"""),"Tap 6 Clone (10/15/2021)")</f>
        <v>Tap 6 Clone (10/15/2021)</v>
      </c>
      <c r="H1953" s="19"/>
    </row>
    <row r="1954">
      <c r="A1954" s="9"/>
      <c r="B1954" s="15"/>
      <c r="C1954" s="9">
        <f>IFERROR(__xludf.DUMMYFUNCTION("""COMPUTED_VALUE"""),44491.3222193634)</f>
        <v>44491.32222</v>
      </c>
      <c r="D1954" s="15">
        <f>IFERROR(__xludf.DUMMYFUNCTION("""COMPUTED_VALUE"""),1.026)</f>
        <v>1.026</v>
      </c>
      <c r="E1954" s="16">
        <f>IFERROR(__xludf.DUMMYFUNCTION("""COMPUTED_VALUE"""),63.0)</f>
        <v>63</v>
      </c>
      <c r="F1954" s="19" t="str">
        <f>IFERROR(__xludf.DUMMYFUNCTION("""COMPUTED_VALUE"""),"BLACK")</f>
        <v>BLACK</v>
      </c>
      <c r="G1954" s="20" t="str">
        <f>IFERROR(__xludf.DUMMYFUNCTION("""COMPUTED_VALUE"""),"Tap 6 Clone (10/15/2021)")</f>
        <v>Tap 6 Clone (10/15/2021)</v>
      </c>
      <c r="H1954" s="19"/>
    </row>
    <row r="1955">
      <c r="A1955" s="9"/>
      <c r="B1955" s="15"/>
      <c r="C1955" s="9">
        <f>IFERROR(__xludf.DUMMYFUNCTION("""COMPUTED_VALUE"""),44491.3117886458)</f>
        <v>44491.31179</v>
      </c>
      <c r="D1955" s="15">
        <f>IFERROR(__xludf.DUMMYFUNCTION("""COMPUTED_VALUE"""),1.026)</f>
        <v>1.026</v>
      </c>
      <c r="E1955" s="16">
        <f>IFERROR(__xludf.DUMMYFUNCTION("""COMPUTED_VALUE"""),63.0)</f>
        <v>63</v>
      </c>
      <c r="F1955" s="19" t="str">
        <f>IFERROR(__xludf.DUMMYFUNCTION("""COMPUTED_VALUE"""),"BLACK")</f>
        <v>BLACK</v>
      </c>
      <c r="G1955" s="20" t="str">
        <f>IFERROR(__xludf.DUMMYFUNCTION("""COMPUTED_VALUE"""),"Tap 6 Clone (10/15/2021)")</f>
        <v>Tap 6 Clone (10/15/2021)</v>
      </c>
      <c r="H1955" s="19"/>
    </row>
    <row r="1956">
      <c r="A1956" s="9"/>
      <c r="B1956" s="15"/>
      <c r="C1956" s="9">
        <f>IFERROR(__xludf.DUMMYFUNCTION("""COMPUTED_VALUE"""),44491.3013677083)</f>
        <v>44491.30137</v>
      </c>
      <c r="D1956" s="15">
        <f>IFERROR(__xludf.DUMMYFUNCTION("""COMPUTED_VALUE"""),1.026)</f>
        <v>1.026</v>
      </c>
      <c r="E1956" s="16">
        <f>IFERROR(__xludf.DUMMYFUNCTION("""COMPUTED_VALUE"""),63.0)</f>
        <v>63</v>
      </c>
      <c r="F1956" s="19" t="str">
        <f>IFERROR(__xludf.DUMMYFUNCTION("""COMPUTED_VALUE"""),"BLACK")</f>
        <v>BLACK</v>
      </c>
      <c r="G1956" s="20" t="str">
        <f>IFERROR(__xludf.DUMMYFUNCTION("""COMPUTED_VALUE"""),"Tap 6 Clone (10/15/2021)")</f>
        <v>Tap 6 Clone (10/15/2021)</v>
      </c>
      <c r="H1956" s="19"/>
    </row>
    <row r="1957">
      <c r="A1957" s="9"/>
      <c r="B1957" s="15"/>
      <c r="C1957" s="9">
        <f>IFERROR(__xludf.DUMMYFUNCTION("""COMPUTED_VALUE"""),44491.290945324)</f>
        <v>44491.29095</v>
      </c>
      <c r="D1957" s="15">
        <f>IFERROR(__xludf.DUMMYFUNCTION("""COMPUTED_VALUE"""),1.027)</f>
        <v>1.027</v>
      </c>
      <c r="E1957" s="16">
        <f>IFERROR(__xludf.DUMMYFUNCTION("""COMPUTED_VALUE"""),63.0)</f>
        <v>63</v>
      </c>
      <c r="F1957" s="19" t="str">
        <f>IFERROR(__xludf.DUMMYFUNCTION("""COMPUTED_VALUE"""),"BLACK")</f>
        <v>BLACK</v>
      </c>
      <c r="G1957" s="20" t="str">
        <f>IFERROR(__xludf.DUMMYFUNCTION("""COMPUTED_VALUE"""),"Tap 6 Clone (10/15/2021)")</f>
        <v>Tap 6 Clone (10/15/2021)</v>
      </c>
      <c r="H1957" s="19"/>
    </row>
    <row r="1958">
      <c r="A1958" s="9"/>
      <c r="B1958" s="15"/>
      <c r="C1958" s="9">
        <f>IFERROR(__xludf.DUMMYFUNCTION("""COMPUTED_VALUE"""),44491.2805243865)</f>
        <v>44491.28052</v>
      </c>
      <c r="D1958" s="15">
        <f>IFERROR(__xludf.DUMMYFUNCTION("""COMPUTED_VALUE"""),1.027)</f>
        <v>1.027</v>
      </c>
      <c r="E1958" s="16">
        <f>IFERROR(__xludf.DUMMYFUNCTION("""COMPUTED_VALUE"""),63.0)</f>
        <v>63</v>
      </c>
      <c r="F1958" s="19" t="str">
        <f>IFERROR(__xludf.DUMMYFUNCTION("""COMPUTED_VALUE"""),"BLACK")</f>
        <v>BLACK</v>
      </c>
      <c r="G1958" s="20" t="str">
        <f>IFERROR(__xludf.DUMMYFUNCTION("""COMPUTED_VALUE"""),"Tap 6 Clone (10/15/2021)")</f>
        <v>Tap 6 Clone (10/15/2021)</v>
      </c>
      <c r="H1958" s="19"/>
    </row>
    <row r="1959">
      <c r="A1959" s="9"/>
      <c r="B1959" s="15"/>
      <c r="C1959" s="9">
        <f>IFERROR(__xludf.DUMMYFUNCTION("""COMPUTED_VALUE"""),44491.2701036921)</f>
        <v>44491.2701</v>
      </c>
      <c r="D1959" s="15">
        <f>IFERROR(__xludf.DUMMYFUNCTION("""COMPUTED_VALUE"""),1.027)</f>
        <v>1.027</v>
      </c>
      <c r="E1959" s="16">
        <f>IFERROR(__xludf.DUMMYFUNCTION("""COMPUTED_VALUE"""),63.0)</f>
        <v>63</v>
      </c>
      <c r="F1959" s="19" t="str">
        <f>IFERROR(__xludf.DUMMYFUNCTION("""COMPUTED_VALUE"""),"BLACK")</f>
        <v>BLACK</v>
      </c>
      <c r="G1959" s="20" t="str">
        <f>IFERROR(__xludf.DUMMYFUNCTION("""COMPUTED_VALUE"""),"Tap 6 Clone (10/15/2021)")</f>
        <v>Tap 6 Clone (10/15/2021)</v>
      </c>
      <c r="H1959" s="19"/>
    </row>
    <row r="1960">
      <c r="A1960" s="9"/>
      <c r="B1960" s="15"/>
      <c r="C1960" s="9">
        <f>IFERROR(__xludf.DUMMYFUNCTION("""COMPUTED_VALUE"""),44491.2596826157)</f>
        <v>44491.25968</v>
      </c>
      <c r="D1960" s="15">
        <f>IFERROR(__xludf.DUMMYFUNCTION("""COMPUTED_VALUE"""),1.027)</f>
        <v>1.027</v>
      </c>
      <c r="E1960" s="16">
        <f>IFERROR(__xludf.DUMMYFUNCTION("""COMPUTED_VALUE"""),63.0)</f>
        <v>63</v>
      </c>
      <c r="F1960" s="19" t="str">
        <f>IFERROR(__xludf.DUMMYFUNCTION("""COMPUTED_VALUE"""),"BLACK")</f>
        <v>BLACK</v>
      </c>
      <c r="G1960" s="20" t="str">
        <f>IFERROR(__xludf.DUMMYFUNCTION("""COMPUTED_VALUE"""),"Tap 6 Clone (10/15/2021)")</f>
        <v>Tap 6 Clone (10/15/2021)</v>
      </c>
      <c r="H1960" s="19"/>
    </row>
    <row r="1961">
      <c r="A1961" s="9"/>
      <c r="B1961" s="15"/>
      <c r="C1961" s="9">
        <f>IFERROR(__xludf.DUMMYFUNCTION("""COMPUTED_VALUE"""),44491.2492561226)</f>
        <v>44491.24926</v>
      </c>
      <c r="D1961" s="15">
        <f>IFERROR(__xludf.DUMMYFUNCTION("""COMPUTED_VALUE"""),1.026)</f>
        <v>1.026</v>
      </c>
      <c r="E1961" s="16">
        <f>IFERROR(__xludf.DUMMYFUNCTION("""COMPUTED_VALUE"""),63.0)</f>
        <v>63</v>
      </c>
      <c r="F1961" s="19" t="str">
        <f>IFERROR(__xludf.DUMMYFUNCTION("""COMPUTED_VALUE"""),"BLACK")</f>
        <v>BLACK</v>
      </c>
      <c r="G1961" s="20" t="str">
        <f>IFERROR(__xludf.DUMMYFUNCTION("""COMPUTED_VALUE"""),"Tap 6 Clone (10/15/2021)")</f>
        <v>Tap 6 Clone (10/15/2021)</v>
      </c>
      <c r="H1961" s="19"/>
    </row>
    <row r="1962">
      <c r="A1962" s="9"/>
      <c r="B1962" s="15"/>
      <c r="C1962" s="9">
        <f>IFERROR(__xludf.DUMMYFUNCTION("""COMPUTED_VALUE"""),44491.238827905)</f>
        <v>44491.23883</v>
      </c>
      <c r="D1962" s="15">
        <f>IFERROR(__xludf.DUMMYFUNCTION("""COMPUTED_VALUE"""),1.023)</f>
        <v>1.023</v>
      </c>
      <c r="E1962" s="16">
        <f>IFERROR(__xludf.DUMMYFUNCTION("""COMPUTED_VALUE"""),63.0)</f>
        <v>63</v>
      </c>
      <c r="F1962" s="19" t="str">
        <f>IFERROR(__xludf.DUMMYFUNCTION("""COMPUTED_VALUE"""),"BLACK")</f>
        <v>BLACK</v>
      </c>
      <c r="G1962" s="20" t="str">
        <f>IFERROR(__xludf.DUMMYFUNCTION("""COMPUTED_VALUE"""),"Tap 6 Clone (10/15/2021)")</f>
        <v>Tap 6 Clone (10/15/2021)</v>
      </c>
      <c r="H1962" s="19"/>
    </row>
    <row r="1963">
      <c r="A1963" s="9"/>
      <c r="B1963" s="15"/>
      <c r="C1963" s="9">
        <f>IFERROR(__xludf.DUMMYFUNCTION("""COMPUTED_VALUE"""),44491.2284080787)</f>
        <v>44491.22841</v>
      </c>
      <c r="D1963" s="15">
        <f>IFERROR(__xludf.DUMMYFUNCTION("""COMPUTED_VALUE"""),1.023)</f>
        <v>1.023</v>
      </c>
      <c r="E1963" s="16">
        <f>IFERROR(__xludf.DUMMYFUNCTION("""COMPUTED_VALUE"""),63.0)</f>
        <v>63</v>
      </c>
      <c r="F1963" s="19" t="str">
        <f>IFERROR(__xludf.DUMMYFUNCTION("""COMPUTED_VALUE"""),"BLACK")</f>
        <v>BLACK</v>
      </c>
      <c r="G1963" s="20" t="str">
        <f>IFERROR(__xludf.DUMMYFUNCTION("""COMPUTED_VALUE"""),"Tap 6 Clone (10/15/2021)")</f>
        <v>Tap 6 Clone (10/15/2021)</v>
      </c>
      <c r="H1963" s="19"/>
    </row>
    <row r="1964">
      <c r="A1964" s="9"/>
      <c r="B1964" s="15"/>
      <c r="C1964" s="9">
        <f>IFERROR(__xludf.DUMMYFUNCTION("""COMPUTED_VALUE"""),44491.2179877314)</f>
        <v>44491.21799</v>
      </c>
      <c r="D1964" s="15">
        <f>IFERROR(__xludf.DUMMYFUNCTION("""COMPUTED_VALUE"""),1.023)</f>
        <v>1.023</v>
      </c>
      <c r="E1964" s="16">
        <f>IFERROR(__xludf.DUMMYFUNCTION("""COMPUTED_VALUE"""),63.0)</f>
        <v>63</v>
      </c>
      <c r="F1964" s="19" t="str">
        <f>IFERROR(__xludf.DUMMYFUNCTION("""COMPUTED_VALUE"""),"BLACK")</f>
        <v>BLACK</v>
      </c>
      <c r="G1964" s="20" t="str">
        <f>IFERROR(__xludf.DUMMYFUNCTION("""COMPUTED_VALUE"""),"Tap 6 Clone (10/15/2021)")</f>
        <v>Tap 6 Clone (10/15/2021)</v>
      </c>
      <c r="H1964" s="19"/>
    </row>
    <row r="1965">
      <c r="A1965" s="9"/>
      <c r="B1965" s="15"/>
      <c r="C1965" s="9">
        <f>IFERROR(__xludf.DUMMYFUNCTION("""COMPUTED_VALUE"""),44491.2075665162)</f>
        <v>44491.20757</v>
      </c>
      <c r="D1965" s="15">
        <f>IFERROR(__xludf.DUMMYFUNCTION("""COMPUTED_VALUE"""),1.023)</f>
        <v>1.023</v>
      </c>
      <c r="E1965" s="16">
        <f>IFERROR(__xludf.DUMMYFUNCTION("""COMPUTED_VALUE"""),63.0)</f>
        <v>63</v>
      </c>
      <c r="F1965" s="19" t="str">
        <f>IFERROR(__xludf.DUMMYFUNCTION("""COMPUTED_VALUE"""),"BLACK")</f>
        <v>BLACK</v>
      </c>
      <c r="G1965" s="20" t="str">
        <f>IFERROR(__xludf.DUMMYFUNCTION("""COMPUTED_VALUE"""),"Tap 6 Clone (10/15/2021)")</f>
        <v>Tap 6 Clone (10/15/2021)</v>
      </c>
      <c r="H1965" s="19"/>
    </row>
    <row r="1966">
      <c r="A1966" s="9"/>
      <c r="B1966" s="15"/>
      <c r="C1966" s="9">
        <f>IFERROR(__xludf.DUMMYFUNCTION("""COMPUTED_VALUE"""),44491.1971435763)</f>
        <v>44491.19714</v>
      </c>
      <c r="D1966" s="15">
        <f>IFERROR(__xludf.DUMMYFUNCTION("""COMPUTED_VALUE"""),1.024)</f>
        <v>1.024</v>
      </c>
      <c r="E1966" s="16">
        <f>IFERROR(__xludf.DUMMYFUNCTION("""COMPUTED_VALUE"""),63.0)</f>
        <v>63</v>
      </c>
      <c r="F1966" s="19" t="str">
        <f>IFERROR(__xludf.DUMMYFUNCTION("""COMPUTED_VALUE"""),"BLACK")</f>
        <v>BLACK</v>
      </c>
      <c r="G1966" s="20" t="str">
        <f>IFERROR(__xludf.DUMMYFUNCTION("""COMPUTED_VALUE"""),"Tap 6 Clone (10/15/2021)")</f>
        <v>Tap 6 Clone (10/15/2021)</v>
      </c>
      <c r="H1966" s="19"/>
    </row>
    <row r="1967">
      <c r="A1967" s="9"/>
      <c r="B1967" s="15"/>
      <c r="C1967" s="9">
        <f>IFERROR(__xludf.DUMMYFUNCTION("""COMPUTED_VALUE"""),44491.1867230324)</f>
        <v>44491.18672</v>
      </c>
      <c r="D1967" s="15">
        <f>IFERROR(__xludf.DUMMYFUNCTION("""COMPUTED_VALUE"""),1.024)</f>
        <v>1.024</v>
      </c>
      <c r="E1967" s="16">
        <f>IFERROR(__xludf.DUMMYFUNCTION("""COMPUTED_VALUE"""),63.0)</f>
        <v>63</v>
      </c>
      <c r="F1967" s="19" t="str">
        <f>IFERROR(__xludf.DUMMYFUNCTION("""COMPUTED_VALUE"""),"BLACK")</f>
        <v>BLACK</v>
      </c>
      <c r="G1967" s="20" t="str">
        <f>IFERROR(__xludf.DUMMYFUNCTION("""COMPUTED_VALUE"""),"Tap 6 Clone (10/15/2021)")</f>
        <v>Tap 6 Clone (10/15/2021)</v>
      </c>
      <c r="H1967" s="19"/>
    </row>
    <row r="1968">
      <c r="A1968" s="9"/>
      <c r="B1968" s="15"/>
      <c r="C1968" s="9">
        <f>IFERROR(__xludf.DUMMYFUNCTION("""COMPUTED_VALUE"""),44491.1763018402)</f>
        <v>44491.1763</v>
      </c>
      <c r="D1968" s="15">
        <f>IFERROR(__xludf.DUMMYFUNCTION("""COMPUTED_VALUE"""),1.023)</f>
        <v>1.023</v>
      </c>
      <c r="E1968" s="16">
        <f>IFERROR(__xludf.DUMMYFUNCTION("""COMPUTED_VALUE"""),63.0)</f>
        <v>63</v>
      </c>
      <c r="F1968" s="19" t="str">
        <f>IFERROR(__xludf.DUMMYFUNCTION("""COMPUTED_VALUE"""),"BLACK")</f>
        <v>BLACK</v>
      </c>
      <c r="G1968" s="20" t="str">
        <f>IFERROR(__xludf.DUMMYFUNCTION("""COMPUTED_VALUE"""),"Tap 6 Clone (10/15/2021)")</f>
        <v>Tap 6 Clone (10/15/2021)</v>
      </c>
      <c r="H1968" s="19"/>
    </row>
    <row r="1969">
      <c r="A1969" s="9"/>
      <c r="B1969" s="15"/>
      <c r="C1969" s="9">
        <f>IFERROR(__xludf.DUMMYFUNCTION("""COMPUTED_VALUE"""),44491.1658791435)</f>
        <v>44491.16588</v>
      </c>
      <c r="D1969" s="15">
        <f>IFERROR(__xludf.DUMMYFUNCTION("""COMPUTED_VALUE"""),1.024)</f>
        <v>1.024</v>
      </c>
      <c r="E1969" s="16">
        <f>IFERROR(__xludf.DUMMYFUNCTION("""COMPUTED_VALUE"""),63.0)</f>
        <v>63</v>
      </c>
      <c r="F1969" s="19" t="str">
        <f>IFERROR(__xludf.DUMMYFUNCTION("""COMPUTED_VALUE"""),"BLACK")</f>
        <v>BLACK</v>
      </c>
      <c r="G1969" s="20" t="str">
        <f>IFERROR(__xludf.DUMMYFUNCTION("""COMPUTED_VALUE"""),"Tap 6 Clone (10/15/2021)")</f>
        <v>Tap 6 Clone (10/15/2021)</v>
      </c>
      <c r="H1969" s="19"/>
    </row>
    <row r="1970">
      <c r="A1970" s="9"/>
      <c r="B1970" s="15"/>
      <c r="C1970" s="9">
        <f>IFERROR(__xludf.DUMMYFUNCTION("""COMPUTED_VALUE"""),44491.1554580439)</f>
        <v>44491.15546</v>
      </c>
      <c r="D1970" s="15">
        <f>IFERROR(__xludf.DUMMYFUNCTION("""COMPUTED_VALUE"""),1.024)</f>
        <v>1.024</v>
      </c>
      <c r="E1970" s="16">
        <f>IFERROR(__xludf.DUMMYFUNCTION("""COMPUTED_VALUE"""),63.0)</f>
        <v>63</v>
      </c>
      <c r="F1970" s="19" t="str">
        <f>IFERROR(__xludf.DUMMYFUNCTION("""COMPUTED_VALUE"""),"BLACK")</f>
        <v>BLACK</v>
      </c>
      <c r="G1970" s="20" t="str">
        <f>IFERROR(__xludf.DUMMYFUNCTION("""COMPUTED_VALUE"""),"Tap 6 Clone (10/15/2021)")</f>
        <v>Tap 6 Clone (10/15/2021)</v>
      </c>
      <c r="H1970" s="19"/>
    </row>
    <row r="1971">
      <c r="A1971" s="9"/>
      <c r="B1971" s="15"/>
      <c r="C1971" s="9">
        <f>IFERROR(__xludf.DUMMYFUNCTION("""COMPUTED_VALUE"""),44491.1450369791)</f>
        <v>44491.14504</v>
      </c>
      <c r="D1971" s="15">
        <f>IFERROR(__xludf.DUMMYFUNCTION("""COMPUTED_VALUE"""),1.024)</f>
        <v>1.024</v>
      </c>
      <c r="E1971" s="16">
        <f>IFERROR(__xludf.DUMMYFUNCTION("""COMPUTED_VALUE"""),63.0)</f>
        <v>63</v>
      </c>
      <c r="F1971" s="19" t="str">
        <f>IFERROR(__xludf.DUMMYFUNCTION("""COMPUTED_VALUE"""),"BLACK")</f>
        <v>BLACK</v>
      </c>
      <c r="G1971" s="20" t="str">
        <f>IFERROR(__xludf.DUMMYFUNCTION("""COMPUTED_VALUE"""),"Tap 6 Clone (10/15/2021)")</f>
        <v>Tap 6 Clone (10/15/2021)</v>
      </c>
      <c r="H1971" s="19"/>
    </row>
    <row r="1972">
      <c r="A1972" s="9"/>
      <c r="B1972" s="15"/>
      <c r="C1972" s="9">
        <f>IFERROR(__xludf.DUMMYFUNCTION("""COMPUTED_VALUE"""),44491.1346173379)</f>
        <v>44491.13462</v>
      </c>
      <c r="D1972" s="15">
        <f>IFERROR(__xludf.DUMMYFUNCTION("""COMPUTED_VALUE"""),1.024)</f>
        <v>1.024</v>
      </c>
      <c r="E1972" s="16">
        <f>IFERROR(__xludf.DUMMYFUNCTION("""COMPUTED_VALUE"""),63.0)</f>
        <v>63</v>
      </c>
      <c r="F1972" s="19" t="str">
        <f>IFERROR(__xludf.DUMMYFUNCTION("""COMPUTED_VALUE"""),"BLACK")</f>
        <v>BLACK</v>
      </c>
      <c r="G1972" s="20" t="str">
        <f>IFERROR(__xludf.DUMMYFUNCTION("""COMPUTED_VALUE"""),"Tap 6 Clone (10/15/2021)")</f>
        <v>Tap 6 Clone (10/15/2021)</v>
      </c>
      <c r="H1972" s="19"/>
    </row>
    <row r="1973">
      <c r="A1973" s="9"/>
      <c r="B1973" s="15"/>
      <c r="C1973" s="9">
        <f>IFERROR(__xludf.DUMMYFUNCTION("""COMPUTED_VALUE"""),44491.1241973726)</f>
        <v>44491.1242</v>
      </c>
      <c r="D1973" s="15">
        <f>IFERROR(__xludf.DUMMYFUNCTION("""COMPUTED_VALUE"""),1.024)</f>
        <v>1.024</v>
      </c>
      <c r="E1973" s="16">
        <f>IFERROR(__xludf.DUMMYFUNCTION("""COMPUTED_VALUE"""),63.0)</f>
        <v>63</v>
      </c>
      <c r="F1973" s="19" t="str">
        <f>IFERROR(__xludf.DUMMYFUNCTION("""COMPUTED_VALUE"""),"BLACK")</f>
        <v>BLACK</v>
      </c>
      <c r="G1973" s="20" t="str">
        <f>IFERROR(__xludf.DUMMYFUNCTION("""COMPUTED_VALUE"""),"Tap 6 Clone (10/15/2021)")</f>
        <v>Tap 6 Clone (10/15/2021)</v>
      </c>
      <c r="H1973" s="19"/>
    </row>
    <row r="1974">
      <c r="A1974" s="9"/>
      <c r="B1974" s="15"/>
      <c r="C1974" s="9">
        <f>IFERROR(__xludf.DUMMYFUNCTION("""COMPUTED_VALUE"""),44491.1137778009)</f>
        <v>44491.11378</v>
      </c>
      <c r="D1974" s="15">
        <f>IFERROR(__xludf.DUMMYFUNCTION("""COMPUTED_VALUE"""),1.024)</f>
        <v>1.024</v>
      </c>
      <c r="E1974" s="16">
        <f>IFERROR(__xludf.DUMMYFUNCTION("""COMPUTED_VALUE"""),63.0)</f>
        <v>63</v>
      </c>
      <c r="F1974" s="19" t="str">
        <f>IFERROR(__xludf.DUMMYFUNCTION("""COMPUTED_VALUE"""),"BLACK")</f>
        <v>BLACK</v>
      </c>
      <c r="G1974" s="20" t="str">
        <f>IFERROR(__xludf.DUMMYFUNCTION("""COMPUTED_VALUE"""),"Tap 6 Clone (10/15/2021)")</f>
        <v>Tap 6 Clone (10/15/2021)</v>
      </c>
      <c r="H1974" s="19"/>
    </row>
    <row r="1975">
      <c r="A1975" s="9"/>
      <c r="B1975" s="15"/>
      <c r="C1975" s="9">
        <f>IFERROR(__xludf.DUMMYFUNCTION("""COMPUTED_VALUE"""),44491.1033583449)</f>
        <v>44491.10336</v>
      </c>
      <c r="D1975" s="15">
        <f>IFERROR(__xludf.DUMMYFUNCTION("""COMPUTED_VALUE"""),1.023)</f>
        <v>1.023</v>
      </c>
      <c r="E1975" s="16">
        <f>IFERROR(__xludf.DUMMYFUNCTION("""COMPUTED_VALUE"""),63.0)</f>
        <v>63</v>
      </c>
      <c r="F1975" s="19" t="str">
        <f>IFERROR(__xludf.DUMMYFUNCTION("""COMPUTED_VALUE"""),"BLACK")</f>
        <v>BLACK</v>
      </c>
      <c r="G1975" s="20" t="str">
        <f>IFERROR(__xludf.DUMMYFUNCTION("""COMPUTED_VALUE"""),"Tap 6 Clone (10/15/2021)")</f>
        <v>Tap 6 Clone (10/15/2021)</v>
      </c>
      <c r="H1975" s="19"/>
    </row>
    <row r="1976">
      <c r="A1976" s="9"/>
      <c r="B1976" s="15"/>
      <c r="C1976" s="9">
        <f>IFERROR(__xludf.DUMMYFUNCTION("""COMPUTED_VALUE"""),44491.0929251157)</f>
        <v>44491.09293</v>
      </c>
      <c r="D1976" s="15">
        <f>IFERROR(__xludf.DUMMYFUNCTION("""COMPUTED_VALUE"""),1.022)</f>
        <v>1.022</v>
      </c>
      <c r="E1976" s="16">
        <f>IFERROR(__xludf.DUMMYFUNCTION("""COMPUTED_VALUE"""),63.0)</f>
        <v>63</v>
      </c>
      <c r="F1976" s="19" t="str">
        <f>IFERROR(__xludf.DUMMYFUNCTION("""COMPUTED_VALUE"""),"BLACK")</f>
        <v>BLACK</v>
      </c>
      <c r="G1976" s="20" t="str">
        <f>IFERROR(__xludf.DUMMYFUNCTION("""COMPUTED_VALUE"""),"Tap 6 Clone (10/15/2021)")</f>
        <v>Tap 6 Clone (10/15/2021)</v>
      </c>
      <c r="H1976" s="19"/>
    </row>
    <row r="1977">
      <c r="A1977" s="9"/>
      <c r="B1977" s="15"/>
      <c r="C1977" s="9">
        <f>IFERROR(__xludf.DUMMYFUNCTION("""COMPUTED_VALUE"""),44491.0824932407)</f>
        <v>44491.08249</v>
      </c>
      <c r="D1977" s="15">
        <f>IFERROR(__xludf.DUMMYFUNCTION("""COMPUTED_VALUE"""),1.022)</f>
        <v>1.022</v>
      </c>
      <c r="E1977" s="16">
        <f>IFERROR(__xludf.DUMMYFUNCTION("""COMPUTED_VALUE"""),63.0)</f>
        <v>63</v>
      </c>
      <c r="F1977" s="19" t="str">
        <f>IFERROR(__xludf.DUMMYFUNCTION("""COMPUTED_VALUE"""),"BLACK")</f>
        <v>BLACK</v>
      </c>
      <c r="G1977" s="20" t="str">
        <f>IFERROR(__xludf.DUMMYFUNCTION("""COMPUTED_VALUE"""),"Tap 6 Clone (10/15/2021)")</f>
        <v>Tap 6 Clone (10/15/2021)</v>
      </c>
      <c r="H1977" s="19"/>
    </row>
    <row r="1978">
      <c r="A1978" s="9"/>
      <c r="B1978" s="15"/>
      <c r="C1978" s="9">
        <f>IFERROR(__xludf.DUMMYFUNCTION("""COMPUTED_VALUE"""),44491.0720723148)</f>
        <v>44491.07207</v>
      </c>
      <c r="D1978" s="15">
        <f>IFERROR(__xludf.DUMMYFUNCTION("""COMPUTED_VALUE"""),1.022)</f>
        <v>1.022</v>
      </c>
      <c r="E1978" s="16">
        <f>IFERROR(__xludf.DUMMYFUNCTION("""COMPUTED_VALUE"""),63.0)</f>
        <v>63</v>
      </c>
      <c r="F1978" s="19" t="str">
        <f>IFERROR(__xludf.DUMMYFUNCTION("""COMPUTED_VALUE"""),"BLACK")</f>
        <v>BLACK</v>
      </c>
      <c r="G1978" s="20" t="str">
        <f>IFERROR(__xludf.DUMMYFUNCTION("""COMPUTED_VALUE"""),"Tap 6 Clone (10/15/2021)")</f>
        <v>Tap 6 Clone (10/15/2021)</v>
      </c>
      <c r="H1978" s="19"/>
    </row>
    <row r="1979">
      <c r="A1979" s="9"/>
      <c r="B1979" s="15"/>
      <c r="C1979" s="9">
        <f>IFERROR(__xludf.DUMMYFUNCTION("""COMPUTED_VALUE"""),44491.0616393402)</f>
        <v>44491.06164</v>
      </c>
      <c r="D1979" s="15">
        <f>IFERROR(__xludf.DUMMYFUNCTION("""COMPUTED_VALUE"""),1.022)</f>
        <v>1.022</v>
      </c>
      <c r="E1979" s="16">
        <f>IFERROR(__xludf.DUMMYFUNCTION("""COMPUTED_VALUE"""),63.0)</f>
        <v>63</v>
      </c>
      <c r="F1979" s="19" t="str">
        <f>IFERROR(__xludf.DUMMYFUNCTION("""COMPUTED_VALUE"""),"BLACK")</f>
        <v>BLACK</v>
      </c>
      <c r="G1979" s="20" t="str">
        <f>IFERROR(__xludf.DUMMYFUNCTION("""COMPUTED_VALUE"""),"Tap 6 Clone (10/15/2021)")</f>
        <v>Tap 6 Clone (10/15/2021)</v>
      </c>
      <c r="H1979" s="19"/>
    </row>
    <row r="1980">
      <c r="A1980" s="9"/>
      <c r="B1980" s="15"/>
      <c r="C1980" s="9">
        <f>IFERROR(__xludf.DUMMYFUNCTION("""COMPUTED_VALUE"""),44491.051218449)</f>
        <v>44491.05122</v>
      </c>
      <c r="D1980" s="15">
        <f>IFERROR(__xludf.DUMMYFUNCTION("""COMPUTED_VALUE"""),1.022)</f>
        <v>1.022</v>
      </c>
      <c r="E1980" s="16">
        <f>IFERROR(__xludf.DUMMYFUNCTION("""COMPUTED_VALUE"""),63.0)</f>
        <v>63</v>
      </c>
      <c r="F1980" s="19" t="str">
        <f>IFERROR(__xludf.DUMMYFUNCTION("""COMPUTED_VALUE"""),"BLACK")</f>
        <v>BLACK</v>
      </c>
      <c r="G1980" s="20" t="str">
        <f>IFERROR(__xludf.DUMMYFUNCTION("""COMPUTED_VALUE"""),"Tap 6 Clone (10/15/2021)")</f>
        <v>Tap 6 Clone (10/15/2021)</v>
      </c>
      <c r="H1980" s="19"/>
    </row>
    <row r="1981">
      <c r="A1981" s="9"/>
      <c r="B1981" s="15"/>
      <c r="C1981" s="9">
        <f>IFERROR(__xludf.DUMMYFUNCTION("""COMPUTED_VALUE"""),44491.0407970949)</f>
        <v>44491.0408</v>
      </c>
      <c r="D1981" s="15">
        <f>IFERROR(__xludf.DUMMYFUNCTION("""COMPUTED_VALUE"""),1.022)</f>
        <v>1.022</v>
      </c>
      <c r="E1981" s="16">
        <f>IFERROR(__xludf.DUMMYFUNCTION("""COMPUTED_VALUE"""),63.0)</f>
        <v>63</v>
      </c>
      <c r="F1981" s="19" t="str">
        <f>IFERROR(__xludf.DUMMYFUNCTION("""COMPUTED_VALUE"""),"BLACK")</f>
        <v>BLACK</v>
      </c>
      <c r="G1981" s="20" t="str">
        <f>IFERROR(__xludf.DUMMYFUNCTION("""COMPUTED_VALUE"""),"Tap 6 Clone (10/15/2021)")</f>
        <v>Tap 6 Clone (10/15/2021)</v>
      </c>
      <c r="H1981" s="19"/>
    </row>
    <row r="1982">
      <c r="A1982" s="9"/>
      <c r="B1982" s="15"/>
      <c r="C1982" s="9">
        <f>IFERROR(__xludf.DUMMYFUNCTION("""COMPUTED_VALUE"""),44491.0303755092)</f>
        <v>44491.03038</v>
      </c>
      <c r="D1982" s="15">
        <f>IFERROR(__xludf.DUMMYFUNCTION("""COMPUTED_VALUE"""),1.022)</f>
        <v>1.022</v>
      </c>
      <c r="E1982" s="16">
        <f>IFERROR(__xludf.DUMMYFUNCTION("""COMPUTED_VALUE"""),63.0)</f>
        <v>63</v>
      </c>
      <c r="F1982" s="19" t="str">
        <f>IFERROR(__xludf.DUMMYFUNCTION("""COMPUTED_VALUE"""),"BLACK")</f>
        <v>BLACK</v>
      </c>
      <c r="G1982" s="20" t="str">
        <f>IFERROR(__xludf.DUMMYFUNCTION("""COMPUTED_VALUE"""),"Tap 6 Clone (10/15/2021)")</f>
        <v>Tap 6 Clone (10/15/2021)</v>
      </c>
      <c r="H1982" s="19"/>
    </row>
    <row r="1983">
      <c r="A1983" s="9"/>
      <c r="B1983" s="15"/>
      <c r="C1983" s="9">
        <f>IFERROR(__xludf.DUMMYFUNCTION("""COMPUTED_VALUE"""),44491.0199535185)</f>
        <v>44491.01995</v>
      </c>
      <c r="D1983" s="15">
        <f>IFERROR(__xludf.DUMMYFUNCTION("""COMPUTED_VALUE"""),1.023)</f>
        <v>1.023</v>
      </c>
      <c r="E1983" s="16">
        <f>IFERROR(__xludf.DUMMYFUNCTION("""COMPUTED_VALUE"""),63.0)</f>
        <v>63</v>
      </c>
      <c r="F1983" s="19" t="str">
        <f>IFERROR(__xludf.DUMMYFUNCTION("""COMPUTED_VALUE"""),"BLACK")</f>
        <v>BLACK</v>
      </c>
      <c r="G1983" s="20" t="str">
        <f>IFERROR(__xludf.DUMMYFUNCTION("""COMPUTED_VALUE"""),"Tap 6 Clone (10/15/2021)")</f>
        <v>Tap 6 Clone (10/15/2021)</v>
      </c>
      <c r="H1983" s="19"/>
    </row>
    <row r="1984">
      <c r="A1984" s="9"/>
      <c r="B1984" s="15"/>
      <c r="C1984" s="9">
        <f>IFERROR(__xludf.DUMMYFUNCTION("""COMPUTED_VALUE"""),44491.0095192939)</f>
        <v>44491.00952</v>
      </c>
      <c r="D1984" s="15">
        <f>IFERROR(__xludf.DUMMYFUNCTION("""COMPUTED_VALUE"""),1.023)</f>
        <v>1.023</v>
      </c>
      <c r="E1984" s="16">
        <f>IFERROR(__xludf.DUMMYFUNCTION("""COMPUTED_VALUE"""),63.0)</f>
        <v>63</v>
      </c>
      <c r="F1984" s="19" t="str">
        <f>IFERROR(__xludf.DUMMYFUNCTION("""COMPUTED_VALUE"""),"BLACK")</f>
        <v>BLACK</v>
      </c>
      <c r="G1984" s="20" t="str">
        <f>IFERROR(__xludf.DUMMYFUNCTION("""COMPUTED_VALUE"""),"Tap 6 Clone (10/15/2021)")</f>
        <v>Tap 6 Clone (10/15/2021)</v>
      </c>
      <c r="H1984" s="19"/>
    </row>
    <row r="1985">
      <c r="A1985" s="9"/>
      <c r="B1985" s="15"/>
      <c r="C1985" s="9">
        <f>IFERROR(__xludf.DUMMYFUNCTION("""COMPUTED_VALUE"""),44490.9990986689)</f>
        <v>44490.9991</v>
      </c>
      <c r="D1985" s="15">
        <f>IFERROR(__xludf.DUMMYFUNCTION("""COMPUTED_VALUE"""),1.023)</f>
        <v>1.023</v>
      </c>
      <c r="E1985" s="16">
        <f>IFERROR(__xludf.DUMMYFUNCTION("""COMPUTED_VALUE"""),63.0)</f>
        <v>63</v>
      </c>
      <c r="F1985" s="19" t="str">
        <f>IFERROR(__xludf.DUMMYFUNCTION("""COMPUTED_VALUE"""),"BLACK")</f>
        <v>BLACK</v>
      </c>
      <c r="G1985" s="20" t="str">
        <f>IFERROR(__xludf.DUMMYFUNCTION("""COMPUTED_VALUE"""),"Tap 6 Clone (10/15/2021)")</f>
        <v>Tap 6 Clone (10/15/2021)</v>
      </c>
      <c r="H1985" s="19"/>
    </row>
    <row r="1986">
      <c r="A1986" s="9"/>
      <c r="B1986" s="15"/>
      <c r="C1986" s="9">
        <f>IFERROR(__xludf.DUMMYFUNCTION("""COMPUTED_VALUE"""),44490.988676331)</f>
        <v>44490.98868</v>
      </c>
      <c r="D1986" s="15">
        <f>IFERROR(__xludf.DUMMYFUNCTION("""COMPUTED_VALUE"""),1.023)</f>
        <v>1.023</v>
      </c>
      <c r="E1986" s="16">
        <f>IFERROR(__xludf.DUMMYFUNCTION("""COMPUTED_VALUE"""),62.0)</f>
        <v>62</v>
      </c>
      <c r="F1986" s="19" t="str">
        <f>IFERROR(__xludf.DUMMYFUNCTION("""COMPUTED_VALUE"""),"BLACK")</f>
        <v>BLACK</v>
      </c>
      <c r="G1986" s="20" t="str">
        <f>IFERROR(__xludf.DUMMYFUNCTION("""COMPUTED_VALUE"""),"Tap 6 Clone (10/15/2021)")</f>
        <v>Tap 6 Clone (10/15/2021)</v>
      </c>
      <c r="H1986" s="19"/>
    </row>
    <row r="1987">
      <c r="A1987" s="9"/>
      <c r="B1987" s="15"/>
      <c r="C1987" s="9">
        <f>IFERROR(__xludf.DUMMYFUNCTION("""COMPUTED_VALUE"""),44490.9782530787)</f>
        <v>44490.97825</v>
      </c>
      <c r="D1987" s="15">
        <f>IFERROR(__xludf.DUMMYFUNCTION("""COMPUTED_VALUE"""),1.022)</f>
        <v>1.022</v>
      </c>
      <c r="E1987" s="16">
        <f>IFERROR(__xludf.DUMMYFUNCTION("""COMPUTED_VALUE"""),63.0)</f>
        <v>63</v>
      </c>
      <c r="F1987" s="19" t="str">
        <f>IFERROR(__xludf.DUMMYFUNCTION("""COMPUTED_VALUE"""),"BLACK")</f>
        <v>BLACK</v>
      </c>
      <c r="G1987" s="20" t="str">
        <f>IFERROR(__xludf.DUMMYFUNCTION("""COMPUTED_VALUE"""),"Tap 6 Clone (10/15/2021)")</f>
        <v>Tap 6 Clone (10/15/2021)</v>
      </c>
      <c r="H1987" s="19"/>
    </row>
    <row r="1988">
      <c r="A1988" s="9"/>
      <c r="B1988" s="15"/>
      <c r="C1988" s="9">
        <f>IFERROR(__xludf.DUMMYFUNCTION("""COMPUTED_VALUE"""),44490.9678312152)</f>
        <v>44490.96783</v>
      </c>
      <c r="D1988" s="15">
        <f>IFERROR(__xludf.DUMMYFUNCTION("""COMPUTED_VALUE"""),1.023)</f>
        <v>1.023</v>
      </c>
      <c r="E1988" s="16">
        <f>IFERROR(__xludf.DUMMYFUNCTION("""COMPUTED_VALUE"""),62.0)</f>
        <v>62</v>
      </c>
      <c r="F1988" s="19" t="str">
        <f>IFERROR(__xludf.DUMMYFUNCTION("""COMPUTED_VALUE"""),"BLACK")</f>
        <v>BLACK</v>
      </c>
      <c r="G1988" s="20" t="str">
        <f>IFERROR(__xludf.DUMMYFUNCTION("""COMPUTED_VALUE"""),"Tap 6 Clone (10/15/2021)")</f>
        <v>Tap 6 Clone (10/15/2021)</v>
      </c>
      <c r="H1988" s="19"/>
    </row>
    <row r="1989">
      <c r="A1989" s="9"/>
      <c r="B1989" s="15"/>
      <c r="C1989" s="9">
        <f>IFERROR(__xludf.DUMMYFUNCTION("""COMPUTED_VALUE"""),44490.9574089583)</f>
        <v>44490.95741</v>
      </c>
      <c r="D1989" s="15">
        <f>IFERROR(__xludf.DUMMYFUNCTION("""COMPUTED_VALUE"""),1.023)</f>
        <v>1.023</v>
      </c>
      <c r="E1989" s="16">
        <f>IFERROR(__xludf.DUMMYFUNCTION("""COMPUTED_VALUE"""),62.0)</f>
        <v>62</v>
      </c>
      <c r="F1989" s="19" t="str">
        <f>IFERROR(__xludf.DUMMYFUNCTION("""COMPUTED_VALUE"""),"BLACK")</f>
        <v>BLACK</v>
      </c>
      <c r="G1989" s="20" t="str">
        <f>IFERROR(__xludf.DUMMYFUNCTION("""COMPUTED_VALUE"""),"Tap 6 Clone (10/15/2021)")</f>
        <v>Tap 6 Clone (10/15/2021)</v>
      </c>
      <c r="H1989" s="19"/>
    </row>
    <row r="1990">
      <c r="A1990" s="9"/>
      <c r="B1990" s="15"/>
      <c r="C1990" s="9">
        <f>IFERROR(__xludf.DUMMYFUNCTION("""COMPUTED_VALUE"""),44490.9469890277)</f>
        <v>44490.94699</v>
      </c>
      <c r="D1990" s="15">
        <f>IFERROR(__xludf.DUMMYFUNCTION("""COMPUTED_VALUE"""),1.023)</f>
        <v>1.023</v>
      </c>
      <c r="E1990" s="16">
        <f>IFERROR(__xludf.DUMMYFUNCTION("""COMPUTED_VALUE"""),62.0)</f>
        <v>62</v>
      </c>
      <c r="F1990" s="19" t="str">
        <f>IFERROR(__xludf.DUMMYFUNCTION("""COMPUTED_VALUE"""),"BLACK")</f>
        <v>BLACK</v>
      </c>
      <c r="G1990" s="20" t="str">
        <f>IFERROR(__xludf.DUMMYFUNCTION("""COMPUTED_VALUE"""),"Tap 6 Clone (10/15/2021)")</f>
        <v>Tap 6 Clone (10/15/2021)</v>
      </c>
      <c r="H1990" s="19"/>
    </row>
    <row r="1991">
      <c r="A1991" s="9"/>
      <c r="B1991" s="15"/>
      <c r="C1991" s="9">
        <f>IFERROR(__xludf.DUMMYFUNCTION("""COMPUTED_VALUE"""),44490.9365452777)</f>
        <v>44490.93655</v>
      </c>
      <c r="D1991" s="15">
        <f>IFERROR(__xludf.DUMMYFUNCTION("""COMPUTED_VALUE"""),1.022)</f>
        <v>1.022</v>
      </c>
      <c r="E1991" s="16">
        <f>IFERROR(__xludf.DUMMYFUNCTION("""COMPUTED_VALUE"""),62.0)</f>
        <v>62</v>
      </c>
      <c r="F1991" s="19" t="str">
        <f>IFERROR(__xludf.DUMMYFUNCTION("""COMPUTED_VALUE"""),"BLACK")</f>
        <v>BLACK</v>
      </c>
      <c r="G1991" s="20" t="str">
        <f>IFERROR(__xludf.DUMMYFUNCTION("""COMPUTED_VALUE"""),"Tap 6 Clone (10/15/2021)")</f>
        <v>Tap 6 Clone (10/15/2021)</v>
      </c>
      <c r="H1991" s="19"/>
    </row>
    <row r="1992">
      <c r="A1992" s="9"/>
      <c r="B1992" s="15"/>
      <c r="C1992" s="9">
        <f>IFERROR(__xludf.DUMMYFUNCTION("""COMPUTED_VALUE"""),44490.9261237384)</f>
        <v>44490.92612</v>
      </c>
      <c r="D1992" s="15">
        <f>IFERROR(__xludf.DUMMYFUNCTION("""COMPUTED_VALUE"""),1.022)</f>
        <v>1.022</v>
      </c>
      <c r="E1992" s="16">
        <f>IFERROR(__xludf.DUMMYFUNCTION("""COMPUTED_VALUE"""),62.0)</f>
        <v>62</v>
      </c>
      <c r="F1992" s="19" t="str">
        <f>IFERROR(__xludf.DUMMYFUNCTION("""COMPUTED_VALUE"""),"BLACK")</f>
        <v>BLACK</v>
      </c>
      <c r="G1992" s="20" t="str">
        <f>IFERROR(__xludf.DUMMYFUNCTION("""COMPUTED_VALUE"""),"Tap 6 Clone (10/15/2021)")</f>
        <v>Tap 6 Clone (10/15/2021)</v>
      </c>
      <c r="H1992" s="19"/>
    </row>
    <row r="1993">
      <c r="A1993" s="9"/>
      <c r="B1993" s="15"/>
      <c r="C1993" s="9">
        <f>IFERROR(__xludf.DUMMYFUNCTION("""COMPUTED_VALUE"""),44490.9157023032)</f>
        <v>44490.9157</v>
      </c>
      <c r="D1993" s="15">
        <f>IFERROR(__xludf.DUMMYFUNCTION("""COMPUTED_VALUE"""),1.022)</f>
        <v>1.022</v>
      </c>
      <c r="E1993" s="16">
        <f>IFERROR(__xludf.DUMMYFUNCTION("""COMPUTED_VALUE"""),62.0)</f>
        <v>62</v>
      </c>
      <c r="F1993" s="19" t="str">
        <f>IFERROR(__xludf.DUMMYFUNCTION("""COMPUTED_VALUE"""),"BLACK")</f>
        <v>BLACK</v>
      </c>
      <c r="G1993" s="20" t="str">
        <f>IFERROR(__xludf.DUMMYFUNCTION("""COMPUTED_VALUE"""),"Tap 6 Clone (10/15/2021)")</f>
        <v>Tap 6 Clone (10/15/2021)</v>
      </c>
      <c r="H1993" s="19"/>
    </row>
    <row r="1994">
      <c r="A1994" s="9"/>
      <c r="B1994" s="15"/>
      <c r="C1994" s="9">
        <f>IFERROR(__xludf.DUMMYFUNCTION("""COMPUTED_VALUE"""),44490.9052804976)</f>
        <v>44490.90528</v>
      </c>
      <c r="D1994" s="15">
        <f>IFERROR(__xludf.DUMMYFUNCTION("""COMPUTED_VALUE"""),1.023)</f>
        <v>1.023</v>
      </c>
      <c r="E1994" s="16">
        <f>IFERROR(__xludf.DUMMYFUNCTION("""COMPUTED_VALUE"""),62.0)</f>
        <v>62</v>
      </c>
      <c r="F1994" s="19" t="str">
        <f>IFERROR(__xludf.DUMMYFUNCTION("""COMPUTED_VALUE"""),"BLACK")</f>
        <v>BLACK</v>
      </c>
      <c r="G1994" s="20" t="str">
        <f>IFERROR(__xludf.DUMMYFUNCTION("""COMPUTED_VALUE"""),"Tap 6 Clone (10/15/2021)")</f>
        <v>Tap 6 Clone (10/15/2021)</v>
      </c>
      <c r="H1994" s="19"/>
    </row>
    <row r="1995">
      <c r="A1995" s="9"/>
      <c r="B1995" s="15"/>
      <c r="C1995" s="9">
        <f>IFERROR(__xludf.DUMMYFUNCTION("""COMPUTED_VALUE"""),44490.8948603125)</f>
        <v>44490.89486</v>
      </c>
      <c r="D1995" s="15">
        <f>IFERROR(__xludf.DUMMYFUNCTION("""COMPUTED_VALUE"""),1.023)</f>
        <v>1.023</v>
      </c>
      <c r="E1995" s="16">
        <f>IFERROR(__xludf.DUMMYFUNCTION("""COMPUTED_VALUE"""),62.0)</f>
        <v>62</v>
      </c>
      <c r="F1995" s="19" t="str">
        <f>IFERROR(__xludf.DUMMYFUNCTION("""COMPUTED_VALUE"""),"BLACK")</f>
        <v>BLACK</v>
      </c>
      <c r="G1995" s="20" t="str">
        <f>IFERROR(__xludf.DUMMYFUNCTION("""COMPUTED_VALUE"""),"Tap 6 Clone (10/15/2021)")</f>
        <v>Tap 6 Clone (10/15/2021)</v>
      </c>
      <c r="H1995" s="19"/>
    </row>
    <row r="1996">
      <c r="A1996" s="9"/>
      <c r="B1996" s="15"/>
      <c r="C1996" s="9">
        <f>IFERROR(__xludf.DUMMYFUNCTION("""COMPUTED_VALUE"""),44490.8844392245)</f>
        <v>44490.88444</v>
      </c>
      <c r="D1996" s="15">
        <f>IFERROR(__xludf.DUMMYFUNCTION("""COMPUTED_VALUE"""),1.023)</f>
        <v>1.023</v>
      </c>
      <c r="E1996" s="16">
        <f>IFERROR(__xludf.DUMMYFUNCTION("""COMPUTED_VALUE"""),62.0)</f>
        <v>62</v>
      </c>
      <c r="F1996" s="19" t="str">
        <f>IFERROR(__xludf.DUMMYFUNCTION("""COMPUTED_VALUE"""),"BLACK")</f>
        <v>BLACK</v>
      </c>
      <c r="G1996" s="20" t="str">
        <f>IFERROR(__xludf.DUMMYFUNCTION("""COMPUTED_VALUE"""),"Tap 6 Clone (10/15/2021)")</f>
        <v>Tap 6 Clone (10/15/2021)</v>
      </c>
      <c r="H1996" s="19"/>
    </row>
    <row r="1997">
      <c r="A1997" s="9"/>
      <c r="B1997" s="15"/>
      <c r="C1997" s="9">
        <f>IFERROR(__xludf.DUMMYFUNCTION("""COMPUTED_VALUE"""),44490.8740178356)</f>
        <v>44490.87402</v>
      </c>
      <c r="D1997" s="15">
        <f>IFERROR(__xludf.DUMMYFUNCTION("""COMPUTED_VALUE"""),1.022)</f>
        <v>1.022</v>
      </c>
      <c r="E1997" s="16">
        <f>IFERROR(__xludf.DUMMYFUNCTION("""COMPUTED_VALUE"""),62.0)</f>
        <v>62</v>
      </c>
      <c r="F1997" s="19" t="str">
        <f>IFERROR(__xludf.DUMMYFUNCTION("""COMPUTED_VALUE"""),"BLACK")</f>
        <v>BLACK</v>
      </c>
      <c r="G1997" s="20" t="str">
        <f>IFERROR(__xludf.DUMMYFUNCTION("""COMPUTED_VALUE"""),"Tap 6 Clone (10/15/2021)")</f>
        <v>Tap 6 Clone (10/15/2021)</v>
      </c>
      <c r="H1997" s="19"/>
    </row>
    <row r="1998">
      <c r="A1998" s="9"/>
      <c r="B1998" s="15"/>
      <c r="C1998" s="9">
        <f>IFERROR(__xludf.DUMMYFUNCTION("""COMPUTED_VALUE"""),44490.8635974074)</f>
        <v>44490.8636</v>
      </c>
      <c r="D1998" s="15">
        <f>IFERROR(__xludf.DUMMYFUNCTION("""COMPUTED_VALUE"""),1.023)</f>
        <v>1.023</v>
      </c>
      <c r="E1998" s="16">
        <f>IFERROR(__xludf.DUMMYFUNCTION("""COMPUTED_VALUE"""),62.0)</f>
        <v>62</v>
      </c>
      <c r="F1998" s="19" t="str">
        <f>IFERROR(__xludf.DUMMYFUNCTION("""COMPUTED_VALUE"""),"BLACK")</f>
        <v>BLACK</v>
      </c>
      <c r="G1998" s="20" t="str">
        <f>IFERROR(__xludf.DUMMYFUNCTION("""COMPUTED_VALUE"""),"Tap 6 Clone (10/15/2021)")</f>
        <v>Tap 6 Clone (10/15/2021)</v>
      </c>
      <c r="H1998" s="19"/>
    </row>
    <row r="1999">
      <c r="A1999" s="9"/>
      <c r="B1999" s="15"/>
      <c r="C1999" s="9">
        <f>IFERROR(__xludf.DUMMYFUNCTION("""COMPUTED_VALUE"""),44490.8531757754)</f>
        <v>44490.85318</v>
      </c>
      <c r="D1999" s="15">
        <f>IFERROR(__xludf.DUMMYFUNCTION("""COMPUTED_VALUE"""),1.023)</f>
        <v>1.023</v>
      </c>
      <c r="E1999" s="16">
        <f>IFERROR(__xludf.DUMMYFUNCTION("""COMPUTED_VALUE"""),62.0)</f>
        <v>62</v>
      </c>
      <c r="F1999" s="19" t="str">
        <f>IFERROR(__xludf.DUMMYFUNCTION("""COMPUTED_VALUE"""),"BLACK")</f>
        <v>BLACK</v>
      </c>
      <c r="G1999" s="20" t="str">
        <f>IFERROR(__xludf.DUMMYFUNCTION("""COMPUTED_VALUE"""),"Tap 6 Clone (10/15/2021)")</f>
        <v>Tap 6 Clone (10/15/2021)</v>
      </c>
      <c r="H1999" s="19"/>
    </row>
    <row r="2000">
      <c r="A2000" s="9"/>
      <c r="B2000" s="15"/>
      <c r="C2000" s="9">
        <f>IFERROR(__xludf.DUMMYFUNCTION("""COMPUTED_VALUE"""),44490.8427541203)</f>
        <v>44490.84275</v>
      </c>
      <c r="D2000" s="15">
        <f>IFERROR(__xludf.DUMMYFUNCTION("""COMPUTED_VALUE"""),1.023)</f>
        <v>1.023</v>
      </c>
      <c r="E2000" s="16">
        <f>IFERROR(__xludf.DUMMYFUNCTION("""COMPUTED_VALUE"""),62.0)</f>
        <v>62</v>
      </c>
      <c r="F2000" s="19" t="str">
        <f>IFERROR(__xludf.DUMMYFUNCTION("""COMPUTED_VALUE"""),"BLACK")</f>
        <v>BLACK</v>
      </c>
      <c r="G2000" s="20" t="str">
        <f>IFERROR(__xludf.DUMMYFUNCTION("""COMPUTED_VALUE"""),"Tap 6 Clone (10/15/2021)")</f>
        <v>Tap 6 Clone (10/15/2021)</v>
      </c>
      <c r="H2000" s="19"/>
    </row>
    <row r="2001">
      <c r="A2001" s="9"/>
      <c r="B2001" s="15"/>
      <c r="C2001" s="9">
        <f>IFERROR(__xludf.DUMMYFUNCTION("""COMPUTED_VALUE"""),44490.8323324421)</f>
        <v>44490.83233</v>
      </c>
      <c r="D2001" s="15">
        <f>IFERROR(__xludf.DUMMYFUNCTION("""COMPUTED_VALUE"""),1.023)</f>
        <v>1.023</v>
      </c>
      <c r="E2001" s="16">
        <f>IFERROR(__xludf.DUMMYFUNCTION("""COMPUTED_VALUE"""),62.0)</f>
        <v>62</v>
      </c>
      <c r="F2001" s="19" t="str">
        <f>IFERROR(__xludf.DUMMYFUNCTION("""COMPUTED_VALUE"""),"BLACK")</f>
        <v>BLACK</v>
      </c>
      <c r="G2001" s="20" t="str">
        <f>IFERROR(__xludf.DUMMYFUNCTION("""COMPUTED_VALUE"""),"Tap 6 Clone (10/15/2021)")</f>
        <v>Tap 6 Clone (10/15/2021)</v>
      </c>
      <c r="H2001" s="19"/>
    </row>
    <row r="2002">
      <c r="A2002" s="9"/>
      <c r="B2002" s="15"/>
      <c r="C2002" s="9">
        <f>IFERROR(__xludf.DUMMYFUNCTION("""COMPUTED_VALUE"""),44490.8219113541)</f>
        <v>44490.82191</v>
      </c>
      <c r="D2002" s="15">
        <f>IFERROR(__xludf.DUMMYFUNCTION("""COMPUTED_VALUE"""),1.023)</f>
        <v>1.023</v>
      </c>
      <c r="E2002" s="16">
        <f>IFERROR(__xludf.DUMMYFUNCTION("""COMPUTED_VALUE"""),62.0)</f>
        <v>62</v>
      </c>
      <c r="F2002" s="19" t="str">
        <f>IFERROR(__xludf.DUMMYFUNCTION("""COMPUTED_VALUE"""),"BLACK")</f>
        <v>BLACK</v>
      </c>
      <c r="G2002" s="20" t="str">
        <f>IFERROR(__xludf.DUMMYFUNCTION("""COMPUTED_VALUE"""),"Tap 6 Clone (10/15/2021)")</f>
        <v>Tap 6 Clone (10/15/2021)</v>
      </c>
      <c r="H2002" s="19"/>
    </row>
    <row r="2003">
      <c r="A2003" s="9"/>
      <c r="B2003" s="15"/>
      <c r="C2003" s="9">
        <f>IFERROR(__xludf.DUMMYFUNCTION("""COMPUTED_VALUE"""),44490.8114887615)</f>
        <v>44490.81149</v>
      </c>
      <c r="D2003" s="15">
        <f>IFERROR(__xludf.DUMMYFUNCTION("""COMPUTED_VALUE"""),1.023)</f>
        <v>1.023</v>
      </c>
      <c r="E2003" s="16">
        <f>IFERROR(__xludf.DUMMYFUNCTION("""COMPUTED_VALUE"""),62.0)</f>
        <v>62</v>
      </c>
      <c r="F2003" s="19" t="str">
        <f>IFERROR(__xludf.DUMMYFUNCTION("""COMPUTED_VALUE"""),"BLACK")</f>
        <v>BLACK</v>
      </c>
      <c r="G2003" s="20" t="str">
        <f>IFERROR(__xludf.DUMMYFUNCTION("""COMPUTED_VALUE"""),"Tap 6 Clone (10/15/2021)")</f>
        <v>Tap 6 Clone (10/15/2021)</v>
      </c>
      <c r="H2003" s="19"/>
    </row>
    <row r="2004">
      <c r="A2004" s="9"/>
      <c r="B2004" s="15"/>
      <c r="C2004" s="9">
        <f>IFERROR(__xludf.DUMMYFUNCTION("""COMPUTED_VALUE"""),44490.8010667129)</f>
        <v>44490.80107</v>
      </c>
      <c r="D2004" s="15">
        <f>IFERROR(__xludf.DUMMYFUNCTION("""COMPUTED_VALUE"""),1.023)</f>
        <v>1.023</v>
      </c>
      <c r="E2004" s="16">
        <f>IFERROR(__xludf.DUMMYFUNCTION("""COMPUTED_VALUE"""),62.0)</f>
        <v>62</v>
      </c>
      <c r="F2004" s="19" t="str">
        <f>IFERROR(__xludf.DUMMYFUNCTION("""COMPUTED_VALUE"""),"BLACK")</f>
        <v>BLACK</v>
      </c>
      <c r="G2004" s="20" t="str">
        <f>IFERROR(__xludf.DUMMYFUNCTION("""COMPUTED_VALUE"""),"Tap 6 Clone (10/15/2021)")</f>
        <v>Tap 6 Clone (10/15/2021)</v>
      </c>
      <c r="H2004" s="19"/>
    </row>
    <row r="2005">
      <c r="A2005" s="9"/>
      <c r="B2005" s="15"/>
      <c r="C2005" s="9">
        <f>IFERROR(__xludf.DUMMYFUNCTION("""COMPUTED_VALUE"""),44490.7906442824)</f>
        <v>44490.79064</v>
      </c>
      <c r="D2005" s="15">
        <f>IFERROR(__xludf.DUMMYFUNCTION("""COMPUTED_VALUE"""),1.025)</f>
        <v>1.025</v>
      </c>
      <c r="E2005" s="16">
        <f>IFERROR(__xludf.DUMMYFUNCTION("""COMPUTED_VALUE"""),62.0)</f>
        <v>62</v>
      </c>
      <c r="F2005" s="19" t="str">
        <f>IFERROR(__xludf.DUMMYFUNCTION("""COMPUTED_VALUE"""),"BLACK")</f>
        <v>BLACK</v>
      </c>
      <c r="G2005" s="20" t="str">
        <f>IFERROR(__xludf.DUMMYFUNCTION("""COMPUTED_VALUE"""),"Tap 6 Clone (10/15/2021)")</f>
        <v>Tap 6 Clone (10/15/2021)</v>
      </c>
      <c r="H2005" s="19"/>
    </row>
    <row r="2006">
      <c r="A2006" s="9"/>
      <c r="B2006" s="15"/>
      <c r="C2006" s="9">
        <f>IFERROR(__xludf.DUMMYFUNCTION("""COMPUTED_VALUE"""),44490.7802217361)</f>
        <v>44490.78022</v>
      </c>
      <c r="D2006" s="15">
        <f>IFERROR(__xludf.DUMMYFUNCTION("""COMPUTED_VALUE"""),1.024)</f>
        <v>1.024</v>
      </c>
      <c r="E2006" s="16">
        <f>IFERROR(__xludf.DUMMYFUNCTION("""COMPUTED_VALUE"""),62.0)</f>
        <v>62</v>
      </c>
      <c r="F2006" s="19" t="str">
        <f>IFERROR(__xludf.DUMMYFUNCTION("""COMPUTED_VALUE"""),"BLACK")</f>
        <v>BLACK</v>
      </c>
      <c r="G2006" s="20" t="str">
        <f>IFERROR(__xludf.DUMMYFUNCTION("""COMPUTED_VALUE"""),"Tap 6 Clone (10/15/2021)")</f>
        <v>Tap 6 Clone (10/15/2021)</v>
      </c>
      <c r="H2006" s="19"/>
    </row>
    <row r="2007">
      <c r="A2007" s="9"/>
      <c r="B2007" s="15"/>
      <c r="C2007" s="9">
        <f>IFERROR(__xludf.DUMMYFUNCTION("""COMPUTED_VALUE"""),44490.7698026851)</f>
        <v>44490.7698</v>
      </c>
      <c r="D2007" s="15">
        <f>IFERROR(__xludf.DUMMYFUNCTION("""COMPUTED_VALUE"""),1.024)</f>
        <v>1.024</v>
      </c>
      <c r="E2007" s="16">
        <f>IFERROR(__xludf.DUMMYFUNCTION("""COMPUTED_VALUE"""),62.0)</f>
        <v>62</v>
      </c>
      <c r="F2007" s="19" t="str">
        <f>IFERROR(__xludf.DUMMYFUNCTION("""COMPUTED_VALUE"""),"BLACK")</f>
        <v>BLACK</v>
      </c>
      <c r="G2007" s="20" t="str">
        <f>IFERROR(__xludf.DUMMYFUNCTION("""COMPUTED_VALUE"""),"Tap 6 Clone (10/15/2021)")</f>
        <v>Tap 6 Clone (10/15/2021)</v>
      </c>
      <c r="H2007" s="19"/>
    </row>
    <row r="2008">
      <c r="A2008" s="9"/>
      <c r="B2008" s="15"/>
      <c r="C2008" s="9">
        <f>IFERROR(__xludf.DUMMYFUNCTION("""COMPUTED_VALUE"""),44490.7593807754)</f>
        <v>44490.75938</v>
      </c>
      <c r="D2008" s="15">
        <f>IFERROR(__xludf.DUMMYFUNCTION("""COMPUTED_VALUE"""),1.025)</f>
        <v>1.025</v>
      </c>
      <c r="E2008" s="16">
        <f>IFERROR(__xludf.DUMMYFUNCTION("""COMPUTED_VALUE"""),62.0)</f>
        <v>62</v>
      </c>
      <c r="F2008" s="19" t="str">
        <f>IFERROR(__xludf.DUMMYFUNCTION("""COMPUTED_VALUE"""),"BLACK")</f>
        <v>BLACK</v>
      </c>
      <c r="G2008" s="20" t="str">
        <f>IFERROR(__xludf.DUMMYFUNCTION("""COMPUTED_VALUE"""),"Tap 6 Clone (10/15/2021)")</f>
        <v>Tap 6 Clone (10/15/2021)</v>
      </c>
      <c r="H2008" s="19"/>
    </row>
    <row r="2009">
      <c r="A2009" s="9"/>
      <c r="B2009" s="15"/>
      <c r="C2009" s="9">
        <f>IFERROR(__xludf.DUMMYFUNCTION("""COMPUTED_VALUE"""),44490.7489623148)</f>
        <v>44490.74896</v>
      </c>
      <c r="D2009" s="15">
        <f>IFERROR(__xludf.DUMMYFUNCTION("""COMPUTED_VALUE"""),1.025)</f>
        <v>1.025</v>
      </c>
      <c r="E2009" s="16">
        <f>IFERROR(__xludf.DUMMYFUNCTION("""COMPUTED_VALUE"""),62.0)</f>
        <v>62</v>
      </c>
      <c r="F2009" s="19" t="str">
        <f>IFERROR(__xludf.DUMMYFUNCTION("""COMPUTED_VALUE"""),"BLACK")</f>
        <v>BLACK</v>
      </c>
      <c r="G2009" s="20" t="str">
        <f>IFERROR(__xludf.DUMMYFUNCTION("""COMPUTED_VALUE"""),"Tap 6 Clone (10/15/2021)")</f>
        <v>Tap 6 Clone (10/15/2021)</v>
      </c>
      <c r="H2009" s="19"/>
    </row>
    <row r="2010">
      <c r="A2010" s="9"/>
      <c r="B2010" s="15"/>
      <c r="C2010" s="9">
        <f>IFERROR(__xludf.DUMMYFUNCTION("""COMPUTED_VALUE"""),44490.7385398148)</f>
        <v>44490.73854</v>
      </c>
      <c r="D2010" s="15">
        <f>IFERROR(__xludf.DUMMYFUNCTION("""COMPUTED_VALUE"""),1.025)</f>
        <v>1.025</v>
      </c>
      <c r="E2010" s="16">
        <f>IFERROR(__xludf.DUMMYFUNCTION("""COMPUTED_VALUE"""),62.0)</f>
        <v>62</v>
      </c>
      <c r="F2010" s="19" t="str">
        <f>IFERROR(__xludf.DUMMYFUNCTION("""COMPUTED_VALUE"""),"BLACK")</f>
        <v>BLACK</v>
      </c>
      <c r="G2010" s="20" t="str">
        <f>IFERROR(__xludf.DUMMYFUNCTION("""COMPUTED_VALUE"""),"Tap 6 Clone (10/15/2021)")</f>
        <v>Tap 6 Clone (10/15/2021)</v>
      </c>
      <c r="H2010" s="19"/>
    </row>
    <row r="2011">
      <c r="A2011" s="9"/>
      <c r="B2011" s="15"/>
      <c r="C2011" s="9">
        <f>IFERROR(__xludf.DUMMYFUNCTION("""COMPUTED_VALUE"""),44490.7281075694)</f>
        <v>44490.72811</v>
      </c>
      <c r="D2011" s="15">
        <f>IFERROR(__xludf.DUMMYFUNCTION("""COMPUTED_VALUE"""),1.024)</f>
        <v>1.024</v>
      </c>
      <c r="E2011" s="16">
        <f>IFERROR(__xludf.DUMMYFUNCTION("""COMPUTED_VALUE"""),62.0)</f>
        <v>62</v>
      </c>
      <c r="F2011" s="19" t="str">
        <f>IFERROR(__xludf.DUMMYFUNCTION("""COMPUTED_VALUE"""),"BLACK")</f>
        <v>BLACK</v>
      </c>
      <c r="G2011" s="20" t="str">
        <f>IFERROR(__xludf.DUMMYFUNCTION("""COMPUTED_VALUE"""),"Tap 6 Clone (10/15/2021)")</f>
        <v>Tap 6 Clone (10/15/2021)</v>
      </c>
      <c r="H2011" s="19"/>
    </row>
    <row r="2012">
      <c r="A2012" s="9"/>
      <c r="B2012" s="15"/>
      <c r="C2012" s="9">
        <f>IFERROR(__xludf.DUMMYFUNCTION("""COMPUTED_VALUE"""),44490.7176866319)</f>
        <v>44490.71769</v>
      </c>
      <c r="D2012" s="15">
        <f>IFERROR(__xludf.DUMMYFUNCTION("""COMPUTED_VALUE"""),1.025)</f>
        <v>1.025</v>
      </c>
      <c r="E2012" s="16">
        <f>IFERROR(__xludf.DUMMYFUNCTION("""COMPUTED_VALUE"""),62.0)</f>
        <v>62</v>
      </c>
      <c r="F2012" s="19" t="str">
        <f>IFERROR(__xludf.DUMMYFUNCTION("""COMPUTED_VALUE"""),"BLACK")</f>
        <v>BLACK</v>
      </c>
      <c r="G2012" s="20" t="str">
        <f>IFERROR(__xludf.DUMMYFUNCTION("""COMPUTED_VALUE"""),"Tap 6 Clone (10/15/2021)")</f>
        <v>Tap 6 Clone (10/15/2021)</v>
      </c>
      <c r="H2012" s="19"/>
    </row>
    <row r="2013">
      <c r="A2013" s="9"/>
      <c r="B2013" s="15"/>
      <c r="C2013" s="9">
        <f>IFERROR(__xludf.DUMMYFUNCTION("""COMPUTED_VALUE"""),44490.7072547916)</f>
        <v>44490.70725</v>
      </c>
      <c r="D2013" s="15">
        <f>IFERROR(__xludf.DUMMYFUNCTION("""COMPUTED_VALUE"""),1.024)</f>
        <v>1.024</v>
      </c>
      <c r="E2013" s="16">
        <f>IFERROR(__xludf.DUMMYFUNCTION("""COMPUTED_VALUE"""),62.0)</f>
        <v>62</v>
      </c>
      <c r="F2013" s="19" t="str">
        <f>IFERROR(__xludf.DUMMYFUNCTION("""COMPUTED_VALUE"""),"BLACK")</f>
        <v>BLACK</v>
      </c>
      <c r="G2013" s="20" t="str">
        <f>IFERROR(__xludf.DUMMYFUNCTION("""COMPUTED_VALUE"""),"Tap 6 Clone (10/15/2021)")</f>
        <v>Tap 6 Clone (10/15/2021)</v>
      </c>
      <c r="H2013" s="19"/>
    </row>
    <row r="2014">
      <c r="A2014" s="9"/>
      <c r="B2014" s="15"/>
      <c r="C2014" s="9">
        <f>IFERROR(__xludf.DUMMYFUNCTION("""COMPUTED_VALUE"""),44490.6968332407)</f>
        <v>44490.69683</v>
      </c>
      <c r="D2014" s="15">
        <f>IFERROR(__xludf.DUMMYFUNCTION("""COMPUTED_VALUE"""),1.024)</f>
        <v>1.024</v>
      </c>
      <c r="E2014" s="16">
        <f>IFERROR(__xludf.DUMMYFUNCTION("""COMPUTED_VALUE"""),62.0)</f>
        <v>62</v>
      </c>
      <c r="F2014" s="19" t="str">
        <f>IFERROR(__xludf.DUMMYFUNCTION("""COMPUTED_VALUE"""),"BLACK")</f>
        <v>BLACK</v>
      </c>
      <c r="G2014" s="20" t="str">
        <f>IFERROR(__xludf.DUMMYFUNCTION("""COMPUTED_VALUE"""),"Tap 6 Clone (10/15/2021)")</f>
        <v>Tap 6 Clone (10/15/2021)</v>
      </c>
      <c r="H2014" s="19"/>
    </row>
    <row r="2015">
      <c r="A2015" s="9"/>
      <c r="B2015" s="15"/>
      <c r="C2015" s="9">
        <f>IFERROR(__xludf.DUMMYFUNCTION("""COMPUTED_VALUE"""),44490.6864115856)</f>
        <v>44490.68641</v>
      </c>
      <c r="D2015" s="15">
        <f>IFERROR(__xludf.DUMMYFUNCTION("""COMPUTED_VALUE"""),1.025)</f>
        <v>1.025</v>
      </c>
      <c r="E2015" s="16">
        <f>IFERROR(__xludf.DUMMYFUNCTION("""COMPUTED_VALUE"""),61.0)</f>
        <v>61</v>
      </c>
      <c r="F2015" s="19" t="str">
        <f>IFERROR(__xludf.DUMMYFUNCTION("""COMPUTED_VALUE"""),"BLACK")</f>
        <v>BLACK</v>
      </c>
      <c r="G2015" s="20" t="str">
        <f>IFERROR(__xludf.DUMMYFUNCTION("""COMPUTED_VALUE"""),"Tap 6 Clone (10/15/2021)")</f>
        <v>Tap 6 Clone (10/15/2021)</v>
      </c>
      <c r="H2015" s="19"/>
    </row>
    <row r="2016">
      <c r="A2016" s="9"/>
      <c r="B2016" s="15"/>
      <c r="C2016" s="9">
        <f>IFERROR(__xludf.DUMMYFUNCTION("""COMPUTED_VALUE"""),44490.6759899074)</f>
        <v>44490.67599</v>
      </c>
      <c r="D2016" s="15">
        <f>IFERROR(__xludf.DUMMYFUNCTION("""COMPUTED_VALUE"""),1.025)</f>
        <v>1.025</v>
      </c>
      <c r="E2016" s="16">
        <f>IFERROR(__xludf.DUMMYFUNCTION("""COMPUTED_VALUE"""),61.0)</f>
        <v>61</v>
      </c>
      <c r="F2016" s="19" t="str">
        <f>IFERROR(__xludf.DUMMYFUNCTION("""COMPUTED_VALUE"""),"BLACK")</f>
        <v>BLACK</v>
      </c>
      <c r="G2016" s="20" t="str">
        <f>IFERROR(__xludf.DUMMYFUNCTION("""COMPUTED_VALUE"""),"Tap 6 Clone (10/15/2021)")</f>
        <v>Tap 6 Clone (10/15/2021)</v>
      </c>
      <c r="H2016" s="19"/>
    </row>
    <row r="2017">
      <c r="A2017" s="9"/>
      <c r="B2017" s="15"/>
      <c r="C2017" s="9">
        <f>IFERROR(__xludf.DUMMYFUNCTION("""COMPUTED_VALUE"""),44490.6655684143)</f>
        <v>44490.66557</v>
      </c>
      <c r="D2017" s="15">
        <f>IFERROR(__xludf.DUMMYFUNCTION("""COMPUTED_VALUE"""),1.025)</f>
        <v>1.025</v>
      </c>
      <c r="E2017" s="16">
        <f>IFERROR(__xludf.DUMMYFUNCTION("""COMPUTED_VALUE"""),61.0)</f>
        <v>61</v>
      </c>
      <c r="F2017" s="19" t="str">
        <f>IFERROR(__xludf.DUMMYFUNCTION("""COMPUTED_VALUE"""),"BLACK")</f>
        <v>BLACK</v>
      </c>
      <c r="G2017" s="20" t="str">
        <f>IFERROR(__xludf.DUMMYFUNCTION("""COMPUTED_VALUE"""),"Tap 6 Clone (10/15/2021)")</f>
        <v>Tap 6 Clone (10/15/2021)</v>
      </c>
      <c r="H2017" s="19"/>
    </row>
    <row r="2018">
      <c r="A2018" s="9"/>
      <c r="B2018" s="15"/>
      <c r="C2018" s="9">
        <f>IFERROR(__xludf.DUMMYFUNCTION("""COMPUTED_VALUE"""),44490.6551465972)</f>
        <v>44490.65515</v>
      </c>
      <c r="D2018" s="15">
        <f>IFERROR(__xludf.DUMMYFUNCTION("""COMPUTED_VALUE"""),1.025)</f>
        <v>1.025</v>
      </c>
      <c r="E2018" s="16">
        <f>IFERROR(__xludf.DUMMYFUNCTION("""COMPUTED_VALUE"""),61.0)</f>
        <v>61</v>
      </c>
      <c r="F2018" s="19" t="str">
        <f>IFERROR(__xludf.DUMMYFUNCTION("""COMPUTED_VALUE"""),"BLACK")</f>
        <v>BLACK</v>
      </c>
      <c r="G2018" s="20" t="str">
        <f>IFERROR(__xludf.DUMMYFUNCTION("""COMPUTED_VALUE"""),"Tap 6 Clone (10/15/2021)")</f>
        <v>Tap 6 Clone (10/15/2021)</v>
      </c>
      <c r="H2018" s="19"/>
    </row>
    <row r="2019">
      <c r="A2019" s="9"/>
      <c r="B2019" s="15"/>
      <c r="C2019" s="9">
        <f>IFERROR(__xludf.DUMMYFUNCTION("""COMPUTED_VALUE"""),44490.6447138773)</f>
        <v>44490.64471</v>
      </c>
      <c r="D2019" s="15">
        <f>IFERROR(__xludf.DUMMYFUNCTION("""COMPUTED_VALUE"""),1.025)</f>
        <v>1.025</v>
      </c>
      <c r="E2019" s="16">
        <f>IFERROR(__xludf.DUMMYFUNCTION("""COMPUTED_VALUE"""),61.0)</f>
        <v>61</v>
      </c>
      <c r="F2019" s="19" t="str">
        <f>IFERROR(__xludf.DUMMYFUNCTION("""COMPUTED_VALUE"""),"BLACK")</f>
        <v>BLACK</v>
      </c>
      <c r="G2019" s="20" t="str">
        <f>IFERROR(__xludf.DUMMYFUNCTION("""COMPUTED_VALUE"""),"Tap 6 Clone (10/15/2021)")</f>
        <v>Tap 6 Clone (10/15/2021)</v>
      </c>
      <c r="H2019" s="19"/>
    </row>
    <row r="2020">
      <c r="A2020" s="9"/>
      <c r="B2020" s="15"/>
      <c r="C2020" s="9">
        <f>IFERROR(__xludf.DUMMYFUNCTION("""COMPUTED_VALUE"""),44490.634292662)</f>
        <v>44490.63429</v>
      </c>
      <c r="D2020" s="15">
        <f>IFERROR(__xludf.DUMMYFUNCTION("""COMPUTED_VALUE"""),1.025)</f>
        <v>1.025</v>
      </c>
      <c r="E2020" s="16">
        <f>IFERROR(__xludf.DUMMYFUNCTION("""COMPUTED_VALUE"""),61.0)</f>
        <v>61</v>
      </c>
      <c r="F2020" s="19" t="str">
        <f>IFERROR(__xludf.DUMMYFUNCTION("""COMPUTED_VALUE"""),"BLACK")</f>
        <v>BLACK</v>
      </c>
      <c r="G2020" s="20" t="str">
        <f>IFERROR(__xludf.DUMMYFUNCTION("""COMPUTED_VALUE"""),"Tap 6 Clone (10/15/2021)")</f>
        <v>Tap 6 Clone (10/15/2021)</v>
      </c>
      <c r="H2020" s="19"/>
    </row>
    <row r="2021">
      <c r="A2021" s="9"/>
      <c r="B2021" s="15"/>
      <c r="C2021" s="9">
        <f>IFERROR(__xludf.DUMMYFUNCTION("""COMPUTED_VALUE"""),44490.6238580092)</f>
        <v>44490.62386</v>
      </c>
      <c r="D2021" s="15">
        <f>IFERROR(__xludf.DUMMYFUNCTION("""COMPUTED_VALUE"""),1.025)</f>
        <v>1.025</v>
      </c>
      <c r="E2021" s="16">
        <f>IFERROR(__xludf.DUMMYFUNCTION("""COMPUTED_VALUE"""),61.0)</f>
        <v>61</v>
      </c>
      <c r="F2021" s="19" t="str">
        <f>IFERROR(__xludf.DUMMYFUNCTION("""COMPUTED_VALUE"""),"BLACK")</f>
        <v>BLACK</v>
      </c>
      <c r="G2021" s="20" t="str">
        <f>IFERROR(__xludf.DUMMYFUNCTION("""COMPUTED_VALUE"""),"Tap 6 Clone (10/15/2021)")</f>
        <v>Tap 6 Clone (10/15/2021)</v>
      </c>
      <c r="H2021" s="19"/>
    </row>
    <row r="2022">
      <c r="A2022" s="9"/>
      <c r="B2022" s="15"/>
      <c r="C2022" s="9">
        <f>IFERROR(__xludf.DUMMYFUNCTION("""COMPUTED_VALUE"""),44490.6134360185)</f>
        <v>44490.61344</v>
      </c>
      <c r="D2022" s="15">
        <f>IFERROR(__xludf.DUMMYFUNCTION("""COMPUTED_VALUE"""),1.025)</f>
        <v>1.025</v>
      </c>
      <c r="E2022" s="16">
        <f>IFERROR(__xludf.DUMMYFUNCTION("""COMPUTED_VALUE"""),62.0)</f>
        <v>62</v>
      </c>
      <c r="F2022" s="19" t="str">
        <f>IFERROR(__xludf.DUMMYFUNCTION("""COMPUTED_VALUE"""),"BLACK")</f>
        <v>BLACK</v>
      </c>
      <c r="G2022" s="20" t="str">
        <f>IFERROR(__xludf.DUMMYFUNCTION("""COMPUTED_VALUE"""),"Tap 6 Clone (10/15/2021)")</f>
        <v>Tap 6 Clone (10/15/2021)</v>
      </c>
      <c r="H2022" s="19"/>
    </row>
    <row r="2023">
      <c r="A2023" s="9"/>
      <c r="B2023" s="15"/>
      <c r="C2023" s="9">
        <f>IFERROR(__xludf.DUMMYFUNCTION("""COMPUTED_VALUE"""),44490.6030033101)</f>
        <v>44490.603</v>
      </c>
      <c r="D2023" s="15">
        <f>IFERROR(__xludf.DUMMYFUNCTION("""COMPUTED_VALUE"""),1.025)</f>
        <v>1.025</v>
      </c>
      <c r="E2023" s="16">
        <f>IFERROR(__xludf.DUMMYFUNCTION("""COMPUTED_VALUE"""),62.0)</f>
        <v>62</v>
      </c>
      <c r="F2023" s="19" t="str">
        <f>IFERROR(__xludf.DUMMYFUNCTION("""COMPUTED_VALUE"""),"BLACK")</f>
        <v>BLACK</v>
      </c>
      <c r="G2023" s="20" t="str">
        <f>IFERROR(__xludf.DUMMYFUNCTION("""COMPUTED_VALUE"""),"Tap 6 Clone (10/15/2021)")</f>
        <v>Tap 6 Clone (10/15/2021)</v>
      </c>
      <c r="H2023" s="19"/>
    </row>
    <row r="2024">
      <c r="A2024" s="9"/>
      <c r="B2024" s="15"/>
      <c r="C2024" s="9">
        <f>IFERROR(__xludf.DUMMYFUNCTION("""COMPUTED_VALUE"""),44490.5925809143)</f>
        <v>44490.59258</v>
      </c>
      <c r="D2024" s="15">
        <f>IFERROR(__xludf.DUMMYFUNCTION("""COMPUTED_VALUE"""),1.025)</f>
        <v>1.025</v>
      </c>
      <c r="E2024" s="16">
        <f>IFERROR(__xludf.DUMMYFUNCTION("""COMPUTED_VALUE"""),62.0)</f>
        <v>62</v>
      </c>
      <c r="F2024" s="19" t="str">
        <f>IFERROR(__xludf.DUMMYFUNCTION("""COMPUTED_VALUE"""),"BLACK")</f>
        <v>BLACK</v>
      </c>
      <c r="G2024" s="20" t="str">
        <f>IFERROR(__xludf.DUMMYFUNCTION("""COMPUTED_VALUE"""),"Tap 6 Clone (10/15/2021)")</f>
        <v>Tap 6 Clone (10/15/2021)</v>
      </c>
      <c r="H2024" s="19"/>
    </row>
    <row r="2025">
      <c r="A2025" s="9"/>
      <c r="B2025" s="15"/>
      <c r="C2025" s="9">
        <f>IFERROR(__xludf.DUMMYFUNCTION("""COMPUTED_VALUE"""),44490.5821586805)</f>
        <v>44490.58216</v>
      </c>
      <c r="D2025" s="15">
        <f>IFERROR(__xludf.DUMMYFUNCTION("""COMPUTED_VALUE"""),1.025)</f>
        <v>1.025</v>
      </c>
      <c r="E2025" s="16">
        <f>IFERROR(__xludf.DUMMYFUNCTION("""COMPUTED_VALUE"""),62.0)</f>
        <v>62</v>
      </c>
      <c r="F2025" s="19" t="str">
        <f>IFERROR(__xludf.DUMMYFUNCTION("""COMPUTED_VALUE"""),"BLACK")</f>
        <v>BLACK</v>
      </c>
      <c r="G2025" s="20" t="str">
        <f>IFERROR(__xludf.DUMMYFUNCTION("""COMPUTED_VALUE"""),"Tap 6 Clone (10/15/2021)")</f>
        <v>Tap 6 Clone (10/15/2021)</v>
      </c>
      <c r="H2025" s="19"/>
    </row>
    <row r="2026">
      <c r="A2026" s="9"/>
      <c r="B2026" s="15"/>
      <c r="C2026" s="9">
        <f>IFERROR(__xludf.DUMMYFUNCTION("""COMPUTED_VALUE"""),44490.5717360995)</f>
        <v>44490.57174</v>
      </c>
      <c r="D2026" s="15">
        <f>IFERROR(__xludf.DUMMYFUNCTION("""COMPUTED_VALUE"""),1.025)</f>
        <v>1.025</v>
      </c>
      <c r="E2026" s="16">
        <f>IFERROR(__xludf.DUMMYFUNCTION("""COMPUTED_VALUE"""),62.0)</f>
        <v>62</v>
      </c>
      <c r="F2026" s="19" t="str">
        <f>IFERROR(__xludf.DUMMYFUNCTION("""COMPUTED_VALUE"""),"BLACK")</f>
        <v>BLACK</v>
      </c>
      <c r="G2026" s="20" t="str">
        <f>IFERROR(__xludf.DUMMYFUNCTION("""COMPUTED_VALUE"""),"Tap 6 Clone (10/15/2021)")</f>
        <v>Tap 6 Clone (10/15/2021)</v>
      </c>
      <c r="H2026" s="19"/>
    </row>
    <row r="2027">
      <c r="A2027" s="9"/>
      <c r="B2027" s="15"/>
      <c r="C2027" s="9">
        <f>IFERROR(__xludf.DUMMYFUNCTION("""COMPUTED_VALUE"""),44490.5613164004)</f>
        <v>44490.56132</v>
      </c>
      <c r="D2027" s="15">
        <f>IFERROR(__xludf.DUMMYFUNCTION("""COMPUTED_VALUE"""),1.025)</f>
        <v>1.025</v>
      </c>
      <c r="E2027" s="16">
        <f>IFERROR(__xludf.DUMMYFUNCTION("""COMPUTED_VALUE"""),63.0)</f>
        <v>63</v>
      </c>
      <c r="F2027" s="19" t="str">
        <f>IFERROR(__xludf.DUMMYFUNCTION("""COMPUTED_VALUE"""),"BLACK")</f>
        <v>BLACK</v>
      </c>
      <c r="G2027" s="20" t="str">
        <f>IFERROR(__xludf.DUMMYFUNCTION("""COMPUTED_VALUE"""),"Tap 6 Clone (10/15/2021)")</f>
        <v>Tap 6 Clone (10/15/2021)</v>
      </c>
      <c r="H2027" s="19"/>
    </row>
    <row r="2028">
      <c r="A2028" s="9"/>
      <c r="B2028" s="15"/>
      <c r="C2028" s="9">
        <f>IFERROR(__xludf.DUMMYFUNCTION("""COMPUTED_VALUE"""),44490.5508822801)</f>
        <v>44490.55088</v>
      </c>
      <c r="D2028" s="15">
        <f>IFERROR(__xludf.DUMMYFUNCTION("""COMPUTED_VALUE"""),1.026)</f>
        <v>1.026</v>
      </c>
      <c r="E2028" s="16">
        <f>IFERROR(__xludf.DUMMYFUNCTION("""COMPUTED_VALUE"""),63.0)</f>
        <v>63</v>
      </c>
      <c r="F2028" s="19" t="str">
        <f>IFERROR(__xludf.DUMMYFUNCTION("""COMPUTED_VALUE"""),"BLACK")</f>
        <v>BLACK</v>
      </c>
      <c r="G2028" s="20" t="str">
        <f>IFERROR(__xludf.DUMMYFUNCTION("""COMPUTED_VALUE"""),"Tap 6 Clone (10/15/2021)")</f>
        <v>Tap 6 Clone (10/15/2021)</v>
      </c>
      <c r="H2028" s="19"/>
    </row>
    <row r="2029">
      <c r="A2029" s="9"/>
      <c r="B2029" s="15"/>
      <c r="C2029" s="9">
        <f>IFERROR(__xludf.DUMMYFUNCTION("""COMPUTED_VALUE"""),44490.5404501041)</f>
        <v>44490.54045</v>
      </c>
      <c r="D2029" s="15">
        <f>IFERROR(__xludf.DUMMYFUNCTION("""COMPUTED_VALUE"""),1.026)</f>
        <v>1.026</v>
      </c>
      <c r="E2029" s="16">
        <f>IFERROR(__xludf.DUMMYFUNCTION("""COMPUTED_VALUE"""),64.0)</f>
        <v>64</v>
      </c>
      <c r="F2029" s="19" t="str">
        <f>IFERROR(__xludf.DUMMYFUNCTION("""COMPUTED_VALUE"""),"BLACK")</f>
        <v>BLACK</v>
      </c>
      <c r="G2029" s="20" t="str">
        <f>IFERROR(__xludf.DUMMYFUNCTION("""COMPUTED_VALUE"""),"Tap 6 Clone (10/15/2021)")</f>
        <v>Tap 6 Clone (10/15/2021)</v>
      </c>
      <c r="H2029" s="19"/>
    </row>
    <row r="2030">
      <c r="A2030" s="9"/>
      <c r="B2030" s="15"/>
      <c r="C2030" s="9">
        <f>IFERROR(__xludf.DUMMYFUNCTION("""COMPUTED_VALUE"""),44490.5300175925)</f>
        <v>44490.53002</v>
      </c>
      <c r="D2030" s="15">
        <f>IFERROR(__xludf.DUMMYFUNCTION("""COMPUTED_VALUE"""),1.026)</f>
        <v>1.026</v>
      </c>
      <c r="E2030" s="16">
        <f>IFERROR(__xludf.DUMMYFUNCTION("""COMPUTED_VALUE"""),64.0)</f>
        <v>64</v>
      </c>
      <c r="F2030" s="19" t="str">
        <f>IFERROR(__xludf.DUMMYFUNCTION("""COMPUTED_VALUE"""),"BLACK")</f>
        <v>BLACK</v>
      </c>
      <c r="G2030" s="20" t="str">
        <f>IFERROR(__xludf.DUMMYFUNCTION("""COMPUTED_VALUE"""),"Tap 6 Clone (10/15/2021)")</f>
        <v>Tap 6 Clone (10/15/2021)</v>
      </c>
      <c r="H2030" s="19"/>
    </row>
    <row r="2031">
      <c r="A2031" s="9"/>
      <c r="B2031" s="15"/>
      <c r="C2031" s="9">
        <f>IFERROR(__xludf.DUMMYFUNCTION("""COMPUTED_VALUE"""),44490.5195945486)</f>
        <v>44490.51959</v>
      </c>
      <c r="D2031" s="15">
        <f>IFERROR(__xludf.DUMMYFUNCTION("""COMPUTED_VALUE"""),1.025)</f>
        <v>1.025</v>
      </c>
      <c r="E2031" s="16">
        <f>IFERROR(__xludf.DUMMYFUNCTION("""COMPUTED_VALUE"""),65.0)</f>
        <v>65</v>
      </c>
      <c r="F2031" s="19" t="str">
        <f>IFERROR(__xludf.DUMMYFUNCTION("""COMPUTED_VALUE"""),"BLACK")</f>
        <v>BLACK</v>
      </c>
      <c r="G2031" s="20" t="str">
        <f>IFERROR(__xludf.DUMMYFUNCTION("""COMPUTED_VALUE"""),"Tap 6 Clone (10/15/2021)")</f>
        <v>Tap 6 Clone (10/15/2021)</v>
      </c>
      <c r="H2031" s="19"/>
    </row>
    <row r="2032">
      <c r="A2032" s="9"/>
      <c r="B2032" s="15"/>
      <c r="C2032" s="9">
        <f>IFERROR(__xludf.DUMMYFUNCTION("""COMPUTED_VALUE"""),44490.5091628703)</f>
        <v>44490.50916</v>
      </c>
      <c r="D2032" s="15">
        <f>IFERROR(__xludf.DUMMYFUNCTION("""COMPUTED_VALUE"""),1.025)</f>
        <v>1.025</v>
      </c>
      <c r="E2032" s="16">
        <f>IFERROR(__xludf.DUMMYFUNCTION("""COMPUTED_VALUE"""),66.0)</f>
        <v>66</v>
      </c>
      <c r="F2032" s="19" t="str">
        <f>IFERROR(__xludf.DUMMYFUNCTION("""COMPUTED_VALUE"""),"BLACK")</f>
        <v>BLACK</v>
      </c>
      <c r="G2032" s="20" t="str">
        <f>IFERROR(__xludf.DUMMYFUNCTION("""COMPUTED_VALUE"""),"Tap 6 Clone (10/15/2021)")</f>
        <v>Tap 6 Clone (10/15/2021)</v>
      </c>
      <c r="H2032" s="19"/>
    </row>
    <row r="2033">
      <c r="A2033" s="9"/>
      <c r="B2033" s="15"/>
      <c r="C2033" s="9">
        <f>IFERROR(__xludf.DUMMYFUNCTION("""COMPUTED_VALUE"""),44490.4987303009)</f>
        <v>44490.49873</v>
      </c>
      <c r="D2033" s="15">
        <f>IFERROR(__xludf.DUMMYFUNCTION("""COMPUTED_VALUE"""),1.025)</f>
        <v>1.025</v>
      </c>
      <c r="E2033" s="16">
        <f>IFERROR(__xludf.DUMMYFUNCTION("""COMPUTED_VALUE"""),66.0)</f>
        <v>66</v>
      </c>
      <c r="F2033" s="19" t="str">
        <f>IFERROR(__xludf.DUMMYFUNCTION("""COMPUTED_VALUE"""),"BLACK")</f>
        <v>BLACK</v>
      </c>
      <c r="G2033" s="20" t="str">
        <f>IFERROR(__xludf.DUMMYFUNCTION("""COMPUTED_VALUE"""),"Tap 6 Clone (10/15/2021)")</f>
        <v>Tap 6 Clone (10/15/2021)</v>
      </c>
      <c r="H2033" s="19"/>
    </row>
    <row r="2034">
      <c r="A2034" s="9"/>
      <c r="B2034" s="15"/>
      <c r="C2034" s="9">
        <f>IFERROR(__xludf.DUMMYFUNCTION("""COMPUTED_VALUE"""),44490.4883097685)</f>
        <v>44490.48831</v>
      </c>
      <c r="D2034" s="15">
        <f>IFERROR(__xludf.DUMMYFUNCTION("""COMPUTED_VALUE"""),1.025)</f>
        <v>1.025</v>
      </c>
      <c r="E2034" s="16">
        <f>IFERROR(__xludf.DUMMYFUNCTION("""COMPUTED_VALUE"""),66.0)</f>
        <v>66</v>
      </c>
      <c r="F2034" s="19" t="str">
        <f>IFERROR(__xludf.DUMMYFUNCTION("""COMPUTED_VALUE"""),"BLACK")</f>
        <v>BLACK</v>
      </c>
      <c r="G2034" s="20" t="str">
        <f>IFERROR(__xludf.DUMMYFUNCTION("""COMPUTED_VALUE"""),"Tap 6 Clone (10/15/2021)")</f>
        <v>Tap 6 Clone (10/15/2021)</v>
      </c>
      <c r="H2034" s="19"/>
    </row>
    <row r="2035">
      <c r="A2035" s="9"/>
      <c r="B2035" s="15"/>
      <c r="C2035" s="9">
        <f>IFERROR(__xludf.DUMMYFUNCTION("""COMPUTED_VALUE"""),44490.4778766203)</f>
        <v>44490.47788</v>
      </c>
      <c r="D2035" s="15">
        <f>IFERROR(__xludf.DUMMYFUNCTION("""COMPUTED_VALUE"""),1.025)</f>
        <v>1.025</v>
      </c>
      <c r="E2035" s="16">
        <f>IFERROR(__xludf.DUMMYFUNCTION("""COMPUTED_VALUE"""),66.0)</f>
        <v>66</v>
      </c>
      <c r="F2035" s="19" t="str">
        <f>IFERROR(__xludf.DUMMYFUNCTION("""COMPUTED_VALUE"""),"BLACK")</f>
        <v>BLACK</v>
      </c>
      <c r="G2035" s="20" t="str">
        <f>IFERROR(__xludf.DUMMYFUNCTION("""COMPUTED_VALUE"""),"Tap 6 Clone (10/15/2021)")</f>
        <v>Tap 6 Clone (10/15/2021)</v>
      </c>
      <c r="H2035" s="19"/>
    </row>
    <row r="2036">
      <c r="A2036" s="9"/>
      <c r="B2036" s="15"/>
      <c r="C2036" s="9">
        <f>IFERROR(__xludf.DUMMYFUNCTION("""COMPUTED_VALUE"""),44490.4674425347)</f>
        <v>44490.46744</v>
      </c>
      <c r="D2036" s="15">
        <f>IFERROR(__xludf.DUMMYFUNCTION("""COMPUTED_VALUE"""),1.025)</f>
        <v>1.025</v>
      </c>
      <c r="E2036" s="16">
        <f>IFERROR(__xludf.DUMMYFUNCTION("""COMPUTED_VALUE"""),66.0)</f>
        <v>66</v>
      </c>
      <c r="F2036" s="19" t="str">
        <f>IFERROR(__xludf.DUMMYFUNCTION("""COMPUTED_VALUE"""),"BLACK")</f>
        <v>BLACK</v>
      </c>
      <c r="G2036" s="20" t="str">
        <f>IFERROR(__xludf.DUMMYFUNCTION("""COMPUTED_VALUE"""),"Tap 6 Clone (10/15/2021)")</f>
        <v>Tap 6 Clone (10/15/2021)</v>
      </c>
      <c r="H2036" s="19"/>
    </row>
    <row r="2037">
      <c r="A2037" s="9"/>
      <c r="B2037" s="15"/>
      <c r="C2037" s="9">
        <f>IFERROR(__xludf.DUMMYFUNCTION("""COMPUTED_VALUE"""),44490.4570205671)</f>
        <v>44490.45702</v>
      </c>
      <c r="D2037" s="15">
        <f>IFERROR(__xludf.DUMMYFUNCTION("""COMPUTED_VALUE"""),1.026)</f>
        <v>1.026</v>
      </c>
      <c r="E2037" s="16">
        <f>IFERROR(__xludf.DUMMYFUNCTION("""COMPUTED_VALUE"""),66.0)</f>
        <v>66</v>
      </c>
      <c r="F2037" s="19" t="str">
        <f>IFERROR(__xludf.DUMMYFUNCTION("""COMPUTED_VALUE"""),"BLACK")</f>
        <v>BLACK</v>
      </c>
      <c r="G2037" s="20" t="str">
        <f>IFERROR(__xludf.DUMMYFUNCTION("""COMPUTED_VALUE"""),"Tap 6 Clone (10/15/2021)")</f>
        <v>Tap 6 Clone (10/15/2021)</v>
      </c>
      <c r="H2037" s="19"/>
    </row>
    <row r="2038">
      <c r="A2038" s="9"/>
      <c r="B2038" s="15"/>
      <c r="C2038" s="9">
        <f>IFERROR(__xludf.DUMMYFUNCTION("""COMPUTED_VALUE"""),44490.4465877662)</f>
        <v>44490.44659</v>
      </c>
      <c r="D2038" s="15">
        <f>IFERROR(__xludf.DUMMYFUNCTION("""COMPUTED_VALUE"""),1.025)</f>
        <v>1.025</v>
      </c>
      <c r="E2038" s="16">
        <f>IFERROR(__xludf.DUMMYFUNCTION("""COMPUTED_VALUE"""),66.0)</f>
        <v>66</v>
      </c>
      <c r="F2038" s="19" t="str">
        <f>IFERROR(__xludf.DUMMYFUNCTION("""COMPUTED_VALUE"""),"BLACK")</f>
        <v>BLACK</v>
      </c>
      <c r="G2038" s="20" t="str">
        <f>IFERROR(__xludf.DUMMYFUNCTION("""COMPUTED_VALUE"""),"Tap 6 Clone (10/15/2021)")</f>
        <v>Tap 6 Clone (10/15/2021)</v>
      </c>
      <c r="H2038" s="19"/>
    </row>
    <row r="2039">
      <c r="A2039" s="9"/>
      <c r="B2039" s="15"/>
      <c r="C2039" s="9">
        <f>IFERROR(__xludf.DUMMYFUNCTION("""COMPUTED_VALUE"""),44490.4361552083)</f>
        <v>44490.43616</v>
      </c>
      <c r="D2039" s="15">
        <f>IFERROR(__xludf.DUMMYFUNCTION("""COMPUTED_VALUE"""),1.025)</f>
        <v>1.025</v>
      </c>
      <c r="E2039" s="16">
        <f>IFERROR(__xludf.DUMMYFUNCTION("""COMPUTED_VALUE"""),66.0)</f>
        <v>66</v>
      </c>
      <c r="F2039" s="19" t="str">
        <f>IFERROR(__xludf.DUMMYFUNCTION("""COMPUTED_VALUE"""),"BLACK")</f>
        <v>BLACK</v>
      </c>
      <c r="G2039" s="20" t="str">
        <f>IFERROR(__xludf.DUMMYFUNCTION("""COMPUTED_VALUE"""),"Tap 6 Clone (10/15/2021)")</f>
        <v>Tap 6 Clone (10/15/2021)</v>
      </c>
      <c r="H2039" s="19"/>
    </row>
    <row r="2040">
      <c r="A2040" s="9"/>
      <c r="B2040" s="15"/>
      <c r="C2040" s="9">
        <f>IFERROR(__xludf.DUMMYFUNCTION("""COMPUTED_VALUE"""),44490.4257335879)</f>
        <v>44490.42573</v>
      </c>
      <c r="D2040" s="15">
        <f>IFERROR(__xludf.DUMMYFUNCTION("""COMPUTED_VALUE"""),1.025)</f>
        <v>1.025</v>
      </c>
      <c r="E2040" s="16">
        <f>IFERROR(__xludf.DUMMYFUNCTION("""COMPUTED_VALUE"""),66.0)</f>
        <v>66</v>
      </c>
      <c r="F2040" s="19" t="str">
        <f>IFERROR(__xludf.DUMMYFUNCTION("""COMPUTED_VALUE"""),"BLACK")</f>
        <v>BLACK</v>
      </c>
      <c r="G2040" s="20" t="str">
        <f>IFERROR(__xludf.DUMMYFUNCTION("""COMPUTED_VALUE"""),"Tap 6 Clone (10/15/2021)")</f>
        <v>Tap 6 Clone (10/15/2021)</v>
      </c>
      <c r="H2040" s="19"/>
    </row>
    <row r="2041">
      <c r="A2041" s="9"/>
      <c r="B2041" s="15"/>
      <c r="C2041" s="9">
        <f>IFERROR(__xludf.DUMMYFUNCTION("""COMPUTED_VALUE"""),44490.4153115393)</f>
        <v>44490.41531</v>
      </c>
      <c r="D2041" s="15">
        <f>IFERROR(__xludf.DUMMYFUNCTION("""COMPUTED_VALUE"""),1.025)</f>
        <v>1.025</v>
      </c>
      <c r="E2041" s="16">
        <f>IFERROR(__xludf.DUMMYFUNCTION("""COMPUTED_VALUE"""),66.0)</f>
        <v>66</v>
      </c>
      <c r="F2041" s="19" t="str">
        <f>IFERROR(__xludf.DUMMYFUNCTION("""COMPUTED_VALUE"""),"BLACK")</f>
        <v>BLACK</v>
      </c>
      <c r="G2041" s="20" t="str">
        <f>IFERROR(__xludf.DUMMYFUNCTION("""COMPUTED_VALUE"""),"Tap 6 Clone (10/15/2021)")</f>
        <v>Tap 6 Clone (10/15/2021)</v>
      </c>
      <c r="H2041" s="19"/>
    </row>
    <row r="2042">
      <c r="A2042" s="9"/>
      <c r="B2042" s="15"/>
      <c r="C2042" s="9">
        <f>IFERROR(__xludf.DUMMYFUNCTION("""COMPUTED_VALUE"""),44490.4048891898)</f>
        <v>44490.40489</v>
      </c>
      <c r="D2042" s="15">
        <f>IFERROR(__xludf.DUMMYFUNCTION("""COMPUTED_VALUE"""),1.026)</f>
        <v>1.026</v>
      </c>
      <c r="E2042" s="16">
        <f>IFERROR(__xludf.DUMMYFUNCTION("""COMPUTED_VALUE"""),66.0)</f>
        <v>66</v>
      </c>
      <c r="F2042" s="19" t="str">
        <f>IFERROR(__xludf.DUMMYFUNCTION("""COMPUTED_VALUE"""),"BLACK")</f>
        <v>BLACK</v>
      </c>
      <c r="G2042" s="20" t="str">
        <f>IFERROR(__xludf.DUMMYFUNCTION("""COMPUTED_VALUE"""),"Tap 6 Clone (10/15/2021)")</f>
        <v>Tap 6 Clone (10/15/2021)</v>
      </c>
      <c r="H2042" s="19"/>
    </row>
    <row r="2043">
      <c r="A2043" s="9"/>
      <c r="B2043" s="15"/>
      <c r="C2043" s="9">
        <f>IFERROR(__xludf.DUMMYFUNCTION("""COMPUTED_VALUE"""),44490.3944577546)</f>
        <v>44490.39446</v>
      </c>
      <c r="D2043" s="15">
        <f>IFERROR(__xludf.DUMMYFUNCTION("""COMPUTED_VALUE"""),1.026)</f>
        <v>1.026</v>
      </c>
      <c r="E2043" s="16">
        <f>IFERROR(__xludf.DUMMYFUNCTION("""COMPUTED_VALUE"""),66.0)</f>
        <v>66</v>
      </c>
      <c r="F2043" s="19" t="str">
        <f>IFERROR(__xludf.DUMMYFUNCTION("""COMPUTED_VALUE"""),"BLACK")</f>
        <v>BLACK</v>
      </c>
      <c r="G2043" s="20" t="str">
        <f>IFERROR(__xludf.DUMMYFUNCTION("""COMPUTED_VALUE"""),"Tap 6 Clone (10/15/2021)")</f>
        <v>Tap 6 Clone (10/15/2021)</v>
      </c>
      <c r="H2043" s="19"/>
    </row>
    <row r="2044">
      <c r="A2044" s="9"/>
      <c r="B2044" s="15"/>
      <c r="C2044" s="9">
        <f>IFERROR(__xludf.DUMMYFUNCTION("""COMPUTED_VALUE"""),44490.3840356134)</f>
        <v>44490.38404</v>
      </c>
      <c r="D2044" s="15">
        <f>IFERROR(__xludf.DUMMYFUNCTION("""COMPUTED_VALUE"""),1.026)</f>
        <v>1.026</v>
      </c>
      <c r="E2044" s="16">
        <f>IFERROR(__xludf.DUMMYFUNCTION("""COMPUTED_VALUE"""),66.0)</f>
        <v>66</v>
      </c>
      <c r="F2044" s="19" t="str">
        <f>IFERROR(__xludf.DUMMYFUNCTION("""COMPUTED_VALUE"""),"BLACK")</f>
        <v>BLACK</v>
      </c>
      <c r="G2044" s="20" t="str">
        <f>IFERROR(__xludf.DUMMYFUNCTION("""COMPUTED_VALUE"""),"Tap 6 Clone (10/15/2021)")</f>
        <v>Tap 6 Clone (10/15/2021)</v>
      </c>
      <c r="H2044" s="19"/>
    </row>
    <row r="2045">
      <c r="A2045" s="9"/>
      <c r="B2045" s="15"/>
      <c r="C2045" s="9">
        <f>IFERROR(__xludf.DUMMYFUNCTION("""COMPUTED_VALUE"""),44490.3736144444)</f>
        <v>44490.37361</v>
      </c>
      <c r="D2045" s="15">
        <f>IFERROR(__xludf.DUMMYFUNCTION("""COMPUTED_VALUE"""),1.026)</f>
        <v>1.026</v>
      </c>
      <c r="E2045" s="16">
        <f>IFERROR(__xludf.DUMMYFUNCTION("""COMPUTED_VALUE"""),66.0)</f>
        <v>66</v>
      </c>
      <c r="F2045" s="19" t="str">
        <f>IFERROR(__xludf.DUMMYFUNCTION("""COMPUTED_VALUE"""),"BLACK")</f>
        <v>BLACK</v>
      </c>
      <c r="G2045" s="20" t="str">
        <f>IFERROR(__xludf.DUMMYFUNCTION("""COMPUTED_VALUE"""),"Tap 6 Clone (10/15/2021)")</f>
        <v>Tap 6 Clone (10/15/2021)</v>
      </c>
      <c r="H2045" s="19"/>
    </row>
    <row r="2046">
      <c r="A2046" s="9"/>
      <c r="B2046" s="15"/>
      <c r="C2046" s="9">
        <f>IFERROR(__xludf.DUMMYFUNCTION("""COMPUTED_VALUE"""),44490.3631934606)</f>
        <v>44490.36319</v>
      </c>
      <c r="D2046" s="15">
        <f>IFERROR(__xludf.DUMMYFUNCTION("""COMPUTED_VALUE"""),1.026)</f>
        <v>1.026</v>
      </c>
      <c r="E2046" s="16">
        <f>IFERROR(__xludf.DUMMYFUNCTION("""COMPUTED_VALUE"""),66.0)</f>
        <v>66</v>
      </c>
      <c r="F2046" s="19" t="str">
        <f>IFERROR(__xludf.DUMMYFUNCTION("""COMPUTED_VALUE"""),"BLACK")</f>
        <v>BLACK</v>
      </c>
      <c r="G2046" s="20" t="str">
        <f>IFERROR(__xludf.DUMMYFUNCTION("""COMPUTED_VALUE"""),"Tap 6 Clone (10/15/2021)")</f>
        <v>Tap 6 Clone (10/15/2021)</v>
      </c>
      <c r="H2046" s="19"/>
    </row>
    <row r="2047">
      <c r="A2047" s="9"/>
      <c r="B2047" s="15"/>
      <c r="C2047" s="9">
        <f>IFERROR(__xludf.DUMMYFUNCTION("""COMPUTED_VALUE"""),44490.3527722916)</f>
        <v>44490.35277</v>
      </c>
      <c r="D2047" s="15">
        <f>IFERROR(__xludf.DUMMYFUNCTION("""COMPUTED_VALUE"""),1.025)</f>
        <v>1.025</v>
      </c>
      <c r="E2047" s="16">
        <f>IFERROR(__xludf.DUMMYFUNCTION("""COMPUTED_VALUE"""),66.0)</f>
        <v>66</v>
      </c>
      <c r="F2047" s="19" t="str">
        <f>IFERROR(__xludf.DUMMYFUNCTION("""COMPUTED_VALUE"""),"BLACK")</f>
        <v>BLACK</v>
      </c>
      <c r="G2047" s="20" t="str">
        <f>IFERROR(__xludf.DUMMYFUNCTION("""COMPUTED_VALUE"""),"Tap 6 Clone (10/15/2021)")</f>
        <v>Tap 6 Clone (10/15/2021)</v>
      </c>
      <c r="H2047" s="19"/>
    </row>
    <row r="2048">
      <c r="A2048" s="9"/>
      <c r="B2048" s="15"/>
      <c r="C2048" s="9">
        <f>IFERROR(__xludf.DUMMYFUNCTION("""COMPUTED_VALUE"""),44490.3423520254)</f>
        <v>44490.34235</v>
      </c>
      <c r="D2048" s="15">
        <f>IFERROR(__xludf.DUMMYFUNCTION("""COMPUTED_VALUE"""),1.026)</f>
        <v>1.026</v>
      </c>
      <c r="E2048" s="16">
        <f>IFERROR(__xludf.DUMMYFUNCTION("""COMPUTED_VALUE"""),66.0)</f>
        <v>66</v>
      </c>
      <c r="F2048" s="19" t="str">
        <f>IFERROR(__xludf.DUMMYFUNCTION("""COMPUTED_VALUE"""),"BLACK")</f>
        <v>BLACK</v>
      </c>
      <c r="G2048" s="20" t="str">
        <f>IFERROR(__xludf.DUMMYFUNCTION("""COMPUTED_VALUE"""),"Tap 6 Clone (10/15/2021)")</f>
        <v>Tap 6 Clone (10/15/2021)</v>
      </c>
      <c r="H2048" s="19"/>
    </row>
    <row r="2049">
      <c r="A2049" s="9"/>
      <c r="B2049" s="15"/>
      <c r="C2049" s="9">
        <f>IFERROR(__xludf.DUMMYFUNCTION("""COMPUTED_VALUE"""),44490.331931493)</f>
        <v>44490.33193</v>
      </c>
      <c r="D2049" s="15">
        <f>IFERROR(__xludf.DUMMYFUNCTION("""COMPUTED_VALUE"""),1.026)</f>
        <v>1.026</v>
      </c>
      <c r="E2049" s="16">
        <f>IFERROR(__xludf.DUMMYFUNCTION("""COMPUTED_VALUE"""),65.0)</f>
        <v>65</v>
      </c>
      <c r="F2049" s="19" t="str">
        <f>IFERROR(__xludf.DUMMYFUNCTION("""COMPUTED_VALUE"""),"BLACK")</f>
        <v>BLACK</v>
      </c>
      <c r="G2049" s="20" t="str">
        <f>IFERROR(__xludf.DUMMYFUNCTION("""COMPUTED_VALUE"""),"Tap 6 Clone (10/15/2021)")</f>
        <v>Tap 6 Clone (10/15/2021)</v>
      </c>
      <c r="H2049" s="19"/>
    </row>
    <row r="2050">
      <c r="A2050" s="9"/>
      <c r="B2050" s="15"/>
      <c r="C2050" s="9">
        <f>IFERROR(__xludf.DUMMYFUNCTION("""COMPUTED_VALUE"""),44490.3214983796)</f>
        <v>44490.3215</v>
      </c>
      <c r="D2050" s="15">
        <f>IFERROR(__xludf.DUMMYFUNCTION("""COMPUTED_VALUE"""),1.026)</f>
        <v>1.026</v>
      </c>
      <c r="E2050" s="16">
        <f>IFERROR(__xludf.DUMMYFUNCTION("""COMPUTED_VALUE"""),66.0)</f>
        <v>66</v>
      </c>
      <c r="F2050" s="19" t="str">
        <f>IFERROR(__xludf.DUMMYFUNCTION("""COMPUTED_VALUE"""),"BLACK")</f>
        <v>BLACK</v>
      </c>
      <c r="G2050" s="20" t="str">
        <f>IFERROR(__xludf.DUMMYFUNCTION("""COMPUTED_VALUE"""),"Tap 6 Clone (10/15/2021)")</f>
        <v>Tap 6 Clone (10/15/2021)</v>
      </c>
      <c r="H2050" s="19"/>
    </row>
    <row r="2051">
      <c r="A2051" s="9"/>
      <c r="B2051" s="15"/>
      <c r="C2051" s="9">
        <f>IFERROR(__xludf.DUMMYFUNCTION("""COMPUTED_VALUE"""),44490.3110783912)</f>
        <v>44490.31108</v>
      </c>
      <c r="D2051" s="15">
        <f>IFERROR(__xludf.DUMMYFUNCTION("""COMPUTED_VALUE"""),1.025)</f>
        <v>1.025</v>
      </c>
      <c r="E2051" s="16">
        <f>IFERROR(__xludf.DUMMYFUNCTION("""COMPUTED_VALUE"""),65.0)</f>
        <v>65</v>
      </c>
      <c r="F2051" s="19" t="str">
        <f>IFERROR(__xludf.DUMMYFUNCTION("""COMPUTED_VALUE"""),"BLACK")</f>
        <v>BLACK</v>
      </c>
      <c r="G2051" s="20" t="str">
        <f>IFERROR(__xludf.DUMMYFUNCTION("""COMPUTED_VALUE"""),"Tap 6 Clone (10/15/2021)")</f>
        <v>Tap 6 Clone (10/15/2021)</v>
      </c>
      <c r="H2051" s="19"/>
    </row>
    <row r="2052">
      <c r="A2052" s="9"/>
      <c r="B2052" s="15"/>
      <c r="C2052" s="9">
        <f>IFERROR(__xludf.DUMMYFUNCTION("""COMPUTED_VALUE"""),44490.3006572569)</f>
        <v>44490.30066</v>
      </c>
      <c r="D2052" s="15">
        <f>IFERROR(__xludf.DUMMYFUNCTION("""COMPUTED_VALUE"""),1.025)</f>
        <v>1.025</v>
      </c>
      <c r="E2052" s="16">
        <f>IFERROR(__xludf.DUMMYFUNCTION("""COMPUTED_VALUE"""),65.0)</f>
        <v>65</v>
      </c>
      <c r="F2052" s="19" t="str">
        <f>IFERROR(__xludf.DUMMYFUNCTION("""COMPUTED_VALUE"""),"BLACK")</f>
        <v>BLACK</v>
      </c>
      <c r="G2052" s="20" t="str">
        <f>IFERROR(__xludf.DUMMYFUNCTION("""COMPUTED_VALUE"""),"Tap 6 Clone (10/15/2021)")</f>
        <v>Tap 6 Clone (10/15/2021)</v>
      </c>
      <c r="H2052" s="19"/>
    </row>
    <row r="2053">
      <c r="A2053" s="9"/>
      <c r="B2053" s="15"/>
      <c r="C2053" s="9">
        <f>IFERROR(__xludf.DUMMYFUNCTION("""COMPUTED_VALUE"""),44490.2902233564)</f>
        <v>44490.29022</v>
      </c>
      <c r="D2053" s="15">
        <f>IFERROR(__xludf.DUMMYFUNCTION("""COMPUTED_VALUE"""),1.025)</f>
        <v>1.025</v>
      </c>
      <c r="E2053" s="16">
        <f>IFERROR(__xludf.DUMMYFUNCTION("""COMPUTED_VALUE"""),65.0)</f>
        <v>65</v>
      </c>
      <c r="F2053" s="19" t="str">
        <f>IFERROR(__xludf.DUMMYFUNCTION("""COMPUTED_VALUE"""),"BLACK")</f>
        <v>BLACK</v>
      </c>
      <c r="G2053" s="20" t="str">
        <f>IFERROR(__xludf.DUMMYFUNCTION("""COMPUTED_VALUE"""),"Tap 6 Clone (10/15/2021)")</f>
        <v>Tap 6 Clone (10/15/2021)</v>
      </c>
      <c r="H2053" s="19"/>
    </row>
    <row r="2054">
      <c r="A2054" s="9"/>
      <c r="B2054" s="15"/>
      <c r="C2054" s="9">
        <f>IFERROR(__xludf.DUMMYFUNCTION("""COMPUTED_VALUE"""),44490.2798008796)</f>
        <v>44490.2798</v>
      </c>
      <c r="D2054" s="15">
        <f>IFERROR(__xludf.DUMMYFUNCTION("""COMPUTED_VALUE"""),1.025)</f>
        <v>1.025</v>
      </c>
      <c r="E2054" s="16">
        <f>IFERROR(__xludf.DUMMYFUNCTION("""COMPUTED_VALUE"""),65.0)</f>
        <v>65</v>
      </c>
      <c r="F2054" s="19" t="str">
        <f>IFERROR(__xludf.DUMMYFUNCTION("""COMPUTED_VALUE"""),"BLACK")</f>
        <v>BLACK</v>
      </c>
      <c r="G2054" s="20" t="str">
        <f>IFERROR(__xludf.DUMMYFUNCTION("""COMPUTED_VALUE"""),"Tap 6 Clone (10/15/2021)")</f>
        <v>Tap 6 Clone (10/15/2021)</v>
      </c>
      <c r="H2054" s="19"/>
    </row>
    <row r="2055">
      <c r="A2055" s="9"/>
      <c r="B2055" s="15"/>
      <c r="C2055" s="9">
        <f>IFERROR(__xludf.DUMMYFUNCTION("""COMPUTED_VALUE"""),44490.2693786342)</f>
        <v>44490.26938</v>
      </c>
      <c r="D2055" s="15">
        <f>IFERROR(__xludf.DUMMYFUNCTION("""COMPUTED_VALUE"""),1.025)</f>
        <v>1.025</v>
      </c>
      <c r="E2055" s="16">
        <f>IFERROR(__xludf.DUMMYFUNCTION("""COMPUTED_VALUE"""),65.0)</f>
        <v>65</v>
      </c>
      <c r="F2055" s="19" t="str">
        <f>IFERROR(__xludf.DUMMYFUNCTION("""COMPUTED_VALUE"""),"BLACK")</f>
        <v>BLACK</v>
      </c>
      <c r="G2055" s="20" t="str">
        <f>IFERROR(__xludf.DUMMYFUNCTION("""COMPUTED_VALUE"""),"Tap 6 Clone (10/15/2021)")</f>
        <v>Tap 6 Clone (10/15/2021)</v>
      </c>
      <c r="H2055" s="19"/>
    </row>
    <row r="2056">
      <c r="A2056" s="9"/>
      <c r="B2056" s="15"/>
      <c r="C2056" s="9">
        <f>IFERROR(__xludf.DUMMYFUNCTION("""COMPUTED_VALUE"""),44490.2589344097)</f>
        <v>44490.25893</v>
      </c>
      <c r="D2056" s="15">
        <f>IFERROR(__xludf.DUMMYFUNCTION("""COMPUTED_VALUE"""),1.025)</f>
        <v>1.025</v>
      </c>
      <c r="E2056" s="16">
        <f>IFERROR(__xludf.DUMMYFUNCTION("""COMPUTED_VALUE"""),65.0)</f>
        <v>65</v>
      </c>
      <c r="F2056" s="19" t="str">
        <f>IFERROR(__xludf.DUMMYFUNCTION("""COMPUTED_VALUE"""),"BLACK")</f>
        <v>BLACK</v>
      </c>
      <c r="G2056" s="20" t="str">
        <f>IFERROR(__xludf.DUMMYFUNCTION("""COMPUTED_VALUE"""),"Tap 6 Clone (10/15/2021)")</f>
        <v>Tap 6 Clone (10/15/2021)</v>
      </c>
      <c r="H2056" s="19"/>
    </row>
    <row r="2057">
      <c r="A2057" s="9"/>
      <c r="B2057" s="15"/>
      <c r="C2057" s="9">
        <f>IFERROR(__xludf.DUMMYFUNCTION("""COMPUTED_VALUE"""),44490.2484890277)</f>
        <v>44490.24849</v>
      </c>
      <c r="D2057" s="15">
        <f>IFERROR(__xludf.DUMMYFUNCTION("""COMPUTED_VALUE"""),1.026)</f>
        <v>1.026</v>
      </c>
      <c r="E2057" s="16">
        <f>IFERROR(__xludf.DUMMYFUNCTION("""COMPUTED_VALUE"""),65.0)</f>
        <v>65</v>
      </c>
      <c r="F2057" s="19" t="str">
        <f>IFERROR(__xludf.DUMMYFUNCTION("""COMPUTED_VALUE"""),"BLACK")</f>
        <v>BLACK</v>
      </c>
      <c r="G2057" s="20" t="str">
        <f>IFERROR(__xludf.DUMMYFUNCTION("""COMPUTED_VALUE"""),"Tap 6 Clone (10/15/2021)")</f>
        <v>Tap 6 Clone (10/15/2021)</v>
      </c>
      <c r="H2057" s="19"/>
    </row>
    <row r="2058">
      <c r="A2058" s="9"/>
      <c r="B2058" s="15"/>
      <c r="C2058" s="9">
        <f>IFERROR(__xludf.DUMMYFUNCTION("""COMPUTED_VALUE"""),44490.2380672106)</f>
        <v>44490.23807</v>
      </c>
      <c r="D2058" s="15">
        <f>IFERROR(__xludf.DUMMYFUNCTION("""COMPUTED_VALUE"""),1.026)</f>
        <v>1.026</v>
      </c>
      <c r="E2058" s="16">
        <f>IFERROR(__xludf.DUMMYFUNCTION("""COMPUTED_VALUE"""),65.0)</f>
        <v>65</v>
      </c>
      <c r="F2058" s="19" t="str">
        <f>IFERROR(__xludf.DUMMYFUNCTION("""COMPUTED_VALUE"""),"BLACK")</f>
        <v>BLACK</v>
      </c>
      <c r="G2058" s="20" t="str">
        <f>IFERROR(__xludf.DUMMYFUNCTION("""COMPUTED_VALUE"""),"Tap 6 Clone (10/15/2021)")</f>
        <v>Tap 6 Clone (10/15/2021)</v>
      </c>
      <c r="H2058" s="19"/>
    </row>
    <row r="2059">
      <c r="A2059" s="9"/>
      <c r="B2059" s="15"/>
      <c r="C2059" s="9">
        <f>IFERROR(__xludf.DUMMYFUNCTION("""COMPUTED_VALUE"""),44490.2276460185)</f>
        <v>44490.22765</v>
      </c>
      <c r="D2059" s="15">
        <f>IFERROR(__xludf.DUMMYFUNCTION("""COMPUTED_VALUE"""),1.026)</f>
        <v>1.026</v>
      </c>
      <c r="E2059" s="16">
        <f>IFERROR(__xludf.DUMMYFUNCTION("""COMPUTED_VALUE"""),65.0)</f>
        <v>65</v>
      </c>
      <c r="F2059" s="19" t="str">
        <f>IFERROR(__xludf.DUMMYFUNCTION("""COMPUTED_VALUE"""),"BLACK")</f>
        <v>BLACK</v>
      </c>
      <c r="G2059" s="20" t="str">
        <f>IFERROR(__xludf.DUMMYFUNCTION("""COMPUTED_VALUE"""),"Tap 6 Clone (10/15/2021)")</f>
        <v>Tap 6 Clone (10/15/2021)</v>
      </c>
      <c r="H2059" s="19"/>
    </row>
    <row r="2060">
      <c r="A2060" s="9"/>
      <c r="B2060" s="15"/>
      <c r="C2060" s="9">
        <f>IFERROR(__xludf.DUMMYFUNCTION("""COMPUTED_VALUE"""),44490.2172268981)</f>
        <v>44490.21723</v>
      </c>
      <c r="D2060" s="15">
        <f>IFERROR(__xludf.DUMMYFUNCTION("""COMPUTED_VALUE"""),1.026)</f>
        <v>1.026</v>
      </c>
      <c r="E2060" s="16">
        <f>IFERROR(__xludf.DUMMYFUNCTION("""COMPUTED_VALUE"""),65.0)</f>
        <v>65</v>
      </c>
      <c r="F2060" s="19" t="str">
        <f>IFERROR(__xludf.DUMMYFUNCTION("""COMPUTED_VALUE"""),"BLACK")</f>
        <v>BLACK</v>
      </c>
      <c r="G2060" s="20" t="str">
        <f>IFERROR(__xludf.DUMMYFUNCTION("""COMPUTED_VALUE"""),"Tap 6 Clone (10/15/2021)")</f>
        <v>Tap 6 Clone (10/15/2021)</v>
      </c>
      <c r="H2060" s="19"/>
    </row>
    <row r="2061">
      <c r="A2061" s="9"/>
      <c r="B2061" s="15"/>
      <c r="C2061" s="9">
        <f>IFERROR(__xludf.DUMMYFUNCTION("""COMPUTED_VALUE"""),44490.20680625)</f>
        <v>44490.20681</v>
      </c>
      <c r="D2061" s="15">
        <f>IFERROR(__xludf.DUMMYFUNCTION("""COMPUTED_VALUE"""),1.026)</f>
        <v>1.026</v>
      </c>
      <c r="E2061" s="16">
        <f>IFERROR(__xludf.DUMMYFUNCTION("""COMPUTED_VALUE"""),65.0)</f>
        <v>65</v>
      </c>
      <c r="F2061" s="19" t="str">
        <f>IFERROR(__xludf.DUMMYFUNCTION("""COMPUTED_VALUE"""),"BLACK")</f>
        <v>BLACK</v>
      </c>
      <c r="G2061" s="20" t="str">
        <f>IFERROR(__xludf.DUMMYFUNCTION("""COMPUTED_VALUE"""),"Tap 6 Clone (10/15/2021)")</f>
        <v>Tap 6 Clone (10/15/2021)</v>
      </c>
      <c r="H2061" s="19"/>
    </row>
    <row r="2062">
      <c r="A2062" s="9"/>
      <c r="B2062" s="15"/>
      <c r="C2062" s="9">
        <f>IFERROR(__xludf.DUMMYFUNCTION("""COMPUTED_VALUE"""),44490.1963735763)</f>
        <v>44490.19637</v>
      </c>
      <c r="D2062" s="15">
        <f>IFERROR(__xludf.DUMMYFUNCTION("""COMPUTED_VALUE"""),1.026)</f>
        <v>1.026</v>
      </c>
      <c r="E2062" s="16">
        <f>IFERROR(__xludf.DUMMYFUNCTION("""COMPUTED_VALUE"""),65.0)</f>
        <v>65</v>
      </c>
      <c r="F2062" s="19" t="str">
        <f>IFERROR(__xludf.DUMMYFUNCTION("""COMPUTED_VALUE"""),"BLACK")</f>
        <v>BLACK</v>
      </c>
      <c r="G2062" s="20" t="str">
        <f>IFERROR(__xludf.DUMMYFUNCTION("""COMPUTED_VALUE"""),"Tap 6 Clone (10/15/2021)")</f>
        <v>Tap 6 Clone (10/15/2021)</v>
      </c>
      <c r="H2062" s="19"/>
    </row>
    <row r="2063">
      <c r="A2063" s="9"/>
      <c r="B2063" s="15"/>
      <c r="C2063" s="9">
        <f>IFERROR(__xludf.DUMMYFUNCTION("""COMPUTED_VALUE"""),44490.1859518518)</f>
        <v>44490.18595</v>
      </c>
      <c r="D2063" s="15">
        <f>IFERROR(__xludf.DUMMYFUNCTION("""COMPUTED_VALUE"""),1.026)</f>
        <v>1.026</v>
      </c>
      <c r="E2063" s="16">
        <f>IFERROR(__xludf.DUMMYFUNCTION("""COMPUTED_VALUE"""),65.0)</f>
        <v>65</v>
      </c>
      <c r="F2063" s="19" t="str">
        <f>IFERROR(__xludf.DUMMYFUNCTION("""COMPUTED_VALUE"""),"BLACK")</f>
        <v>BLACK</v>
      </c>
      <c r="G2063" s="20" t="str">
        <f>IFERROR(__xludf.DUMMYFUNCTION("""COMPUTED_VALUE"""),"Tap 6 Clone (10/15/2021)")</f>
        <v>Tap 6 Clone (10/15/2021)</v>
      </c>
      <c r="H2063" s="19"/>
    </row>
    <row r="2064">
      <c r="A2064" s="9"/>
      <c r="B2064" s="15"/>
      <c r="C2064" s="9">
        <f>IFERROR(__xludf.DUMMYFUNCTION("""COMPUTED_VALUE"""),44490.1755316203)</f>
        <v>44490.17553</v>
      </c>
      <c r="D2064" s="15">
        <f>IFERROR(__xludf.DUMMYFUNCTION("""COMPUTED_VALUE"""),1.025)</f>
        <v>1.025</v>
      </c>
      <c r="E2064" s="16">
        <f>IFERROR(__xludf.DUMMYFUNCTION("""COMPUTED_VALUE"""),65.0)</f>
        <v>65</v>
      </c>
      <c r="F2064" s="19" t="str">
        <f>IFERROR(__xludf.DUMMYFUNCTION("""COMPUTED_VALUE"""),"BLACK")</f>
        <v>BLACK</v>
      </c>
      <c r="G2064" s="20" t="str">
        <f>IFERROR(__xludf.DUMMYFUNCTION("""COMPUTED_VALUE"""),"Tap 6 Clone (10/15/2021)")</f>
        <v>Tap 6 Clone (10/15/2021)</v>
      </c>
      <c r="H2064" s="19"/>
    </row>
    <row r="2065">
      <c r="A2065" s="9"/>
      <c r="B2065" s="15"/>
      <c r="C2065" s="9">
        <f>IFERROR(__xludf.DUMMYFUNCTION("""COMPUTED_VALUE"""),44490.1651101273)</f>
        <v>44490.16511</v>
      </c>
      <c r="D2065" s="15">
        <f>IFERROR(__xludf.DUMMYFUNCTION("""COMPUTED_VALUE"""),1.025)</f>
        <v>1.025</v>
      </c>
      <c r="E2065" s="16">
        <f>IFERROR(__xludf.DUMMYFUNCTION("""COMPUTED_VALUE"""),65.0)</f>
        <v>65</v>
      </c>
      <c r="F2065" s="19" t="str">
        <f>IFERROR(__xludf.DUMMYFUNCTION("""COMPUTED_VALUE"""),"BLACK")</f>
        <v>BLACK</v>
      </c>
      <c r="G2065" s="20" t="str">
        <f>IFERROR(__xludf.DUMMYFUNCTION("""COMPUTED_VALUE"""),"Tap 6 Clone (10/15/2021)")</f>
        <v>Tap 6 Clone (10/15/2021)</v>
      </c>
      <c r="H2065" s="19"/>
    </row>
    <row r="2066">
      <c r="A2066" s="9"/>
      <c r="B2066" s="15"/>
      <c r="C2066" s="9">
        <f>IFERROR(__xludf.DUMMYFUNCTION("""COMPUTED_VALUE"""),44490.1546777314)</f>
        <v>44490.15468</v>
      </c>
      <c r="D2066" s="15">
        <f>IFERROR(__xludf.DUMMYFUNCTION("""COMPUTED_VALUE"""),1.025)</f>
        <v>1.025</v>
      </c>
      <c r="E2066" s="16">
        <f>IFERROR(__xludf.DUMMYFUNCTION("""COMPUTED_VALUE"""),65.0)</f>
        <v>65</v>
      </c>
      <c r="F2066" s="19" t="str">
        <f>IFERROR(__xludf.DUMMYFUNCTION("""COMPUTED_VALUE"""),"BLACK")</f>
        <v>BLACK</v>
      </c>
      <c r="G2066" s="20" t="str">
        <f>IFERROR(__xludf.DUMMYFUNCTION("""COMPUTED_VALUE"""),"Tap 6 Clone (10/15/2021)")</f>
        <v>Tap 6 Clone (10/15/2021)</v>
      </c>
      <c r="H2066" s="19"/>
    </row>
    <row r="2067">
      <c r="A2067" s="9"/>
      <c r="B2067" s="15"/>
      <c r="C2067" s="9">
        <f>IFERROR(__xludf.DUMMYFUNCTION("""COMPUTED_VALUE"""),44490.1442566088)</f>
        <v>44490.14426</v>
      </c>
      <c r="D2067" s="15">
        <f>IFERROR(__xludf.DUMMYFUNCTION("""COMPUTED_VALUE"""),1.027)</f>
        <v>1.027</v>
      </c>
      <c r="E2067" s="16">
        <f>IFERROR(__xludf.DUMMYFUNCTION("""COMPUTED_VALUE"""),65.0)</f>
        <v>65</v>
      </c>
      <c r="F2067" s="19" t="str">
        <f>IFERROR(__xludf.DUMMYFUNCTION("""COMPUTED_VALUE"""),"BLACK")</f>
        <v>BLACK</v>
      </c>
      <c r="G2067" s="20" t="str">
        <f>IFERROR(__xludf.DUMMYFUNCTION("""COMPUTED_VALUE"""),"Tap 6 Clone (10/15/2021)")</f>
        <v>Tap 6 Clone (10/15/2021)</v>
      </c>
      <c r="H2067" s="19"/>
    </row>
    <row r="2068">
      <c r="A2068" s="9"/>
      <c r="B2068" s="15"/>
      <c r="C2068" s="9">
        <f>IFERROR(__xludf.DUMMYFUNCTION("""COMPUTED_VALUE"""),44490.1338347453)</f>
        <v>44490.13383</v>
      </c>
      <c r="D2068" s="15">
        <f>IFERROR(__xludf.DUMMYFUNCTION("""COMPUTED_VALUE"""),1.028)</f>
        <v>1.028</v>
      </c>
      <c r="E2068" s="16">
        <f>IFERROR(__xludf.DUMMYFUNCTION("""COMPUTED_VALUE"""),65.0)</f>
        <v>65</v>
      </c>
      <c r="F2068" s="19" t="str">
        <f>IFERROR(__xludf.DUMMYFUNCTION("""COMPUTED_VALUE"""),"BLACK")</f>
        <v>BLACK</v>
      </c>
      <c r="G2068" s="20" t="str">
        <f>IFERROR(__xludf.DUMMYFUNCTION("""COMPUTED_VALUE"""),"Tap 6 Clone (10/15/2021)")</f>
        <v>Tap 6 Clone (10/15/2021)</v>
      </c>
      <c r="H2068" s="19"/>
    </row>
    <row r="2069">
      <c r="A2069" s="9"/>
      <c r="B2069" s="15"/>
      <c r="C2069" s="9">
        <f>IFERROR(__xludf.DUMMYFUNCTION("""COMPUTED_VALUE"""),44490.1234144328)</f>
        <v>44490.12341</v>
      </c>
      <c r="D2069" s="15">
        <f>IFERROR(__xludf.DUMMYFUNCTION("""COMPUTED_VALUE"""),1.028)</f>
        <v>1.028</v>
      </c>
      <c r="E2069" s="16">
        <f>IFERROR(__xludf.DUMMYFUNCTION("""COMPUTED_VALUE"""),65.0)</f>
        <v>65</v>
      </c>
      <c r="F2069" s="19" t="str">
        <f>IFERROR(__xludf.DUMMYFUNCTION("""COMPUTED_VALUE"""),"BLACK")</f>
        <v>BLACK</v>
      </c>
      <c r="G2069" s="20" t="str">
        <f>IFERROR(__xludf.DUMMYFUNCTION("""COMPUTED_VALUE"""),"Tap 6 Clone (10/15/2021)")</f>
        <v>Tap 6 Clone (10/15/2021)</v>
      </c>
      <c r="H2069" s="19"/>
    </row>
    <row r="2070">
      <c r="A2070" s="9"/>
      <c r="B2070" s="15"/>
      <c r="C2070" s="9">
        <f>IFERROR(__xludf.DUMMYFUNCTION("""COMPUTED_VALUE"""),44490.1129933101)</f>
        <v>44490.11299</v>
      </c>
      <c r="D2070" s="15">
        <f>IFERROR(__xludf.DUMMYFUNCTION("""COMPUTED_VALUE"""),1.028)</f>
        <v>1.028</v>
      </c>
      <c r="E2070" s="16">
        <f>IFERROR(__xludf.DUMMYFUNCTION("""COMPUTED_VALUE"""),65.0)</f>
        <v>65</v>
      </c>
      <c r="F2070" s="19" t="str">
        <f>IFERROR(__xludf.DUMMYFUNCTION("""COMPUTED_VALUE"""),"BLACK")</f>
        <v>BLACK</v>
      </c>
      <c r="G2070" s="20" t="str">
        <f>IFERROR(__xludf.DUMMYFUNCTION("""COMPUTED_VALUE"""),"Tap 6 Clone (10/15/2021)")</f>
        <v>Tap 6 Clone (10/15/2021)</v>
      </c>
      <c r="H2070" s="19"/>
    </row>
    <row r="2071">
      <c r="A2071" s="9"/>
      <c r="B2071" s="15"/>
      <c r="C2071" s="9">
        <f>IFERROR(__xludf.DUMMYFUNCTION("""COMPUTED_VALUE"""),44490.1025704629)</f>
        <v>44490.10257</v>
      </c>
      <c r="D2071" s="15">
        <f>IFERROR(__xludf.DUMMYFUNCTION("""COMPUTED_VALUE"""),1.029)</f>
        <v>1.029</v>
      </c>
      <c r="E2071" s="16">
        <f>IFERROR(__xludf.DUMMYFUNCTION("""COMPUTED_VALUE"""),65.0)</f>
        <v>65</v>
      </c>
      <c r="F2071" s="19" t="str">
        <f>IFERROR(__xludf.DUMMYFUNCTION("""COMPUTED_VALUE"""),"BLACK")</f>
        <v>BLACK</v>
      </c>
      <c r="G2071" s="20" t="str">
        <f>IFERROR(__xludf.DUMMYFUNCTION("""COMPUTED_VALUE"""),"Tap 6 Clone (10/15/2021)")</f>
        <v>Tap 6 Clone (10/15/2021)</v>
      </c>
      <c r="H2071" s="19"/>
    </row>
    <row r="2072">
      <c r="A2072" s="9"/>
      <c r="B2072" s="15"/>
      <c r="C2072" s="9">
        <f>IFERROR(__xludf.DUMMYFUNCTION("""COMPUTED_VALUE"""),44490.0921492245)</f>
        <v>44490.09215</v>
      </c>
      <c r="D2072" s="15">
        <f>IFERROR(__xludf.DUMMYFUNCTION("""COMPUTED_VALUE"""),1.029)</f>
        <v>1.029</v>
      </c>
      <c r="E2072" s="16">
        <f>IFERROR(__xludf.DUMMYFUNCTION("""COMPUTED_VALUE"""),65.0)</f>
        <v>65</v>
      </c>
      <c r="F2072" s="19" t="str">
        <f>IFERROR(__xludf.DUMMYFUNCTION("""COMPUTED_VALUE"""),"BLACK")</f>
        <v>BLACK</v>
      </c>
      <c r="G2072" s="20" t="str">
        <f>IFERROR(__xludf.DUMMYFUNCTION("""COMPUTED_VALUE"""),"Tap 6 Clone (10/15/2021)")</f>
        <v>Tap 6 Clone (10/15/2021)</v>
      </c>
      <c r="H2072" s="19"/>
    </row>
    <row r="2073">
      <c r="A2073" s="9"/>
      <c r="B2073" s="15"/>
      <c r="C2073" s="9">
        <f>IFERROR(__xludf.DUMMYFUNCTION("""COMPUTED_VALUE"""),44490.0817281597)</f>
        <v>44490.08173</v>
      </c>
      <c r="D2073" s="15">
        <f>IFERROR(__xludf.DUMMYFUNCTION("""COMPUTED_VALUE"""),1.029)</f>
        <v>1.029</v>
      </c>
      <c r="E2073" s="16">
        <f>IFERROR(__xludf.DUMMYFUNCTION("""COMPUTED_VALUE"""),65.0)</f>
        <v>65</v>
      </c>
      <c r="F2073" s="19" t="str">
        <f>IFERROR(__xludf.DUMMYFUNCTION("""COMPUTED_VALUE"""),"BLACK")</f>
        <v>BLACK</v>
      </c>
      <c r="G2073" s="20" t="str">
        <f>IFERROR(__xludf.DUMMYFUNCTION("""COMPUTED_VALUE"""),"Tap 6 Clone (10/15/2021)")</f>
        <v>Tap 6 Clone (10/15/2021)</v>
      </c>
      <c r="H2073" s="19"/>
    </row>
    <row r="2074">
      <c r="A2074" s="9"/>
      <c r="B2074" s="15"/>
      <c r="C2074" s="9">
        <f>IFERROR(__xludf.DUMMYFUNCTION("""COMPUTED_VALUE"""),44490.071306875)</f>
        <v>44490.07131</v>
      </c>
      <c r="D2074" s="15">
        <f>IFERROR(__xludf.DUMMYFUNCTION("""COMPUTED_VALUE"""),1.029)</f>
        <v>1.029</v>
      </c>
      <c r="E2074" s="16">
        <f>IFERROR(__xludf.DUMMYFUNCTION("""COMPUTED_VALUE"""),65.0)</f>
        <v>65</v>
      </c>
      <c r="F2074" s="19" t="str">
        <f>IFERROR(__xludf.DUMMYFUNCTION("""COMPUTED_VALUE"""),"BLACK")</f>
        <v>BLACK</v>
      </c>
      <c r="G2074" s="20" t="str">
        <f>IFERROR(__xludf.DUMMYFUNCTION("""COMPUTED_VALUE"""),"Tap 6 Clone (10/15/2021)")</f>
        <v>Tap 6 Clone (10/15/2021)</v>
      </c>
      <c r="H2074" s="19"/>
    </row>
    <row r="2075">
      <c r="A2075" s="9"/>
      <c r="B2075" s="15"/>
      <c r="C2075" s="9">
        <f>IFERROR(__xludf.DUMMYFUNCTION("""COMPUTED_VALUE"""),44490.0608747106)</f>
        <v>44490.06087</v>
      </c>
      <c r="D2075" s="15">
        <f>IFERROR(__xludf.DUMMYFUNCTION("""COMPUTED_VALUE"""),1.029)</f>
        <v>1.029</v>
      </c>
      <c r="E2075" s="16">
        <f>IFERROR(__xludf.DUMMYFUNCTION("""COMPUTED_VALUE"""),65.0)</f>
        <v>65</v>
      </c>
      <c r="F2075" s="19" t="str">
        <f>IFERROR(__xludf.DUMMYFUNCTION("""COMPUTED_VALUE"""),"BLACK")</f>
        <v>BLACK</v>
      </c>
      <c r="G2075" s="20" t="str">
        <f>IFERROR(__xludf.DUMMYFUNCTION("""COMPUTED_VALUE"""),"Tap 6 Clone (10/15/2021)")</f>
        <v>Tap 6 Clone (10/15/2021)</v>
      </c>
      <c r="H2075" s="19"/>
    </row>
    <row r="2076">
      <c r="A2076" s="9"/>
      <c r="B2076" s="15"/>
      <c r="C2076" s="9">
        <f>IFERROR(__xludf.DUMMYFUNCTION("""COMPUTED_VALUE"""),44490.0504520254)</f>
        <v>44490.05045</v>
      </c>
      <c r="D2076" s="15">
        <f>IFERROR(__xludf.DUMMYFUNCTION("""COMPUTED_VALUE"""),1.03)</f>
        <v>1.03</v>
      </c>
      <c r="E2076" s="16">
        <f>IFERROR(__xludf.DUMMYFUNCTION("""COMPUTED_VALUE"""),65.0)</f>
        <v>65</v>
      </c>
      <c r="F2076" s="19" t="str">
        <f>IFERROR(__xludf.DUMMYFUNCTION("""COMPUTED_VALUE"""),"BLACK")</f>
        <v>BLACK</v>
      </c>
      <c r="G2076" s="20" t="str">
        <f>IFERROR(__xludf.DUMMYFUNCTION("""COMPUTED_VALUE"""),"Tap 6 Clone (10/15/2021)")</f>
        <v>Tap 6 Clone (10/15/2021)</v>
      </c>
      <c r="H2076" s="19"/>
    </row>
    <row r="2077">
      <c r="A2077" s="9"/>
      <c r="B2077" s="15"/>
      <c r="C2077" s="9">
        <f>IFERROR(__xludf.DUMMYFUNCTION("""COMPUTED_VALUE"""),44490.0400299537)</f>
        <v>44490.04003</v>
      </c>
      <c r="D2077" s="15">
        <f>IFERROR(__xludf.DUMMYFUNCTION("""COMPUTED_VALUE"""),1.029)</f>
        <v>1.029</v>
      </c>
      <c r="E2077" s="16">
        <f>IFERROR(__xludf.DUMMYFUNCTION("""COMPUTED_VALUE"""),65.0)</f>
        <v>65</v>
      </c>
      <c r="F2077" s="19" t="str">
        <f>IFERROR(__xludf.DUMMYFUNCTION("""COMPUTED_VALUE"""),"BLACK")</f>
        <v>BLACK</v>
      </c>
      <c r="G2077" s="20" t="str">
        <f>IFERROR(__xludf.DUMMYFUNCTION("""COMPUTED_VALUE"""),"Tap 6 Clone (10/15/2021)")</f>
        <v>Tap 6 Clone (10/15/2021)</v>
      </c>
      <c r="H2077" s="19"/>
    </row>
    <row r="2078">
      <c r="A2078" s="9"/>
      <c r="B2078" s="15"/>
      <c r="C2078" s="9">
        <f>IFERROR(__xludf.DUMMYFUNCTION("""COMPUTED_VALUE"""),44490.0295984259)</f>
        <v>44490.0296</v>
      </c>
      <c r="D2078" s="15">
        <f>IFERROR(__xludf.DUMMYFUNCTION("""COMPUTED_VALUE"""),1.029)</f>
        <v>1.029</v>
      </c>
      <c r="E2078" s="16">
        <f>IFERROR(__xludf.DUMMYFUNCTION("""COMPUTED_VALUE"""),65.0)</f>
        <v>65</v>
      </c>
      <c r="F2078" s="19" t="str">
        <f>IFERROR(__xludf.DUMMYFUNCTION("""COMPUTED_VALUE"""),"BLACK")</f>
        <v>BLACK</v>
      </c>
      <c r="G2078" s="20" t="str">
        <f>IFERROR(__xludf.DUMMYFUNCTION("""COMPUTED_VALUE"""),"Tap 6 Clone (10/15/2021)")</f>
        <v>Tap 6 Clone (10/15/2021)</v>
      </c>
      <c r="H2078" s="19"/>
    </row>
    <row r="2079">
      <c r="A2079" s="9"/>
      <c r="B2079" s="15"/>
      <c r="C2079" s="9">
        <f>IFERROR(__xludf.DUMMYFUNCTION("""COMPUTED_VALUE"""),44490.0191777083)</f>
        <v>44490.01918</v>
      </c>
      <c r="D2079" s="15">
        <f>IFERROR(__xludf.DUMMYFUNCTION("""COMPUTED_VALUE"""),1.029)</f>
        <v>1.029</v>
      </c>
      <c r="E2079" s="16">
        <f>IFERROR(__xludf.DUMMYFUNCTION("""COMPUTED_VALUE"""),65.0)</f>
        <v>65</v>
      </c>
      <c r="F2079" s="19" t="str">
        <f>IFERROR(__xludf.DUMMYFUNCTION("""COMPUTED_VALUE"""),"BLACK")</f>
        <v>BLACK</v>
      </c>
      <c r="G2079" s="20" t="str">
        <f>IFERROR(__xludf.DUMMYFUNCTION("""COMPUTED_VALUE"""),"Tap 6 Clone (10/15/2021)")</f>
        <v>Tap 6 Clone (10/15/2021)</v>
      </c>
      <c r="H2079" s="19"/>
    </row>
    <row r="2080">
      <c r="A2080" s="9"/>
      <c r="B2080" s="15"/>
      <c r="C2080" s="9">
        <f>IFERROR(__xludf.DUMMYFUNCTION("""COMPUTED_VALUE"""),44490.0087554976)</f>
        <v>44490.00876</v>
      </c>
      <c r="D2080" s="15">
        <f>IFERROR(__xludf.DUMMYFUNCTION("""COMPUTED_VALUE"""),1.03)</f>
        <v>1.03</v>
      </c>
      <c r="E2080" s="16">
        <f>IFERROR(__xludf.DUMMYFUNCTION("""COMPUTED_VALUE"""),65.0)</f>
        <v>65</v>
      </c>
      <c r="F2080" s="19" t="str">
        <f>IFERROR(__xludf.DUMMYFUNCTION("""COMPUTED_VALUE"""),"BLACK")</f>
        <v>BLACK</v>
      </c>
      <c r="G2080" s="20" t="str">
        <f>IFERROR(__xludf.DUMMYFUNCTION("""COMPUTED_VALUE"""),"Tap 6 Clone (10/15/2021)")</f>
        <v>Tap 6 Clone (10/15/2021)</v>
      </c>
      <c r="H2080" s="19"/>
    </row>
    <row r="2081">
      <c r="A2081" s="9"/>
      <c r="B2081" s="15"/>
      <c r="C2081" s="9">
        <f>IFERROR(__xludf.DUMMYFUNCTION("""COMPUTED_VALUE"""),44489.9983359259)</f>
        <v>44489.99834</v>
      </c>
      <c r="D2081" s="15">
        <f>IFERROR(__xludf.DUMMYFUNCTION("""COMPUTED_VALUE"""),1.03)</f>
        <v>1.03</v>
      </c>
      <c r="E2081" s="16">
        <f>IFERROR(__xludf.DUMMYFUNCTION("""COMPUTED_VALUE"""),65.0)</f>
        <v>65</v>
      </c>
      <c r="F2081" s="19" t="str">
        <f>IFERROR(__xludf.DUMMYFUNCTION("""COMPUTED_VALUE"""),"BLACK")</f>
        <v>BLACK</v>
      </c>
      <c r="G2081" s="20" t="str">
        <f>IFERROR(__xludf.DUMMYFUNCTION("""COMPUTED_VALUE"""),"Tap 6 Clone (10/15/2021)")</f>
        <v>Tap 6 Clone (10/15/2021)</v>
      </c>
      <c r="H2081" s="19"/>
    </row>
    <row r="2082">
      <c r="A2082" s="9"/>
      <c r="B2082" s="15"/>
      <c r="C2082" s="9">
        <f>IFERROR(__xludf.DUMMYFUNCTION("""COMPUTED_VALUE"""),44489.9879146527)</f>
        <v>44489.98791</v>
      </c>
      <c r="D2082" s="15">
        <f>IFERROR(__xludf.DUMMYFUNCTION("""COMPUTED_VALUE"""),1.03)</f>
        <v>1.03</v>
      </c>
      <c r="E2082" s="16">
        <f>IFERROR(__xludf.DUMMYFUNCTION("""COMPUTED_VALUE"""),65.0)</f>
        <v>65</v>
      </c>
      <c r="F2082" s="19" t="str">
        <f>IFERROR(__xludf.DUMMYFUNCTION("""COMPUTED_VALUE"""),"BLACK")</f>
        <v>BLACK</v>
      </c>
      <c r="G2082" s="20" t="str">
        <f>IFERROR(__xludf.DUMMYFUNCTION("""COMPUTED_VALUE"""),"Tap 6 Clone (10/15/2021)")</f>
        <v>Tap 6 Clone (10/15/2021)</v>
      </c>
      <c r="H2082" s="19"/>
    </row>
    <row r="2083">
      <c r="A2083" s="9"/>
      <c r="B2083" s="15"/>
      <c r="C2083" s="9">
        <f>IFERROR(__xludf.DUMMYFUNCTION("""COMPUTED_VALUE"""),44489.9774938425)</f>
        <v>44489.97749</v>
      </c>
      <c r="D2083" s="15">
        <f>IFERROR(__xludf.DUMMYFUNCTION("""COMPUTED_VALUE"""),1.03)</f>
        <v>1.03</v>
      </c>
      <c r="E2083" s="16">
        <f>IFERROR(__xludf.DUMMYFUNCTION("""COMPUTED_VALUE"""),65.0)</f>
        <v>65</v>
      </c>
      <c r="F2083" s="19" t="str">
        <f>IFERROR(__xludf.DUMMYFUNCTION("""COMPUTED_VALUE"""),"BLACK")</f>
        <v>BLACK</v>
      </c>
      <c r="G2083" s="20" t="str">
        <f>IFERROR(__xludf.DUMMYFUNCTION("""COMPUTED_VALUE"""),"Tap 6 Clone (10/15/2021)")</f>
        <v>Tap 6 Clone (10/15/2021)</v>
      </c>
      <c r="H2083" s="19"/>
    </row>
    <row r="2084">
      <c r="A2084" s="9"/>
      <c r="B2084" s="15"/>
      <c r="C2084" s="9">
        <f>IFERROR(__xludf.DUMMYFUNCTION("""COMPUTED_VALUE"""),44489.9670720949)</f>
        <v>44489.96707</v>
      </c>
      <c r="D2084" s="15">
        <f>IFERROR(__xludf.DUMMYFUNCTION("""COMPUTED_VALUE"""),1.03)</f>
        <v>1.03</v>
      </c>
      <c r="E2084" s="16">
        <f>IFERROR(__xludf.DUMMYFUNCTION("""COMPUTED_VALUE"""),65.0)</f>
        <v>65</v>
      </c>
      <c r="F2084" s="19" t="str">
        <f>IFERROR(__xludf.DUMMYFUNCTION("""COMPUTED_VALUE"""),"BLACK")</f>
        <v>BLACK</v>
      </c>
      <c r="G2084" s="20" t="str">
        <f>IFERROR(__xludf.DUMMYFUNCTION("""COMPUTED_VALUE"""),"Tap 6 Clone (10/15/2021)")</f>
        <v>Tap 6 Clone (10/15/2021)</v>
      </c>
      <c r="H2084" s="19"/>
    </row>
    <row r="2085">
      <c r="A2085" s="9"/>
      <c r="B2085" s="15"/>
      <c r="C2085" s="9">
        <f>IFERROR(__xludf.DUMMYFUNCTION("""COMPUTED_VALUE"""),44489.9566521412)</f>
        <v>44489.95665</v>
      </c>
      <c r="D2085" s="15">
        <f>IFERROR(__xludf.DUMMYFUNCTION("""COMPUTED_VALUE"""),1.03)</f>
        <v>1.03</v>
      </c>
      <c r="E2085" s="16">
        <f>IFERROR(__xludf.DUMMYFUNCTION("""COMPUTED_VALUE"""),65.0)</f>
        <v>65</v>
      </c>
      <c r="F2085" s="19" t="str">
        <f>IFERROR(__xludf.DUMMYFUNCTION("""COMPUTED_VALUE"""),"BLACK")</f>
        <v>BLACK</v>
      </c>
      <c r="G2085" s="20" t="str">
        <f>IFERROR(__xludf.DUMMYFUNCTION("""COMPUTED_VALUE"""),"Tap 6 Clone (10/15/2021)")</f>
        <v>Tap 6 Clone (10/15/2021)</v>
      </c>
      <c r="H2085" s="19"/>
    </row>
    <row r="2086">
      <c r="A2086" s="9"/>
      <c r="B2086" s="15"/>
      <c r="C2086" s="9">
        <f>IFERROR(__xludf.DUMMYFUNCTION("""COMPUTED_VALUE"""),44489.9462326273)</f>
        <v>44489.94623</v>
      </c>
      <c r="D2086" s="15">
        <f>IFERROR(__xludf.DUMMYFUNCTION("""COMPUTED_VALUE"""),1.03)</f>
        <v>1.03</v>
      </c>
      <c r="E2086" s="16">
        <f>IFERROR(__xludf.DUMMYFUNCTION("""COMPUTED_VALUE"""),65.0)</f>
        <v>65</v>
      </c>
      <c r="F2086" s="19" t="str">
        <f>IFERROR(__xludf.DUMMYFUNCTION("""COMPUTED_VALUE"""),"BLACK")</f>
        <v>BLACK</v>
      </c>
      <c r="G2086" s="20" t="str">
        <f>IFERROR(__xludf.DUMMYFUNCTION("""COMPUTED_VALUE"""),"Tap 6 Clone (10/15/2021)")</f>
        <v>Tap 6 Clone (10/15/2021)</v>
      </c>
      <c r="H2086" s="19"/>
    </row>
    <row r="2087">
      <c r="A2087" s="9"/>
      <c r="B2087" s="15"/>
      <c r="C2087" s="9">
        <f>IFERROR(__xludf.DUMMYFUNCTION("""COMPUTED_VALUE"""),44489.9358101504)</f>
        <v>44489.93581</v>
      </c>
      <c r="D2087" s="15">
        <f>IFERROR(__xludf.DUMMYFUNCTION("""COMPUTED_VALUE"""),1.03)</f>
        <v>1.03</v>
      </c>
      <c r="E2087" s="16">
        <f>IFERROR(__xludf.DUMMYFUNCTION("""COMPUTED_VALUE"""),65.0)</f>
        <v>65</v>
      </c>
      <c r="F2087" s="19" t="str">
        <f>IFERROR(__xludf.DUMMYFUNCTION("""COMPUTED_VALUE"""),"BLACK")</f>
        <v>BLACK</v>
      </c>
      <c r="G2087" s="20" t="str">
        <f>IFERROR(__xludf.DUMMYFUNCTION("""COMPUTED_VALUE"""),"Tap 6 Clone (10/15/2021)")</f>
        <v>Tap 6 Clone (10/15/2021)</v>
      </c>
      <c r="H2087" s="19"/>
    </row>
    <row r="2088">
      <c r="A2088" s="9"/>
      <c r="B2088" s="15"/>
      <c r="C2088" s="9">
        <f>IFERROR(__xludf.DUMMYFUNCTION("""COMPUTED_VALUE"""),44489.9253790046)</f>
        <v>44489.92538</v>
      </c>
      <c r="D2088" s="15">
        <f>IFERROR(__xludf.DUMMYFUNCTION("""COMPUTED_VALUE"""),1.03)</f>
        <v>1.03</v>
      </c>
      <c r="E2088" s="16">
        <f>IFERROR(__xludf.DUMMYFUNCTION("""COMPUTED_VALUE"""),65.0)</f>
        <v>65</v>
      </c>
      <c r="F2088" s="19" t="str">
        <f>IFERROR(__xludf.DUMMYFUNCTION("""COMPUTED_VALUE"""),"BLACK")</f>
        <v>BLACK</v>
      </c>
      <c r="G2088" s="20" t="str">
        <f>IFERROR(__xludf.DUMMYFUNCTION("""COMPUTED_VALUE"""),"Tap 6 Clone (10/15/2021)")</f>
        <v>Tap 6 Clone (10/15/2021)</v>
      </c>
      <c r="H2088" s="19"/>
    </row>
    <row r="2089">
      <c r="A2089" s="9"/>
      <c r="B2089" s="15"/>
      <c r="C2089" s="9">
        <f>IFERROR(__xludf.DUMMYFUNCTION("""COMPUTED_VALUE"""),44489.9149587037)</f>
        <v>44489.91496</v>
      </c>
      <c r="D2089" s="15">
        <f>IFERROR(__xludf.DUMMYFUNCTION("""COMPUTED_VALUE"""),1.029)</f>
        <v>1.029</v>
      </c>
      <c r="E2089" s="16">
        <f>IFERROR(__xludf.DUMMYFUNCTION("""COMPUTED_VALUE"""),65.0)</f>
        <v>65</v>
      </c>
      <c r="F2089" s="19" t="str">
        <f>IFERROR(__xludf.DUMMYFUNCTION("""COMPUTED_VALUE"""),"BLACK")</f>
        <v>BLACK</v>
      </c>
      <c r="G2089" s="20" t="str">
        <f>IFERROR(__xludf.DUMMYFUNCTION("""COMPUTED_VALUE"""),"Tap 6 Clone (10/15/2021)")</f>
        <v>Tap 6 Clone (10/15/2021)</v>
      </c>
      <c r="H2089" s="19"/>
    </row>
    <row r="2090">
      <c r="A2090" s="9"/>
      <c r="B2090" s="15"/>
      <c r="C2090" s="9">
        <f>IFERROR(__xludf.DUMMYFUNCTION("""COMPUTED_VALUE"""),44489.9045373263)</f>
        <v>44489.90454</v>
      </c>
      <c r="D2090" s="15">
        <f>IFERROR(__xludf.DUMMYFUNCTION("""COMPUTED_VALUE"""),1.029)</f>
        <v>1.029</v>
      </c>
      <c r="E2090" s="16">
        <f>IFERROR(__xludf.DUMMYFUNCTION("""COMPUTED_VALUE"""),64.0)</f>
        <v>64</v>
      </c>
      <c r="F2090" s="19" t="str">
        <f>IFERROR(__xludf.DUMMYFUNCTION("""COMPUTED_VALUE"""),"BLACK")</f>
        <v>BLACK</v>
      </c>
      <c r="G2090" s="20" t="str">
        <f>IFERROR(__xludf.DUMMYFUNCTION("""COMPUTED_VALUE"""),"Tap 6 Clone (10/15/2021)")</f>
        <v>Tap 6 Clone (10/15/2021)</v>
      </c>
      <c r="H2090" s="19"/>
    </row>
    <row r="2091">
      <c r="A2091" s="9"/>
      <c r="B2091" s="15"/>
      <c r="C2091" s="9">
        <f>IFERROR(__xludf.DUMMYFUNCTION("""COMPUTED_VALUE"""),44489.8941046875)</f>
        <v>44489.8941</v>
      </c>
      <c r="D2091" s="15">
        <f>IFERROR(__xludf.DUMMYFUNCTION("""COMPUTED_VALUE"""),1.029)</f>
        <v>1.029</v>
      </c>
      <c r="E2091" s="16">
        <f>IFERROR(__xludf.DUMMYFUNCTION("""COMPUTED_VALUE"""),64.0)</f>
        <v>64</v>
      </c>
      <c r="F2091" s="19" t="str">
        <f>IFERROR(__xludf.DUMMYFUNCTION("""COMPUTED_VALUE"""),"BLACK")</f>
        <v>BLACK</v>
      </c>
      <c r="G2091" s="20" t="str">
        <f>IFERROR(__xludf.DUMMYFUNCTION("""COMPUTED_VALUE"""),"Tap 6 Clone (10/15/2021)")</f>
        <v>Tap 6 Clone (10/15/2021)</v>
      </c>
      <c r="H2091" s="19"/>
    </row>
    <row r="2092">
      <c r="A2092" s="9"/>
      <c r="B2092" s="15"/>
      <c r="C2092" s="9">
        <f>IFERROR(__xludf.DUMMYFUNCTION("""COMPUTED_VALUE"""),44489.8836810185)</f>
        <v>44489.88368</v>
      </c>
      <c r="D2092" s="15">
        <f>IFERROR(__xludf.DUMMYFUNCTION("""COMPUTED_VALUE"""),1.029)</f>
        <v>1.029</v>
      </c>
      <c r="E2092" s="16">
        <f>IFERROR(__xludf.DUMMYFUNCTION("""COMPUTED_VALUE"""),64.0)</f>
        <v>64</v>
      </c>
      <c r="F2092" s="19" t="str">
        <f>IFERROR(__xludf.DUMMYFUNCTION("""COMPUTED_VALUE"""),"BLACK")</f>
        <v>BLACK</v>
      </c>
      <c r="G2092" s="20" t="str">
        <f>IFERROR(__xludf.DUMMYFUNCTION("""COMPUTED_VALUE"""),"Tap 6 Clone (10/15/2021)")</f>
        <v>Tap 6 Clone (10/15/2021)</v>
      </c>
      <c r="H2092" s="19"/>
    </row>
    <row r="2093">
      <c r="A2093" s="9"/>
      <c r="B2093" s="15"/>
      <c r="C2093" s="9">
        <f>IFERROR(__xludf.DUMMYFUNCTION("""COMPUTED_VALUE"""),44489.8732606134)</f>
        <v>44489.87326</v>
      </c>
      <c r="D2093" s="15">
        <f>IFERROR(__xludf.DUMMYFUNCTION("""COMPUTED_VALUE"""),1.03)</f>
        <v>1.03</v>
      </c>
      <c r="E2093" s="16">
        <f>IFERROR(__xludf.DUMMYFUNCTION("""COMPUTED_VALUE"""),64.0)</f>
        <v>64</v>
      </c>
      <c r="F2093" s="19" t="str">
        <f>IFERROR(__xludf.DUMMYFUNCTION("""COMPUTED_VALUE"""),"BLACK")</f>
        <v>BLACK</v>
      </c>
      <c r="G2093" s="20" t="str">
        <f>IFERROR(__xludf.DUMMYFUNCTION("""COMPUTED_VALUE"""),"Tap 6 Clone (10/15/2021)")</f>
        <v>Tap 6 Clone (10/15/2021)</v>
      </c>
      <c r="H2093" s="19"/>
    </row>
    <row r="2094">
      <c r="A2094" s="9"/>
      <c r="B2094" s="15"/>
      <c r="C2094" s="9">
        <f>IFERROR(__xludf.DUMMYFUNCTION("""COMPUTED_VALUE"""),44489.8628395833)</f>
        <v>44489.86284</v>
      </c>
      <c r="D2094" s="15">
        <f>IFERROR(__xludf.DUMMYFUNCTION("""COMPUTED_VALUE"""),1.03)</f>
        <v>1.03</v>
      </c>
      <c r="E2094" s="16">
        <f>IFERROR(__xludf.DUMMYFUNCTION("""COMPUTED_VALUE"""),64.0)</f>
        <v>64</v>
      </c>
      <c r="F2094" s="19" t="str">
        <f>IFERROR(__xludf.DUMMYFUNCTION("""COMPUTED_VALUE"""),"BLACK")</f>
        <v>BLACK</v>
      </c>
      <c r="G2094" s="20" t="str">
        <f>IFERROR(__xludf.DUMMYFUNCTION("""COMPUTED_VALUE"""),"Tap 6 Clone (10/15/2021)")</f>
        <v>Tap 6 Clone (10/15/2021)</v>
      </c>
      <c r="H2094" s="19"/>
    </row>
    <row r="2095">
      <c r="A2095" s="9"/>
      <c r="B2095" s="15"/>
      <c r="C2095" s="9">
        <f>IFERROR(__xludf.DUMMYFUNCTION("""COMPUTED_VALUE"""),44489.8524172222)</f>
        <v>44489.85242</v>
      </c>
      <c r="D2095" s="15">
        <f>IFERROR(__xludf.DUMMYFUNCTION("""COMPUTED_VALUE"""),1.03)</f>
        <v>1.03</v>
      </c>
      <c r="E2095" s="16">
        <f>IFERROR(__xludf.DUMMYFUNCTION("""COMPUTED_VALUE"""),64.0)</f>
        <v>64</v>
      </c>
      <c r="F2095" s="19" t="str">
        <f>IFERROR(__xludf.DUMMYFUNCTION("""COMPUTED_VALUE"""),"BLACK")</f>
        <v>BLACK</v>
      </c>
      <c r="G2095" s="20" t="str">
        <f>IFERROR(__xludf.DUMMYFUNCTION("""COMPUTED_VALUE"""),"Tap 6 Clone (10/15/2021)")</f>
        <v>Tap 6 Clone (10/15/2021)</v>
      </c>
      <c r="H2095" s="19"/>
    </row>
    <row r="2096">
      <c r="A2096" s="9"/>
      <c r="B2096" s="15"/>
      <c r="C2096" s="9">
        <f>IFERROR(__xludf.DUMMYFUNCTION("""COMPUTED_VALUE"""),44489.8419954282)</f>
        <v>44489.842</v>
      </c>
      <c r="D2096" s="15">
        <f>IFERROR(__xludf.DUMMYFUNCTION("""COMPUTED_VALUE"""),1.031)</f>
        <v>1.031</v>
      </c>
      <c r="E2096" s="16">
        <f>IFERROR(__xludf.DUMMYFUNCTION("""COMPUTED_VALUE"""),64.0)</f>
        <v>64</v>
      </c>
      <c r="F2096" s="19" t="str">
        <f>IFERROR(__xludf.DUMMYFUNCTION("""COMPUTED_VALUE"""),"BLACK")</f>
        <v>BLACK</v>
      </c>
      <c r="G2096" s="20" t="str">
        <f>IFERROR(__xludf.DUMMYFUNCTION("""COMPUTED_VALUE"""),"Tap 6 Clone (10/15/2021)")</f>
        <v>Tap 6 Clone (10/15/2021)</v>
      </c>
      <c r="H2096" s="19"/>
    </row>
    <row r="2097">
      <c r="A2097" s="9"/>
      <c r="B2097" s="15"/>
      <c r="C2097" s="9">
        <f>IFERROR(__xludf.DUMMYFUNCTION("""COMPUTED_VALUE"""),44489.8315631018)</f>
        <v>44489.83156</v>
      </c>
      <c r="D2097" s="15">
        <f>IFERROR(__xludf.DUMMYFUNCTION("""COMPUTED_VALUE"""),1.03)</f>
        <v>1.03</v>
      </c>
      <c r="E2097" s="16">
        <f>IFERROR(__xludf.DUMMYFUNCTION("""COMPUTED_VALUE"""),64.0)</f>
        <v>64</v>
      </c>
      <c r="F2097" s="19" t="str">
        <f>IFERROR(__xludf.DUMMYFUNCTION("""COMPUTED_VALUE"""),"BLACK")</f>
        <v>BLACK</v>
      </c>
      <c r="G2097" s="20" t="str">
        <f>IFERROR(__xludf.DUMMYFUNCTION("""COMPUTED_VALUE"""),"Tap 6 Clone (10/15/2021)")</f>
        <v>Tap 6 Clone (10/15/2021)</v>
      </c>
      <c r="H2097" s="19"/>
    </row>
    <row r="2098">
      <c r="A2098" s="9"/>
      <c r="B2098" s="15"/>
      <c r="C2098" s="9">
        <f>IFERROR(__xludf.DUMMYFUNCTION("""COMPUTED_VALUE"""),44489.8211287847)</f>
        <v>44489.82113</v>
      </c>
      <c r="D2098" s="15">
        <f>IFERROR(__xludf.DUMMYFUNCTION("""COMPUTED_VALUE"""),1.031)</f>
        <v>1.031</v>
      </c>
      <c r="E2098" s="16">
        <f>IFERROR(__xludf.DUMMYFUNCTION("""COMPUTED_VALUE"""),64.0)</f>
        <v>64</v>
      </c>
      <c r="F2098" s="19" t="str">
        <f>IFERROR(__xludf.DUMMYFUNCTION("""COMPUTED_VALUE"""),"BLACK")</f>
        <v>BLACK</v>
      </c>
      <c r="G2098" s="20" t="str">
        <f>IFERROR(__xludf.DUMMYFUNCTION("""COMPUTED_VALUE"""),"Tap 6 Clone (10/15/2021)")</f>
        <v>Tap 6 Clone (10/15/2021)</v>
      </c>
      <c r="H2098" s="19"/>
    </row>
    <row r="2099">
      <c r="A2099" s="9"/>
      <c r="B2099" s="15"/>
      <c r="C2099" s="9">
        <f>IFERROR(__xludf.DUMMYFUNCTION("""COMPUTED_VALUE"""),44489.810708287)</f>
        <v>44489.81071</v>
      </c>
      <c r="D2099" s="15">
        <f>IFERROR(__xludf.DUMMYFUNCTION("""COMPUTED_VALUE"""),1.031)</f>
        <v>1.031</v>
      </c>
      <c r="E2099" s="16">
        <f>IFERROR(__xludf.DUMMYFUNCTION("""COMPUTED_VALUE"""),64.0)</f>
        <v>64</v>
      </c>
      <c r="F2099" s="19" t="str">
        <f>IFERROR(__xludf.DUMMYFUNCTION("""COMPUTED_VALUE"""),"BLACK")</f>
        <v>BLACK</v>
      </c>
      <c r="G2099" s="20" t="str">
        <f>IFERROR(__xludf.DUMMYFUNCTION("""COMPUTED_VALUE"""),"Tap 6 Clone (10/15/2021)")</f>
        <v>Tap 6 Clone (10/15/2021)</v>
      </c>
      <c r="H2099" s="19"/>
    </row>
    <row r="2100">
      <c r="A2100" s="9"/>
      <c r="B2100" s="15"/>
      <c r="C2100" s="9">
        <f>IFERROR(__xludf.DUMMYFUNCTION("""COMPUTED_VALUE"""),44489.8002863657)</f>
        <v>44489.80029</v>
      </c>
      <c r="D2100" s="15">
        <f>IFERROR(__xludf.DUMMYFUNCTION("""COMPUTED_VALUE"""),1.032)</f>
        <v>1.032</v>
      </c>
      <c r="E2100" s="16">
        <f>IFERROR(__xludf.DUMMYFUNCTION("""COMPUTED_VALUE"""),64.0)</f>
        <v>64</v>
      </c>
      <c r="F2100" s="19" t="str">
        <f>IFERROR(__xludf.DUMMYFUNCTION("""COMPUTED_VALUE"""),"BLACK")</f>
        <v>BLACK</v>
      </c>
      <c r="G2100" s="20" t="str">
        <f>IFERROR(__xludf.DUMMYFUNCTION("""COMPUTED_VALUE"""),"Tap 6 Clone (10/15/2021)")</f>
        <v>Tap 6 Clone (10/15/2021)</v>
      </c>
      <c r="H2100" s="19"/>
    </row>
    <row r="2101">
      <c r="A2101" s="9"/>
      <c r="B2101" s="15"/>
      <c r="C2101" s="9">
        <f>IFERROR(__xludf.DUMMYFUNCTION("""COMPUTED_VALUE"""),44489.7898652662)</f>
        <v>44489.78987</v>
      </c>
      <c r="D2101" s="15">
        <f>IFERROR(__xludf.DUMMYFUNCTION("""COMPUTED_VALUE"""),1.033)</f>
        <v>1.033</v>
      </c>
      <c r="E2101" s="16">
        <f>IFERROR(__xludf.DUMMYFUNCTION("""COMPUTED_VALUE"""),64.0)</f>
        <v>64</v>
      </c>
      <c r="F2101" s="19" t="str">
        <f>IFERROR(__xludf.DUMMYFUNCTION("""COMPUTED_VALUE"""),"BLACK")</f>
        <v>BLACK</v>
      </c>
      <c r="G2101" s="20" t="str">
        <f>IFERROR(__xludf.DUMMYFUNCTION("""COMPUTED_VALUE"""),"Tap 6 Clone (10/15/2021)")</f>
        <v>Tap 6 Clone (10/15/2021)</v>
      </c>
      <c r="H2101" s="19"/>
    </row>
    <row r="2102">
      <c r="A2102" s="9"/>
      <c r="B2102" s="15"/>
      <c r="C2102" s="9">
        <f>IFERROR(__xludf.DUMMYFUNCTION("""COMPUTED_VALUE"""),44489.7794445138)</f>
        <v>44489.77944</v>
      </c>
      <c r="D2102" s="15">
        <f>IFERROR(__xludf.DUMMYFUNCTION("""COMPUTED_VALUE"""),1.032)</f>
        <v>1.032</v>
      </c>
      <c r="E2102" s="16">
        <f>IFERROR(__xludf.DUMMYFUNCTION("""COMPUTED_VALUE"""),64.0)</f>
        <v>64</v>
      </c>
      <c r="F2102" s="19" t="str">
        <f>IFERROR(__xludf.DUMMYFUNCTION("""COMPUTED_VALUE"""),"BLACK")</f>
        <v>BLACK</v>
      </c>
      <c r="G2102" s="20" t="str">
        <f>IFERROR(__xludf.DUMMYFUNCTION("""COMPUTED_VALUE"""),"Tap 6 Clone (10/15/2021)")</f>
        <v>Tap 6 Clone (10/15/2021)</v>
      </c>
      <c r="H2102" s="19"/>
    </row>
    <row r="2103">
      <c r="A2103" s="9"/>
      <c r="B2103" s="15"/>
      <c r="C2103" s="9">
        <f>IFERROR(__xludf.DUMMYFUNCTION("""COMPUTED_VALUE"""),44489.7690232523)</f>
        <v>44489.76902</v>
      </c>
      <c r="D2103" s="15">
        <f>IFERROR(__xludf.DUMMYFUNCTION("""COMPUTED_VALUE"""),1.032)</f>
        <v>1.032</v>
      </c>
      <c r="E2103" s="16">
        <f>IFERROR(__xludf.DUMMYFUNCTION("""COMPUTED_VALUE"""),64.0)</f>
        <v>64</v>
      </c>
      <c r="F2103" s="19" t="str">
        <f>IFERROR(__xludf.DUMMYFUNCTION("""COMPUTED_VALUE"""),"BLACK")</f>
        <v>BLACK</v>
      </c>
      <c r="G2103" s="20" t="str">
        <f>IFERROR(__xludf.DUMMYFUNCTION("""COMPUTED_VALUE"""),"Tap 6 Clone (10/15/2021)")</f>
        <v>Tap 6 Clone (10/15/2021)</v>
      </c>
      <c r="H2103" s="19"/>
    </row>
    <row r="2104">
      <c r="A2104" s="9"/>
      <c r="B2104" s="15"/>
      <c r="C2104" s="9">
        <f>IFERROR(__xludf.DUMMYFUNCTION("""COMPUTED_VALUE"""),44489.7586036111)</f>
        <v>44489.7586</v>
      </c>
      <c r="D2104" s="15">
        <f>IFERROR(__xludf.DUMMYFUNCTION("""COMPUTED_VALUE"""),1.032)</f>
        <v>1.032</v>
      </c>
      <c r="E2104" s="16">
        <f>IFERROR(__xludf.DUMMYFUNCTION("""COMPUTED_VALUE"""),64.0)</f>
        <v>64</v>
      </c>
      <c r="F2104" s="19" t="str">
        <f>IFERROR(__xludf.DUMMYFUNCTION("""COMPUTED_VALUE"""),"BLACK")</f>
        <v>BLACK</v>
      </c>
      <c r="G2104" s="20" t="str">
        <f>IFERROR(__xludf.DUMMYFUNCTION("""COMPUTED_VALUE"""),"Tap 6 Clone (10/15/2021)")</f>
        <v>Tap 6 Clone (10/15/2021)</v>
      </c>
      <c r="H2104" s="19"/>
    </row>
    <row r="2105">
      <c r="A2105" s="9"/>
      <c r="B2105" s="15"/>
      <c r="C2105" s="9">
        <f>IFERROR(__xludf.DUMMYFUNCTION("""COMPUTED_VALUE"""),44489.7481843981)</f>
        <v>44489.74818</v>
      </c>
      <c r="D2105" s="15">
        <f>IFERROR(__xludf.DUMMYFUNCTION("""COMPUTED_VALUE"""),1.032)</f>
        <v>1.032</v>
      </c>
      <c r="E2105" s="16">
        <f>IFERROR(__xludf.DUMMYFUNCTION("""COMPUTED_VALUE"""),64.0)</f>
        <v>64</v>
      </c>
      <c r="F2105" s="19" t="str">
        <f>IFERROR(__xludf.DUMMYFUNCTION("""COMPUTED_VALUE"""),"BLACK")</f>
        <v>BLACK</v>
      </c>
      <c r="G2105" s="20" t="str">
        <f>IFERROR(__xludf.DUMMYFUNCTION("""COMPUTED_VALUE"""),"Tap 6 Clone (10/15/2021)")</f>
        <v>Tap 6 Clone (10/15/2021)</v>
      </c>
      <c r="H2105" s="19"/>
    </row>
    <row r="2106">
      <c r="A2106" s="9"/>
      <c r="B2106" s="15"/>
      <c r="C2106" s="9">
        <f>IFERROR(__xludf.DUMMYFUNCTION("""COMPUTED_VALUE"""),44489.7377636921)</f>
        <v>44489.73776</v>
      </c>
      <c r="D2106" s="15">
        <f>IFERROR(__xludf.DUMMYFUNCTION("""COMPUTED_VALUE"""),1.032)</f>
        <v>1.032</v>
      </c>
      <c r="E2106" s="16">
        <f>IFERROR(__xludf.DUMMYFUNCTION("""COMPUTED_VALUE"""),64.0)</f>
        <v>64</v>
      </c>
      <c r="F2106" s="19" t="str">
        <f>IFERROR(__xludf.DUMMYFUNCTION("""COMPUTED_VALUE"""),"BLACK")</f>
        <v>BLACK</v>
      </c>
      <c r="G2106" s="20" t="str">
        <f>IFERROR(__xludf.DUMMYFUNCTION("""COMPUTED_VALUE"""),"Tap 6 Clone (10/15/2021)")</f>
        <v>Tap 6 Clone (10/15/2021)</v>
      </c>
      <c r="H2106" s="19"/>
    </row>
    <row r="2107">
      <c r="A2107" s="9"/>
      <c r="B2107" s="15"/>
      <c r="C2107" s="9">
        <f>IFERROR(__xludf.DUMMYFUNCTION("""COMPUTED_VALUE"""),44489.7273424537)</f>
        <v>44489.72734</v>
      </c>
      <c r="D2107" s="15">
        <f>IFERROR(__xludf.DUMMYFUNCTION("""COMPUTED_VALUE"""),1.032)</f>
        <v>1.032</v>
      </c>
      <c r="E2107" s="16">
        <f>IFERROR(__xludf.DUMMYFUNCTION("""COMPUTED_VALUE"""),64.0)</f>
        <v>64</v>
      </c>
      <c r="F2107" s="19" t="str">
        <f>IFERROR(__xludf.DUMMYFUNCTION("""COMPUTED_VALUE"""),"BLACK")</f>
        <v>BLACK</v>
      </c>
      <c r="G2107" s="20" t="str">
        <f>IFERROR(__xludf.DUMMYFUNCTION("""COMPUTED_VALUE"""),"Tap 6 Clone (10/15/2021)")</f>
        <v>Tap 6 Clone (10/15/2021)</v>
      </c>
      <c r="H2107" s="19"/>
    </row>
    <row r="2108">
      <c r="A2108" s="9"/>
      <c r="B2108" s="15"/>
      <c r="C2108" s="9">
        <f>IFERROR(__xludf.DUMMYFUNCTION("""COMPUTED_VALUE"""),44489.7169087963)</f>
        <v>44489.71691</v>
      </c>
      <c r="D2108" s="15">
        <f>IFERROR(__xludf.DUMMYFUNCTION("""COMPUTED_VALUE"""),1.032)</f>
        <v>1.032</v>
      </c>
      <c r="E2108" s="16">
        <f>IFERROR(__xludf.DUMMYFUNCTION("""COMPUTED_VALUE"""),64.0)</f>
        <v>64</v>
      </c>
      <c r="F2108" s="19" t="str">
        <f>IFERROR(__xludf.DUMMYFUNCTION("""COMPUTED_VALUE"""),"BLACK")</f>
        <v>BLACK</v>
      </c>
      <c r="G2108" s="20" t="str">
        <f>IFERROR(__xludf.DUMMYFUNCTION("""COMPUTED_VALUE"""),"Tap 6 Clone (10/15/2021)")</f>
        <v>Tap 6 Clone (10/15/2021)</v>
      </c>
      <c r="H2108" s="19"/>
    </row>
    <row r="2109">
      <c r="A2109" s="9"/>
      <c r="B2109" s="15"/>
      <c r="C2109" s="9">
        <f>IFERROR(__xludf.DUMMYFUNCTION("""COMPUTED_VALUE"""),44489.7064900462)</f>
        <v>44489.70649</v>
      </c>
      <c r="D2109" s="15">
        <f>IFERROR(__xludf.DUMMYFUNCTION("""COMPUTED_VALUE"""),1.032)</f>
        <v>1.032</v>
      </c>
      <c r="E2109" s="16">
        <f>IFERROR(__xludf.DUMMYFUNCTION("""COMPUTED_VALUE"""),64.0)</f>
        <v>64</v>
      </c>
      <c r="F2109" s="19" t="str">
        <f>IFERROR(__xludf.DUMMYFUNCTION("""COMPUTED_VALUE"""),"BLACK")</f>
        <v>BLACK</v>
      </c>
      <c r="G2109" s="20" t="str">
        <f>IFERROR(__xludf.DUMMYFUNCTION("""COMPUTED_VALUE"""),"Tap 6 Clone (10/15/2021)")</f>
        <v>Tap 6 Clone (10/15/2021)</v>
      </c>
      <c r="H2109" s="19"/>
    </row>
    <row r="2110">
      <c r="A2110" s="9"/>
      <c r="B2110" s="15"/>
      <c r="C2110" s="9">
        <f>IFERROR(__xludf.DUMMYFUNCTION("""COMPUTED_VALUE"""),44489.6960691319)</f>
        <v>44489.69607</v>
      </c>
      <c r="D2110" s="15">
        <f>IFERROR(__xludf.DUMMYFUNCTION("""COMPUTED_VALUE"""),1.032)</f>
        <v>1.032</v>
      </c>
      <c r="E2110" s="16">
        <f>IFERROR(__xludf.DUMMYFUNCTION("""COMPUTED_VALUE"""),64.0)</f>
        <v>64</v>
      </c>
      <c r="F2110" s="19" t="str">
        <f>IFERROR(__xludf.DUMMYFUNCTION("""COMPUTED_VALUE"""),"BLACK")</f>
        <v>BLACK</v>
      </c>
      <c r="G2110" s="20" t="str">
        <f>IFERROR(__xludf.DUMMYFUNCTION("""COMPUTED_VALUE"""),"Tap 6 Clone (10/15/2021)")</f>
        <v>Tap 6 Clone (10/15/2021)</v>
      </c>
      <c r="H2110" s="19"/>
    </row>
    <row r="2111">
      <c r="A2111" s="9"/>
      <c r="B2111" s="15"/>
      <c r="C2111" s="9">
        <f>IFERROR(__xludf.DUMMYFUNCTION("""COMPUTED_VALUE"""),44489.6856480555)</f>
        <v>44489.68565</v>
      </c>
      <c r="D2111" s="15">
        <f>IFERROR(__xludf.DUMMYFUNCTION("""COMPUTED_VALUE"""),1.032)</f>
        <v>1.032</v>
      </c>
      <c r="E2111" s="16">
        <f>IFERROR(__xludf.DUMMYFUNCTION("""COMPUTED_VALUE"""),64.0)</f>
        <v>64</v>
      </c>
      <c r="F2111" s="19" t="str">
        <f>IFERROR(__xludf.DUMMYFUNCTION("""COMPUTED_VALUE"""),"BLACK")</f>
        <v>BLACK</v>
      </c>
      <c r="G2111" s="20" t="str">
        <f>IFERROR(__xludf.DUMMYFUNCTION("""COMPUTED_VALUE"""),"Tap 6 Clone (10/15/2021)")</f>
        <v>Tap 6 Clone (10/15/2021)</v>
      </c>
      <c r="H2111" s="19"/>
    </row>
    <row r="2112">
      <c r="A2112" s="9"/>
      <c r="B2112" s="15"/>
      <c r="C2112" s="9">
        <f>IFERROR(__xludf.DUMMYFUNCTION("""COMPUTED_VALUE"""),44489.675226875)</f>
        <v>44489.67523</v>
      </c>
      <c r="D2112" s="15">
        <f>IFERROR(__xludf.DUMMYFUNCTION("""COMPUTED_VALUE"""),1.032)</f>
        <v>1.032</v>
      </c>
      <c r="E2112" s="16">
        <f>IFERROR(__xludf.DUMMYFUNCTION("""COMPUTED_VALUE"""),64.0)</f>
        <v>64</v>
      </c>
      <c r="F2112" s="19" t="str">
        <f>IFERROR(__xludf.DUMMYFUNCTION("""COMPUTED_VALUE"""),"BLACK")</f>
        <v>BLACK</v>
      </c>
      <c r="G2112" s="20" t="str">
        <f>IFERROR(__xludf.DUMMYFUNCTION("""COMPUTED_VALUE"""),"Tap 6 Clone (10/15/2021)")</f>
        <v>Tap 6 Clone (10/15/2021)</v>
      </c>
      <c r="H2112" s="19"/>
    </row>
    <row r="2113">
      <c r="A2113" s="9"/>
      <c r="B2113" s="15"/>
      <c r="C2113" s="9">
        <f>IFERROR(__xludf.DUMMYFUNCTION("""COMPUTED_VALUE"""),44489.6647918865)</f>
        <v>44489.66479</v>
      </c>
      <c r="D2113" s="15">
        <f>IFERROR(__xludf.DUMMYFUNCTION("""COMPUTED_VALUE"""),1.032)</f>
        <v>1.032</v>
      </c>
      <c r="E2113" s="16">
        <f>IFERROR(__xludf.DUMMYFUNCTION("""COMPUTED_VALUE"""),64.0)</f>
        <v>64</v>
      </c>
      <c r="F2113" s="19" t="str">
        <f>IFERROR(__xludf.DUMMYFUNCTION("""COMPUTED_VALUE"""),"BLACK")</f>
        <v>BLACK</v>
      </c>
      <c r="G2113" s="20" t="str">
        <f>IFERROR(__xludf.DUMMYFUNCTION("""COMPUTED_VALUE"""),"Tap 6 Clone (10/15/2021)")</f>
        <v>Tap 6 Clone (10/15/2021)</v>
      </c>
      <c r="H2113" s="19"/>
    </row>
    <row r="2114">
      <c r="A2114" s="9"/>
      <c r="B2114" s="15"/>
      <c r="C2114" s="9">
        <f>IFERROR(__xludf.DUMMYFUNCTION("""COMPUTED_VALUE"""),44489.6543703125)</f>
        <v>44489.65437</v>
      </c>
      <c r="D2114" s="15">
        <f>IFERROR(__xludf.DUMMYFUNCTION("""COMPUTED_VALUE"""),1.033)</f>
        <v>1.033</v>
      </c>
      <c r="E2114" s="16">
        <f>IFERROR(__xludf.DUMMYFUNCTION("""COMPUTED_VALUE"""),64.0)</f>
        <v>64</v>
      </c>
      <c r="F2114" s="19" t="str">
        <f>IFERROR(__xludf.DUMMYFUNCTION("""COMPUTED_VALUE"""),"BLACK")</f>
        <v>BLACK</v>
      </c>
      <c r="G2114" s="20" t="str">
        <f>IFERROR(__xludf.DUMMYFUNCTION("""COMPUTED_VALUE"""),"Tap 6 Clone (10/15/2021)")</f>
        <v>Tap 6 Clone (10/15/2021)</v>
      </c>
      <c r="H2114" s="19"/>
    </row>
    <row r="2115">
      <c r="A2115" s="9"/>
      <c r="B2115" s="15"/>
      <c r="C2115" s="9">
        <f>IFERROR(__xludf.DUMMYFUNCTION("""COMPUTED_VALUE"""),44489.6439369444)</f>
        <v>44489.64394</v>
      </c>
      <c r="D2115" s="15">
        <f>IFERROR(__xludf.DUMMYFUNCTION("""COMPUTED_VALUE"""),1.033)</f>
        <v>1.033</v>
      </c>
      <c r="E2115" s="16">
        <f>IFERROR(__xludf.DUMMYFUNCTION("""COMPUTED_VALUE"""),64.0)</f>
        <v>64</v>
      </c>
      <c r="F2115" s="19" t="str">
        <f>IFERROR(__xludf.DUMMYFUNCTION("""COMPUTED_VALUE"""),"BLACK")</f>
        <v>BLACK</v>
      </c>
      <c r="G2115" s="20" t="str">
        <f>IFERROR(__xludf.DUMMYFUNCTION("""COMPUTED_VALUE"""),"Tap 6 Clone (10/15/2021)")</f>
        <v>Tap 6 Clone (10/15/2021)</v>
      </c>
      <c r="H2115" s="19"/>
    </row>
    <row r="2116">
      <c r="A2116" s="9"/>
      <c r="B2116" s="15"/>
      <c r="C2116" s="9">
        <f>IFERROR(__xludf.DUMMYFUNCTION("""COMPUTED_VALUE"""),44489.6335168402)</f>
        <v>44489.63352</v>
      </c>
      <c r="D2116" s="15">
        <f>IFERROR(__xludf.DUMMYFUNCTION("""COMPUTED_VALUE"""),1.032)</f>
        <v>1.032</v>
      </c>
      <c r="E2116" s="16">
        <f>IFERROR(__xludf.DUMMYFUNCTION("""COMPUTED_VALUE"""),64.0)</f>
        <v>64</v>
      </c>
      <c r="F2116" s="19" t="str">
        <f>IFERROR(__xludf.DUMMYFUNCTION("""COMPUTED_VALUE"""),"BLACK")</f>
        <v>BLACK</v>
      </c>
      <c r="G2116" s="20" t="str">
        <f>IFERROR(__xludf.DUMMYFUNCTION("""COMPUTED_VALUE"""),"Tap 6 Clone (10/15/2021)")</f>
        <v>Tap 6 Clone (10/15/2021)</v>
      </c>
      <c r="H2116" s="19"/>
    </row>
    <row r="2117">
      <c r="A2117" s="9"/>
      <c r="B2117" s="15"/>
      <c r="C2117" s="9">
        <f>IFERROR(__xludf.DUMMYFUNCTION("""COMPUTED_VALUE"""),44489.6230827777)</f>
        <v>44489.62308</v>
      </c>
      <c r="D2117" s="15">
        <f>IFERROR(__xludf.DUMMYFUNCTION("""COMPUTED_VALUE"""),1.032)</f>
        <v>1.032</v>
      </c>
      <c r="E2117" s="16">
        <f>IFERROR(__xludf.DUMMYFUNCTION("""COMPUTED_VALUE"""),64.0)</f>
        <v>64</v>
      </c>
      <c r="F2117" s="19" t="str">
        <f>IFERROR(__xludf.DUMMYFUNCTION("""COMPUTED_VALUE"""),"BLACK")</f>
        <v>BLACK</v>
      </c>
      <c r="G2117" s="20" t="str">
        <f>IFERROR(__xludf.DUMMYFUNCTION("""COMPUTED_VALUE"""),"Tap 6 Clone (10/15/2021)")</f>
        <v>Tap 6 Clone (10/15/2021)</v>
      </c>
      <c r="H2117" s="19"/>
    </row>
    <row r="2118">
      <c r="A2118" s="9"/>
      <c r="B2118" s="15"/>
      <c r="C2118" s="9">
        <f>IFERROR(__xludf.DUMMYFUNCTION("""COMPUTED_VALUE"""),44489.612660868)</f>
        <v>44489.61266</v>
      </c>
      <c r="D2118" s="15">
        <f>IFERROR(__xludf.DUMMYFUNCTION("""COMPUTED_VALUE"""),1.033)</f>
        <v>1.033</v>
      </c>
      <c r="E2118" s="16">
        <f>IFERROR(__xludf.DUMMYFUNCTION("""COMPUTED_VALUE"""),64.0)</f>
        <v>64</v>
      </c>
      <c r="F2118" s="19" t="str">
        <f>IFERROR(__xludf.DUMMYFUNCTION("""COMPUTED_VALUE"""),"BLACK")</f>
        <v>BLACK</v>
      </c>
      <c r="G2118" s="20" t="str">
        <f>IFERROR(__xludf.DUMMYFUNCTION("""COMPUTED_VALUE"""),"Tap 6 Clone (10/15/2021)")</f>
        <v>Tap 6 Clone (10/15/2021)</v>
      </c>
      <c r="H2118" s="19"/>
    </row>
    <row r="2119">
      <c r="A2119" s="9"/>
      <c r="B2119" s="15"/>
      <c r="C2119" s="9">
        <f>IFERROR(__xludf.DUMMYFUNCTION("""COMPUTED_VALUE"""),44489.6022270138)</f>
        <v>44489.60223</v>
      </c>
      <c r="D2119" s="15">
        <f>IFERROR(__xludf.DUMMYFUNCTION("""COMPUTED_VALUE"""),1.033)</f>
        <v>1.033</v>
      </c>
      <c r="E2119" s="16">
        <f>IFERROR(__xludf.DUMMYFUNCTION("""COMPUTED_VALUE"""),64.0)</f>
        <v>64</v>
      </c>
      <c r="F2119" s="19" t="str">
        <f>IFERROR(__xludf.DUMMYFUNCTION("""COMPUTED_VALUE"""),"BLACK")</f>
        <v>BLACK</v>
      </c>
      <c r="G2119" s="20" t="str">
        <f>IFERROR(__xludf.DUMMYFUNCTION("""COMPUTED_VALUE"""),"Tap 6 Clone (10/15/2021)")</f>
        <v>Tap 6 Clone (10/15/2021)</v>
      </c>
      <c r="H2119" s="19"/>
    </row>
    <row r="2120">
      <c r="A2120" s="9"/>
      <c r="B2120" s="15"/>
      <c r="C2120" s="9">
        <f>IFERROR(__xludf.DUMMYFUNCTION("""COMPUTED_VALUE"""),44489.5917837037)</f>
        <v>44489.59178</v>
      </c>
      <c r="D2120" s="15">
        <f>IFERROR(__xludf.DUMMYFUNCTION("""COMPUTED_VALUE"""),1.033)</f>
        <v>1.033</v>
      </c>
      <c r="E2120" s="16">
        <f>IFERROR(__xludf.DUMMYFUNCTION("""COMPUTED_VALUE"""),64.0)</f>
        <v>64</v>
      </c>
      <c r="F2120" s="19" t="str">
        <f>IFERROR(__xludf.DUMMYFUNCTION("""COMPUTED_VALUE"""),"BLACK")</f>
        <v>BLACK</v>
      </c>
      <c r="G2120" s="20" t="str">
        <f>IFERROR(__xludf.DUMMYFUNCTION("""COMPUTED_VALUE"""),"Tap 6 Clone (10/15/2021)")</f>
        <v>Tap 6 Clone (10/15/2021)</v>
      </c>
      <c r="H2120" s="19"/>
    </row>
    <row r="2121">
      <c r="A2121" s="9"/>
      <c r="B2121" s="15"/>
      <c r="C2121" s="9">
        <f>IFERROR(__xludf.DUMMYFUNCTION("""COMPUTED_VALUE"""),44489.5813621875)</f>
        <v>44489.58136</v>
      </c>
      <c r="D2121" s="15">
        <f>IFERROR(__xludf.DUMMYFUNCTION("""COMPUTED_VALUE"""),1.033)</f>
        <v>1.033</v>
      </c>
      <c r="E2121" s="16">
        <f>IFERROR(__xludf.DUMMYFUNCTION("""COMPUTED_VALUE"""),64.0)</f>
        <v>64</v>
      </c>
      <c r="F2121" s="19" t="str">
        <f>IFERROR(__xludf.DUMMYFUNCTION("""COMPUTED_VALUE"""),"BLACK")</f>
        <v>BLACK</v>
      </c>
      <c r="G2121" s="20" t="str">
        <f>IFERROR(__xludf.DUMMYFUNCTION("""COMPUTED_VALUE"""),"Tap 6 Clone (10/15/2021)")</f>
        <v>Tap 6 Clone (10/15/2021)</v>
      </c>
      <c r="H2121" s="19"/>
    </row>
    <row r="2122">
      <c r="A2122" s="9"/>
      <c r="B2122" s="15"/>
      <c r="C2122" s="9">
        <f>IFERROR(__xludf.DUMMYFUNCTION("""COMPUTED_VALUE"""),44489.5709301388)</f>
        <v>44489.57093</v>
      </c>
      <c r="D2122" s="15">
        <f>IFERROR(__xludf.DUMMYFUNCTION("""COMPUTED_VALUE"""),1.033)</f>
        <v>1.033</v>
      </c>
      <c r="E2122" s="16">
        <f>IFERROR(__xludf.DUMMYFUNCTION("""COMPUTED_VALUE"""),64.0)</f>
        <v>64</v>
      </c>
      <c r="F2122" s="19" t="str">
        <f>IFERROR(__xludf.DUMMYFUNCTION("""COMPUTED_VALUE"""),"BLACK")</f>
        <v>BLACK</v>
      </c>
      <c r="G2122" s="20" t="str">
        <f>IFERROR(__xludf.DUMMYFUNCTION("""COMPUTED_VALUE"""),"Tap 6 Clone (10/15/2021)")</f>
        <v>Tap 6 Clone (10/15/2021)</v>
      </c>
      <c r="H2122" s="19"/>
    </row>
    <row r="2123">
      <c r="A2123" s="9"/>
      <c r="B2123" s="15"/>
      <c r="C2123" s="9">
        <f>IFERROR(__xludf.DUMMYFUNCTION("""COMPUTED_VALUE"""),44489.5604967129)</f>
        <v>44489.5605</v>
      </c>
      <c r="D2123" s="15">
        <f>IFERROR(__xludf.DUMMYFUNCTION("""COMPUTED_VALUE"""),1.033)</f>
        <v>1.033</v>
      </c>
      <c r="E2123" s="16">
        <f>IFERROR(__xludf.DUMMYFUNCTION("""COMPUTED_VALUE"""),64.0)</f>
        <v>64</v>
      </c>
      <c r="F2123" s="19" t="str">
        <f>IFERROR(__xludf.DUMMYFUNCTION("""COMPUTED_VALUE"""),"BLACK")</f>
        <v>BLACK</v>
      </c>
      <c r="G2123" s="20" t="str">
        <f>IFERROR(__xludf.DUMMYFUNCTION("""COMPUTED_VALUE"""),"Tap 6 Clone (10/15/2021)")</f>
        <v>Tap 6 Clone (10/15/2021)</v>
      </c>
      <c r="H2123" s="19"/>
    </row>
    <row r="2124">
      <c r="A2124" s="9"/>
      <c r="B2124" s="15"/>
      <c r="C2124" s="9">
        <f>IFERROR(__xludf.DUMMYFUNCTION("""COMPUTED_VALUE"""),44489.5500636689)</f>
        <v>44489.55006</v>
      </c>
      <c r="D2124" s="15">
        <f>IFERROR(__xludf.DUMMYFUNCTION("""COMPUTED_VALUE"""),1.034)</f>
        <v>1.034</v>
      </c>
      <c r="E2124" s="16">
        <f>IFERROR(__xludf.DUMMYFUNCTION("""COMPUTED_VALUE"""),63.0)</f>
        <v>63</v>
      </c>
      <c r="F2124" s="19" t="str">
        <f>IFERROR(__xludf.DUMMYFUNCTION("""COMPUTED_VALUE"""),"BLACK")</f>
        <v>BLACK</v>
      </c>
      <c r="G2124" s="20" t="str">
        <f>IFERROR(__xludf.DUMMYFUNCTION("""COMPUTED_VALUE"""),"Tap 6 Clone (10/15/2021)")</f>
        <v>Tap 6 Clone (10/15/2021)</v>
      </c>
      <c r="H2124" s="19"/>
    </row>
    <row r="2125">
      <c r="A2125" s="9"/>
      <c r="B2125" s="15"/>
      <c r="C2125" s="9">
        <f>IFERROR(__xludf.DUMMYFUNCTION("""COMPUTED_VALUE"""),44489.5396423842)</f>
        <v>44489.53964</v>
      </c>
      <c r="D2125" s="15">
        <f>IFERROR(__xludf.DUMMYFUNCTION("""COMPUTED_VALUE"""),1.034)</f>
        <v>1.034</v>
      </c>
      <c r="E2125" s="16">
        <f>IFERROR(__xludf.DUMMYFUNCTION("""COMPUTED_VALUE"""),63.0)</f>
        <v>63</v>
      </c>
      <c r="F2125" s="19" t="str">
        <f>IFERROR(__xludf.DUMMYFUNCTION("""COMPUTED_VALUE"""),"BLACK")</f>
        <v>BLACK</v>
      </c>
      <c r="G2125" s="20" t="str">
        <f>IFERROR(__xludf.DUMMYFUNCTION("""COMPUTED_VALUE"""),"Tap 6 Clone (10/15/2021)")</f>
        <v>Tap 6 Clone (10/15/2021)</v>
      </c>
      <c r="H2125" s="19"/>
    </row>
    <row r="2126">
      <c r="A2126" s="9"/>
      <c r="B2126" s="15"/>
      <c r="C2126" s="9">
        <f>IFERROR(__xludf.DUMMYFUNCTION("""COMPUTED_VALUE"""),44489.5292215856)</f>
        <v>44489.52922</v>
      </c>
      <c r="D2126" s="15">
        <f>IFERROR(__xludf.DUMMYFUNCTION("""COMPUTED_VALUE"""),1.034)</f>
        <v>1.034</v>
      </c>
      <c r="E2126" s="16">
        <f>IFERROR(__xludf.DUMMYFUNCTION("""COMPUTED_VALUE"""),63.0)</f>
        <v>63</v>
      </c>
      <c r="F2126" s="19" t="str">
        <f>IFERROR(__xludf.DUMMYFUNCTION("""COMPUTED_VALUE"""),"BLACK")</f>
        <v>BLACK</v>
      </c>
      <c r="G2126" s="20" t="str">
        <f>IFERROR(__xludf.DUMMYFUNCTION("""COMPUTED_VALUE"""),"Tap 6 Clone (10/15/2021)")</f>
        <v>Tap 6 Clone (10/15/2021)</v>
      </c>
      <c r="H2126" s="19"/>
    </row>
    <row r="2127">
      <c r="A2127" s="9"/>
      <c r="B2127" s="15"/>
      <c r="C2127" s="9">
        <f>IFERROR(__xludf.DUMMYFUNCTION("""COMPUTED_VALUE"""),44489.5187754745)</f>
        <v>44489.51878</v>
      </c>
      <c r="D2127" s="15">
        <f>IFERROR(__xludf.DUMMYFUNCTION("""COMPUTED_VALUE"""),1.034)</f>
        <v>1.034</v>
      </c>
      <c r="E2127" s="16">
        <f>IFERROR(__xludf.DUMMYFUNCTION("""COMPUTED_VALUE"""),63.0)</f>
        <v>63</v>
      </c>
      <c r="F2127" s="19" t="str">
        <f>IFERROR(__xludf.DUMMYFUNCTION("""COMPUTED_VALUE"""),"BLACK")</f>
        <v>BLACK</v>
      </c>
      <c r="G2127" s="20" t="str">
        <f>IFERROR(__xludf.DUMMYFUNCTION("""COMPUTED_VALUE"""),"Tap 6 Clone (10/15/2021)")</f>
        <v>Tap 6 Clone (10/15/2021)</v>
      </c>
      <c r="H2127" s="19"/>
    </row>
    <row r="2128">
      <c r="A2128" s="9"/>
      <c r="B2128" s="15"/>
      <c r="C2128" s="9">
        <f>IFERROR(__xludf.DUMMYFUNCTION("""COMPUTED_VALUE"""),44489.5083558333)</f>
        <v>44489.50836</v>
      </c>
      <c r="D2128" s="15">
        <f>IFERROR(__xludf.DUMMYFUNCTION("""COMPUTED_VALUE"""),1.034)</f>
        <v>1.034</v>
      </c>
      <c r="E2128" s="16">
        <f>IFERROR(__xludf.DUMMYFUNCTION("""COMPUTED_VALUE"""),63.0)</f>
        <v>63</v>
      </c>
      <c r="F2128" s="19" t="str">
        <f>IFERROR(__xludf.DUMMYFUNCTION("""COMPUTED_VALUE"""),"BLACK")</f>
        <v>BLACK</v>
      </c>
      <c r="G2128" s="20" t="str">
        <f>IFERROR(__xludf.DUMMYFUNCTION("""COMPUTED_VALUE"""),"Tap 6 Clone (10/15/2021)")</f>
        <v>Tap 6 Clone (10/15/2021)</v>
      </c>
      <c r="H2128" s="19"/>
    </row>
    <row r="2129">
      <c r="A2129" s="9"/>
      <c r="B2129" s="15"/>
      <c r="C2129" s="9">
        <f>IFERROR(__xludf.DUMMYFUNCTION("""COMPUTED_VALUE"""),44489.4979354282)</f>
        <v>44489.49794</v>
      </c>
      <c r="D2129" s="15">
        <f>IFERROR(__xludf.DUMMYFUNCTION("""COMPUTED_VALUE"""),1.035)</f>
        <v>1.035</v>
      </c>
      <c r="E2129" s="16">
        <f>IFERROR(__xludf.DUMMYFUNCTION("""COMPUTED_VALUE"""),63.0)</f>
        <v>63</v>
      </c>
      <c r="F2129" s="19" t="str">
        <f>IFERROR(__xludf.DUMMYFUNCTION("""COMPUTED_VALUE"""),"BLACK")</f>
        <v>BLACK</v>
      </c>
      <c r="G2129" s="20" t="str">
        <f>IFERROR(__xludf.DUMMYFUNCTION("""COMPUTED_VALUE"""),"Tap 6 Clone (10/15/2021)")</f>
        <v>Tap 6 Clone (10/15/2021)</v>
      </c>
      <c r="H2129" s="19"/>
    </row>
    <row r="2130">
      <c r="A2130" s="9"/>
      <c r="B2130" s="15"/>
      <c r="C2130" s="9">
        <f>IFERROR(__xludf.DUMMYFUNCTION("""COMPUTED_VALUE"""),44489.4875150578)</f>
        <v>44489.48752</v>
      </c>
      <c r="D2130" s="15">
        <f>IFERROR(__xludf.DUMMYFUNCTION("""COMPUTED_VALUE"""),1.035)</f>
        <v>1.035</v>
      </c>
      <c r="E2130" s="16">
        <f>IFERROR(__xludf.DUMMYFUNCTION("""COMPUTED_VALUE"""),63.0)</f>
        <v>63</v>
      </c>
      <c r="F2130" s="19" t="str">
        <f>IFERROR(__xludf.DUMMYFUNCTION("""COMPUTED_VALUE"""),"BLACK")</f>
        <v>BLACK</v>
      </c>
      <c r="G2130" s="20" t="str">
        <f>IFERROR(__xludf.DUMMYFUNCTION("""COMPUTED_VALUE"""),"Tap 6 Clone (10/15/2021)")</f>
        <v>Tap 6 Clone (10/15/2021)</v>
      </c>
      <c r="H2130" s="19"/>
    </row>
    <row r="2131">
      <c r="A2131" s="9"/>
      <c r="B2131" s="15"/>
      <c r="C2131" s="9">
        <f>IFERROR(__xludf.DUMMYFUNCTION("""COMPUTED_VALUE"""),44489.477092199)</f>
        <v>44489.47709</v>
      </c>
      <c r="D2131" s="15">
        <f>IFERROR(__xludf.DUMMYFUNCTION("""COMPUTED_VALUE"""),1.034)</f>
        <v>1.034</v>
      </c>
      <c r="E2131" s="16">
        <f>IFERROR(__xludf.DUMMYFUNCTION("""COMPUTED_VALUE"""),63.0)</f>
        <v>63</v>
      </c>
      <c r="F2131" s="19" t="str">
        <f>IFERROR(__xludf.DUMMYFUNCTION("""COMPUTED_VALUE"""),"BLACK")</f>
        <v>BLACK</v>
      </c>
      <c r="G2131" s="20" t="str">
        <f>IFERROR(__xludf.DUMMYFUNCTION("""COMPUTED_VALUE"""),"Tap 6 Clone (10/15/2021)")</f>
        <v>Tap 6 Clone (10/15/2021)</v>
      </c>
      <c r="H2131" s="19"/>
    </row>
    <row r="2132">
      <c r="A2132" s="9"/>
      <c r="B2132" s="15"/>
      <c r="C2132" s="9">
        <f>IFERROR(__xludf.DUMMYFUNCTION("""COMPUTED_VALUE"""),44489.4666720717)</f>
        <v>44489.46667</v>
      </c>
      <c r="D2132" s="15">
        <f>IFERROR(__xludf.DUMMYFUNCTION("""COMPUTED_VALUE"""),1.034)</f>
        <v>1.034</v>
      </c>
      <c r="E2132" s="16">
        <f>IFERROR(__xludf.DUMMYFUNCTION("""COMPUTED_VALUE"""),63.0)</f>
        <v>63</v>
      </c>
      <c r="F2132" s="19" t="str">
        <f>IFERROR(__xludf.DUMMYFUNCTION("""COMPUTED_VALUE"""),"BLACK")</f>
        <v>BLACK</v>
      </c>
      <c r="G2132" s="20" t="str">
        <f>IFERROR(__xludf.DUMMYFUNCTION("""COMPUTED_VALUE"""),"Tap 6 Clone (10/15/2021)")</f>
        <v>Tap 6 Clone (10/15/2021)</v>
      </c>
      <c r="H2132" s="19"/>
    </row>
    <row r="2133">
      <c r="A2133" s="9"/>
      <c r="B2133" s="15"/>
      <c r="C2133" s="9">
        <f>IFERROR(__xludf.DUMMYFUNCTION("""COMPUTED_VALUE"""),44489.4562503472)</f>
        <v>44489.45625</v>
      </c>
      <c r="D2133" s="15">
        <f>IFERROR(__xludf.DUMMYFUNCTION("""COMPUTED_VALUE"""),1.034)</f>
        <v>1.034</v>
      </c>
      <c r="E2133" s="16">
        <f>IFERROR(__xludf.DUMMYFUNCTION("""COMPUTED_VALUE"""),63.0)</f>
        <v>63</v>
      </c>
      <c r="F2133" s="19" t="str">
        <f>IFERROR(__xludf.DUMMYFUNCTION("""COMPUTED_VALUE"""),"BLACK")</f>
        <v>BLACK</v>
      </c>
      <c r="G2133" s="20" t="str">
        <f>IFERROR(__xludf.DUMMYFUNCTION("""COMPUTED_VALUE"""),"Tap 6 Clone (10/15/2021)")</f>
        <v>Tap 6 Clone (10/15/2021)</v>
      </c>
      <c r="H2133" s="19"/>
    </row>
    <row r="2134">
      <c r="A2134" s="9"/>
      <c r="B2134" s="15"/>
      <c r="C2134" s="9">
        <f>IFERROR(__xludf.DUMMYFUNCTION("""COMPUTED_VALUE"""),44489.4458305092)</f>
        <v>44489.44583</v>
      </c>
      <c r="D2134" s="15">
        <f>IFERROR(__xludf.DUMMYFUNCTION("""COMPUTED_VALUE"""),1.034)</f>
        <v>1.034</v>
      </c>
      <c r="E2134" s="16">
        <f>IFERROR(__xludf.DUMMYFUNCTION("""COMPUTED_VALUE"""),63.0)</f>
        <v>63</v>
      </c>
      <c r="F2134" s="19" t="str">
        <f>IFERROR(__xludf.DUMMYFUNCTION("""COMPUTED_VALUE"""),"BLACK")</f>
        <v>BLACK</v>
      </c>
      <c r="G2134" s="20" t="str">
        <f>IFERROR(__xludf.DUMMYFUNCTION("""COMPUTED_VALUE"""),"Tap 6 Clone (10/15/2021)")</f>
        <v>Tap 6 Clone (10/15/2021)</v>
      </c>
      <c r="H2134" s="19"/>
    </row>
    <row r="2135">
      <c r="A2135" s="9"/>
      <c r="B2135" s="15"/>
      <c r="C2135" s="9">
        <f>IFERROR(__xludf.DUMMYFUNCTION("""COMPUTED_VALUE"""),44489.4354092708)</f>
        <v>44489.43541</v>
      </c>
      <c r="D2135" s="15">
        <f>IFERROR(__xludf.DUMMYFUNCTION("""COMPUTED_VALUE"""),1.035)</f>
        <v>1.035</v>
      </c>
      <c r="E2135" s="16">
        <f>IFERROR(__xludf.DUMMYFUNCTION("""COMPUTED_VALUE"""),63.0)</f>
        <v>63</v>
      </c>
      <c r="F2135" s="19" t="str">
        <f>IFERROR(__xludf.DUMMYFUNCTION("""COMPUTED_VALUE"""),"BLACK")</f>
        <v>BLACK</v>
      </c>
      <c r="G2135" s="20" t="str">
        <f>IFERROR(__xludf.DUMMYFUNCTION("""COMPUTED_VALUE"""),"Tap 6 Clone (10/15/2021)")</f>
        <v>Tap 6 Clone (10/15/2021)</v>
      </c>
      <c r="H2135" s="19"/>
    </row>
    <row r="2136">
      <c r="A2136" s="9"/>
      <c r="B2136" s="15"/>
      <c r="C2136" s="9">
        <f>IFERROR(__xludf.DUMMYFUNCTION("""COMPUTED_VALUE"""),44489.4249890277)</f>
        <v>44489.42499</v>
      </c>
      <c r="D2136" s="15">
        <f>IFERROR(__xludf.DUMMYFUNCTION("""COMPUTED_VALUE"""),1.033)</f>
        <v>1.033</v>
      </c>
      <c r="E2136" s="16">
        <f>IFERROR(__xludf.DUMMYFUNCTION("""COMPUTED_VALUE"""),63.0)</f>
        <v>63</v>
      </c>
      <c r="F2136" s="19" t="str">
        <f>IFERROR(__xludf.DUMMYFUNCTION("""COMPUTED_VALUE"""),"BLACK")</f>
        <v>BLACK</v>
      </c>
      <c r="G2136" s="20" t="str">
        <f>IFERROR(__xludf.DUMMYFUNCTION("""COMPUTED_VALUE"""),"Tap 6 Clone (10/15/2021)")</f>
        <v>Tap 6 Clone (10/15/2021)</v>
      </c>
      <c r="H2136" s="19"/>
    </row>
    <row r="2137">
      <c r="A2137" s="9"/>
      <c r="B2137" s="15"/>
      <c r="C2137" s="9">
        <f>IFERROR(__xludf.DUMMYFUNCTION("""COMPUTED_VALUE"""),44489.4145670486)</f>
        <v>44489.41457</v>
      </c>
      <c r="D2137" s="15">
        <f>IFERROR(__xludf.DUMMYFUNCTION("""COMPUTED_VALUE"""),1.034)</f>
        <v>1.034</v>
      </c>
      <c r="E2137" s="16">
        <f>IFERROR(__xludf.DUMMYFUNCTION("""COMPUTED_VALUE"""),63.0)</f>
        <v>63</v>
      </c>
      <c r="F2137" s="19" t="str">
        <f>IFERROR(__xludf.DUMMYFUNCTION("""COMPUTED_VALUE"""),"BLACK")</f>
        <v>BLACK</v>
      </c>
      <c r="G2137" s="20" t="str">
        <f>IFERROR(__xludf.DUMMYFUNCTION("""COMPUTED_VALUE"""),"Tap 6 Clone (10/15/2021)")</f>
        <v>Tap 6 Clone (10/15/2021)</v>
      </c>
      <c r="H2137" s="19"/>
    </row>
    <row r="2138">
      <c r="A2138" s="9"/>
      <c r="B2138" s="15"/>
      <c r="C2138" s="9">
        <f>IFERROR(__xludf.DUMMYFUNCTION("""COMPUTED_VALUE"""),44489.4041454513)</f>
        <v>44489.40415</v>
      </c>
      <c r="D2138" s="15">
        <f>IFERROR(__xludf.DUMMYFUNCTION("""COMPUTED_VALUE"""),1.034)</f>
        <v>1.034</v>
      </c>
      <c r="E2138" s="16">
        <f>IFERROR(__xludf.DUMMYFUNCTION("""COMPUTED_VALUE"""),63.0)</f>
        <v>63</v>
      </c>
      <c r="F2138" s="19" t="str">
        <f>IFERROR(__xludf.DUMMYFUNCTION("""COMPUTED_VALUE"""),"BLACK")</f>
        <v>BLACK</v>
      </c>
      <c r="G2138" s="20" t="str">
        <f>IFERROR(__xludf.DUMMYFUNCTION("""COMPUTED_VALUE"""),"Tap 6 Clone (10/15/2021)")</f>
        <v>Tap 6 Clone (10/15/2021)</v>
      </c>
      <c r="H2138" s="19"/>
    </row>
    <row r="2139">
      <c r="A2139" s="9"/>
      <c r="B2139" s="15"/>
      <c r="C2139" s="9">
        <f>IFERROR(__xludf.DUMMYFUNCTION("""COMPUTED_VALUE"""),44489.3937223379)</f>
        <v>44489.39372</v>
      </c>
      <c r="D2139" s="15">
        <f>IFERROR(__xludf.DUMMYFUNCTION("""COMPUTED_VALUE"""),1.034)</f>
        <v>1.034</v>
      </c>
      <c r="E2139" s="16">
        <f>IFERROR(__xludf.DUMMYFUNCTION("""COMPUTED_VALUE"""),63.0)</f>
        <v>63</v>
      </c>
      <c r="F2139" s="19" t="str">
        <f>IFERROR(__xludf.DUMMYFUNCTION("""COMPUTED_VALUE"""),"BLACK")</f>
        <v>BLACK</v>
      </c>
      <c r="G2139" s="20" t="str">
        <f>IFERROR(__xludf.DUMMYFUNCTION("""COMPUTED_VALUE"""),"Tap 6 Clone (10/15/2021)")</f>
        <v>Tap 6 Clone (10/15/2021)</v>
      </c>
      <c r="H2139" s="19"/>
    </row>
    <row r="2140">
      <c r="A2140" s="9"/>
      <c r="B2140" s="15"/>
      <c r="C2140" s="9">
        <f>IFERROR(__xludf.DUMMYFUNCTION("""COMPUTED_VALUE"""),44489.3833030787)</f>
        <v>44489.3833</v>
      </c>
      <c r="D2140" s="15">
        <f>IFERROR(__xludf.DUMMYFUNCTION("""COMPUTED_VALUE"""),1.034)</f>
        <v>1.034</v>
      </c>
      <c r="E2140" s="16">
        <f>IFERROR(__xludf.DUMMYFUNCTION("""COMPUTED_VALUE"""),63.0)</f>
        <v>63</v>
      </c>
      <c r="F2140" s="19" t="str">
        <f>IFERROR(__xludf.DUMMYFUNCTION("""COMPUTED_VALUE"""),"BLACK")</f>
        <v>BLACK</v>
      </c>
      <c r="G2140" s="20" t="str">
        <f>IFERROR(__xludf.DUMMYFUNCTION("""COMPUTED_VALUE"""),"Tap 6 Clone (10/15/2021)")</f>
        <v>Tap 6 Clone (10/15/2021)</v>
      </c>
      <c r="H2140" s="19"/>
    </row>
    <row r="2141">
      <c r="A2141" s="9"/>
      <c r="B2141" s="15"/>
      <c r="C2141" s="9">
        <f>IFERROR(__xludf.DUMMYFUNCTION("""COMPUTED_VALUE"""),44489.3728714004)</f>
        <v>44489.37287</v>
      </c>
      <c r="D2141" s="15">
        <f>IFERROR(__xludf.DUMMYFUNCTION("""COMPUTED_VALUE"""),1.034)</f>
        <v>1.034</v>
      </c>
      <c r="E2141" s="16">
        <f>IFERROR(__xludf.DUMMYFUNCTION("""COMPUTED_VALUE"""),63.0)</f>
        <v>63</v>
      </c>
      <c r="F2141" s="19" t="str">
        <f>IFERROR(__xludf.DUMMYFUNCTION("""COMPUTED_VALUE"""),"BLACK")</f>
        <v>BLACK</v>
      </c>
      <c r="G2141" s="20" t="str">
        <f>IFERROR(__xludf.DUMMYFUNCTION("""COMPUTED_VALUE"""),"Tap 6 Clone (10/15/2021)")</f>
        <v>Tap 6 Clone (10/15/2021)</v>
      </c>
      <c r="H2141" s="19"/>
    </row>
    <row r="2142">
      <c r="A2142" s="9"/>
      <c r="B2142" s="15"/>
      <c r="C2142" s="9">
        <f>IFERROR(__xludf.DUMMYFUNCTION("""COMPUTED_VALUE"""),44489.362414375)</f>
        <v>44489.36241</v>
      </c>
      <c r="D2142" s="15">
        <f>IFERROR(__xludf.DUMMYFUNCTION("""COMPUTED_VALUE"""),1.034)</f>
        <v>1.034</v>
      </c>
      <c r="E2142" s="16">
        <f>IFERROR(__xludf.DUMMYFUNCTION("""COMPUTED_VALUE"""),63.0)</f>
        <v>63</v>
      </c>
      <c r="F2142" s="19" t="str">
        <f>IFERROR(__xludf.DUMMYFUNCTION("""COMPUTED_VALUE"""),"BLACK")</f>
        <v>BLACK</v>
      </c>
      <c r="G2142" s="20" t="str">
        <f>IFERROR(__xludf.DUMMYFUNCTION("""COMPUTED_VALUE"""),"Tap 6 Clone (10/15/2021)")</f>
        <v>Tap 6 Clone (10/15/2021)</v>
      </c>
      <c r="H2142" s="19"/>
    </row>
    <row r="2143">
      <c r="A2143" s="9"/>
      <c r="B2143" s="15"/>
      <c r="C2143" s="9">
        <f>IFERROR(__xludf.DUMMYFUNCTION("""COMPUTED_VALUE"""),44489.3519931944)</f>
        <v>44489.35199</v>
      </c>
      <c r="D2143" s="15">
        <f>IFERROR(__xludf.DUMMYFUNCTION("""COMPUTED_VALUE"""),1.035)</f>
        <v>1.035</v>
      </c>
      <c r="E2143" s="16">
        <f>IFERROR(__xludf.DUMMYFUNCTION("""COMPUTED_VALUE"""),63.0)</f>
        <v>63</v>
      </c>
      <c r="F2143" s="19" t="str">
        <f>IFERROR(__xludf.DUMMYFUNCTION("""COMPUTED_VALUE"""),"BLACK")</f>
        <v>BLACK</v>
      </c>
      <c r="G2143" s="20" t="str">
        <f>IFERROR(__xludf.DUMMYFUNCTION("""COMPUTED_VALUE"""),"Tap 6 Clone (10/15/2021)")</f>
        <v>Tap 6 Clone (10/15/2021)</v>
      </c>
      <c r="H2143" s="19"/>
    </row>
    <row r="2144">
      <c r="A2144" s="9"/>
      <c r="B2144" s="15"/>
      <c r="C2144" s="9">
        <f>IFERROR(__xludf.DUMMYFUNCTION("""COMPUTED_VALUE"""),44489.3415703935)</f>
        <v>44489.34157</v>
      </c>
      <c r="D2144" s="15">
        <f>IFERROR(__xludf.DUMMYFUNCTION("""COMPUTED_VALUE"""),1.034)</f>
        <v>1.034</v>
      </c>
      <c r="E2144" s="16">
        <f>IFERROR(__xludf.DUMMYFUNCTION("""COMPUTED_VALUE"""),63.0)</f>
        <v>63</v>
      </c>
      <c r="F2144" s="19" t="str">
        <f>IFERROR(__xludf.DUMMYFUNCTION("""COMPUTED_VALUE"""),"BLACK")</f>
        <v>BLACK</v>
      </c>
      <c r="G2144" s="20" t="str">
        <f>IFERROR(__xludf.DUMMYFUNCTION("""COMPUTED_VALUE"""),"Tap 6 Clone (10/15/2021)")</f>
        <v>Tap 6 Clone (10/15/2021)</v>
      </c>
      <c r="H2144" s="19"/>
    </row>
    <row r="2145">
      <c r="A2145" s="9"/>
      <c r="B2145" s="15"/>
      <c r="C2145" s="9">
        <f>IFERROR(__xludf.DUMMYFUNCTION("""COMPUTED_VALUE"""),44489.3311141203)</f>
        <v>44489.33111</v>
      </c>
      <c r="D2145" s="15">
        <f>IFERROR(__xludf.DUMMYFUNCTION("""COMPUTED_VALUE"""),1.034)</f>
        <v>1.034</v>
      </c>
      <c r="E2145" s="16">
        <f>IFERROR(__xludf.DUMMYFUNCTION("""COMPUTED_VALUE"""),63.0)</f>
        <v>63</v>
      </c>
      <c r="F2145" s="19" t="str">
        <f>IFERROR(__xludf.DUMMYFUNCTION("""COMPUTED_VALUE"""),"BLACK")</f>
        <v>BLACK</v>
      </c>
      <c r="G2145" s="20" t="str">
        <f>IFERROR(__xludf.DUMMYFUNCTION("""COMPUTED_VALUE"""),"Tap 6 Clone (10/15/2021)")</f>
        <v>Tap 6 Clone (10/15/2021)</v>
      </c>
      <c r="H2145" s="19"/>
    </row>
    <row r="2146">
      <c r="A2146" s="9"/>
      <c r="B2146" s="15"/>
      <c r="C2146" s="9">
        <f>IFERROR(__xludf.DUMMYFUNCTION("""COMPUTED_VALUE"""),44489.3206691203)</f>
        <v>44489.32067</v>
      </c>
      <c r="D2146" s="15">
        <f>IFERROR(__xludf.DUMMYFUNCTION("""COMPUTED_VALUE"""),1.034)</f>
        <v>1.034</v>
      </c>
      <c r="E2146" s="16">
        <f>IFERROR(__xludf.DUMMYFUNCTION("""COMPUTED_VALUE"""),63.0)</f>
        <v>63</v>
      </c>
      <c r="F2146" s="19" t="str">
        <f>IFERROR(__xludf.DUMMYFUNCTION("""COMPUTED_VALUE"""),"BLACK")</f>
        <v>BLACK</v>
      </c>
      <c r="G2146" s="20" t="str">
        <f>IFERROR(__xludf.DUMMYFUNCTION("""COMPUTED_VALUE"""),"Tap 6 Clone (10/15/2021)")</f>
        <v>Tap 6 Clone (10/15/2021)</v>
      </c>
      <c r="H2146" s="19"/>
    </row>
    <row r="2147">
      <c r="A2147" s="9"/>
      <c r="B2147" s="15"/>
      <c r="C2147" s="9">
        <f>IFERROR(__xludf.DUMMYFUNCTION("""COMPUTED_VALUE"""),44489.3102361921)</f>
        <v>44489.31024</v>
      </c>
      <c r="D2147" s="15">
        <f>IFERROR(__xludf.DUMMYFUNCTION("""COMPUTED_VALUE"""),1.035)</f>
        <v>1.035</v>
      </c>
      <c r="E2147" s="16">
        <f>IFERROR(__xludf.DUMMYFUNCTION("""COMPUTED_VALUE"""),63.0)</f>
        <v>63</v>
      </c>
      <c r="F2147" s="19" t="str">
        <f>IFERROR(__xludf.DUMMYFUNCTION("""COMPUTED_VALUE"""),"BLACK")</f>
        <v>BLACK</v>
      </c>
      <c r="G2147" s="20" t="str">
        <f>IFERROR(__xludf.DUMMYFUNCTION("""COMPUTED_VALUE"""),"Tap 6 Clone (10/15/2021)")</f>
        <v>Tap 6 Clone (10/15/2021)</v>
      </c>
      <c r="H2147" s="19"/>
    </row>
    <row r="2148">
      <c r="A2148" s="9"/>
      <c r="B2148" s="15"/>
      <c r="C2148" s="9">
        <f>IFERROR(__xludf.DUMMYFUNCTION("""COMPUTED_VALUE"""),44489.2998157176)</f>
        <v>44489.29982</v>
      </c>
      <c r="D2148" s="15">
        <f>IFERROR(__xludf.DUMMYFUNCTION("""COMPUTED_VALUE"""),1.035)</f>
        <v>1.035</v>
      </c>
      <c r="E2148" s="16">
        <f>IFERROR(__xludf.DUMMYFUNCTION("""COMPUTED_VALUE"""),63.0)</f>
        <v>63</v>
      </c>
      <c r="F2148" s="19" t="str">
        <f>IFERROR(__xludf.DUMMYFUNCTION("""COMPUTED_VALUE"""),"BLACK")</f>
        <v>BLACK</v>
      </c>
      <c r="G2148" s="20" t="str">
        <f>IFERROR(__xludf.DUMMYFUNCTION("""COMPUTED_VALUE"""),"Tap 6 Clone (10/15/2021)")</f>
        <v>Tap 6 Clone (10/15/2021)</v>
      </c>
      <c r="H2148" s="19"/>
    </row>
    <row r="2149">
      <c r="A2149" s="9"/>
      <c r="B2149" s="15"/>
      <c r="C2149" s="9">
        <f>IFERROR(__xludf.DUMMYFUNCTION("""COMPUTED_VALUE"""),44489.2893835069)</f>
        <v>44489.28938</v>
      </c>
      <c r="D2149" s="15">
        <f>IFERROR(__xludf.DUMMYFUNCTION("""COMPUTED_VALUE"""),1.034)</f>
        <v>1.034</v>
      </c>
      <c r="E2149" s="16">
        <f>IFERROR(__xludf.DUMMYFUNCTION("""COMPUTED_VALUE"""),63.0)</f>
        <v>63</v>
      </c>
      <c r="F2149" s="19" t="str">
        <f>IFERROR(__xludf.DUMMYFUNCTION("""COMPUTED_VALUE"""),"BLACK")</f>
        <v>BLACK</v>
      </c>
      <c r="G2149" s="20" t="str">
        <f>IFERROR(__xludf.DUMMYFUNCTION("""COMPUTED_VALUE"""),"Tap 6 Clone (10/15/2021)")</f>
        <v>Tap 6 Clone (10/15/2021)</v>
      </c>
      <c r="H2149" s="19"/>
    </row>
    <row r="2150">
      <c r="A2150" s="9"/>
      <c r="B2150" s="15"/>
      <c r="C2150" s="9">
        <f>IFERROR(__xludf.DUMMYFUNCTION("""COMPUTED_VALUE"""),44489.2789398032)</f>
        <v>44489.27894</v>
      </c>
      <c r="D2150" s="15">
        <f>IFERROR(__xludf.DUMMYFUNCTION("""COMPUTED_VALUE"""),1.034)</f>
        <v>1.034</v>
      </c>
      <c r="E2150" s="16">
        <f>IFERROR(__xludf.DUMMYFUNCTION("""COMPUTED_VALUE"""),63.0)</f>
        <v>63</v>
      </c>
      <c r="F2150" s="19" t="str">
        <f>IFERROR(__xludf.DUMMYFUNCTION("""COMPUTED_VALUE"""),"BLACK")</f>
        <v>BLACK</v>
      </c>
      <c r="G2150" s="20" t="str">
        <f>IFERROR(__xludf.DUMMYFUNCTION("""COMPUTED_VALUE"""),"Tap 6 Clone (10/15/2021)")</f>
        <v>Tap 6 Clone (10/15/2021)</v>
      </c>
      <c r="H2150" s="19"/>
    </row>
    <row r="2151">
      <c r="A2151" s="9"/>
      <c r="B2151" s="15"/>
      <c r="C2151" s="9">
        <f>IFERROR(__xludf.DUMMYFUNCTION("""COMPUTED_VALUE"""),44489.2685061342)</f>
        <v>44489.26851</v>
      </c>
      <c r="D2151" s="15">
        <f>IFERROR(__xludf.DUMMYFUNCTION("""COMPUTED_VALUE"""),1.035)</f>
        <v>1.035</v>
      </c>
      <c r="E2151" s="16">
        <f>IFERROR(__xludf.DUMMYFUNCTION("""COMPUTED_VALUE"""),62.0)</f>
        <v>62</v>
      </c>
      <c r="F2151" s="19" t="str">
        <f>IFERROR(__xludf.DUMMYFUNCTION("""COMPUTED_VALUE"""),"BLACK")</f>
        <v>BLACK</v>
      </c>
      <c r="G2151" s="20" t="str">
        <f>IFERROR(__xludf.DUMMYFUNCTION("""COMPUTED_VALUE"""),"Tap 6 Clone (10/15/2021)")</f>
        <v>Tap 6 Clone (10/15/2021)</v>
      </c>
      <c r="H2151" s="19"/>
    </row>
    <row r="2152">
      <c r="A2152" s="9"/>
      <c r="B2152" s="15"/>
      <c r="C2152" s="9">
        <f>IFERROR(__xludf.DUMMYFUNCTION("""COMPUTED_VALUE"""),44489.2580850694)</f>
        <v>44489.25809</v>
      </c>
      <c r="D2152" s="15">
        <f>IFERROR(__xludf.DUMMYFUNCTION("""COMPUTED_VALUE"""),1.034)</f>
        <v>1.034</v>
      </c>
      <c r="E2152" s="16">
        <f>IFERROR(__xludf.DUMMYFUNCTION("""COMPUTED_VALUE"""),62.0)</f>
        <v>62</v>
      </c>
      <c r="F2152" s="19" t="str">
        <f>IFERROR(__xludf.DUMMYFUNCTION("""COMPUTED_VALUE"""),"BLACK")</f>
        <v>BLACK</v>
      </c>
      <c r="G2152" s="20" t="str">
        <f>IFERROR(__xludf.DUMMYFUNCTION("""COMPUTED_VALUE"""),"Tap 6 Clone (10/15/2021)")</f>
        <v>Tap 6 Clone (10/15/2021)</v>
      </c>
      <c r="H2152" s="19"/>
    </row>
    <row r="2153">
      <c r="A2153" s="9"/>
      <c r="B2153" s="15"/>
      <c r="C2153" s="9">
        <f>IFERROR(__xludf.DUMMYFUNCTION("""COMPUTED_VALUE"""),44489.247664074)</f>
        <v>44489.24766</v>
      </c>
      <c r="D2153" s="15">
        <f>IFERROR(__xludf.DUMMYFUNCTION("""COMPUTED_VALUE"""),1.034)</f>
        <v>1.034</v>
      </c>
      <c r="E2153" s="16">
        <f>IFERROR(__xludf.DUMMYFUNCTION("""COMPUTED_VALUE"""),62.0)</f>
        <v>62</v>
      </c>
      <c r="F2153" s="19" t="str">
        <f>IFERROR(__xludf.DUMMYFUNCTION("""COMPUTED_VALUE"""),"BLACK")</f>
        <v>BLACK</v>
      </c>
      <c r="G2153" s="20" t="str">
        <f>IFERROR(__xludf.DUMMYFUNCTION("""COMPUTED_VALUE"""),"Tap 6 Clone (10/15/2021)")</f>
        <v>Tap 6 Clone (10/15/2021)</v>
      </c>
      <c r="H2153" s="19"/>
    </row>
    <row r="2154">
      <c r="A2154" s="9"/>
      <c r="B2154" s="15"/>
      <c r="C2154" s="9">
        <f>IFERROR(__xludf.DUMMYFUNCTION("""COMPUTED_VALUE"""),44489.237229456)</f>
        <v>44489.23723</v>
      </c>
      <c r="D2154" s="15">
        <f>IFERROR(__xludf.DUMMYFUNCTION("""COMPUTED_VALUE"""),1.035)</f>
        <v>1.035</v>
      </c>
      <c r="E2154" s="16">
        <f>IFERROR(__xludf.DUMMYFUNCTION("""COMPUTED_VALUE"""),62.0)</f>
        <v>62</v>
      </c>
      <c r="F2154" s="19" t="str">
        <f>IFERROR(__xludf.DUMMYFUNCTION("""COMPUTED_VALUE"""),"BLACK")</f>
        <v>BLACK</v>
      </c>
      <c r="G2154" s="20" t="str">
        <f>IFERROR(__xludf.DUMMYFUNCTION("""COMPUTED_VALUE"""),"Tap 6 Clone (10/15/2021)")</f>
        <v>Tap 6 Clone (10/15/2021)</v>
      </c>
      <c r="H2154" s="19"/>
    </row>
    <row r="2155">
      <c r="A2155" s="9"/>
      <c r="B2155" s="15"/>
      <c r="C2155" s="9">
        <f>IFERROR(__xludf.DUMMYFUNCTION("""COMPUTED_VALUE"""),44489.2267957986)</f>
        <v>44489.2268</v>
      </c>
      <c r="D2155" s="15">
        <f>IFERROR(__xludf.DUMMYFUNCTION("""COMPUTED_VALUE"""),1.035)</f>
        <v>1.035</v>
      </c>
      <c r="E2155" s="16">
        <f>IFERROR(__xludf.DUMMYFUNCTION("""COMPUTED_VALUE"""),62.0)</f>
        <v>62</v>
      </c>
      <c r="F2155" s="19" t="str">
        <f>IFERROR(__xludf.DUMMYFUNCTION("""COMPUTED_VALUE"""),"BLACK")</f>
        <v>BLACK</v>
      </c>
      <c r="G2155" s="20" t="str">
        <f>IFERROR(__xludf.DUMMYFUNCTION("""COMPUTED_VALUE"""),"Tap 6 Clone (10/15/2021)")</f>
        <v>Tap 6 Clone (10/15/2021)</v>
      </c>
      <c r="H2155" s="19"/>
    </row>
    <row r="2156">
      <c r="A2156" s="9"/>
      <c r="B2156" s="15"/>
      <c r="C2156" s="9">
        <f>IFERROR(__xludf.DUMMYFUNCTION("""COMPUTED_VALUE"""),44489.2163618171)</f>
        <v>44489.21636</v>
      </c>
      <c r="D2156" s="15">
        <f>IFERROR(__xludf.DUMMYFUNCTION("""COMPUTED_VALUE"""),1.034)</f>
        <v>1.034</v>
      </c>
      <c r="E2156" s="16">
        <f>IFERROR(__xludf.DUMMYFUNCTION("""COMPUTED_VALUE"""),62.0)</f>
        <v>62</v>
      </c>
      <c r="F2156" s="19" t="str">
        <f>IFERROR(__xludf.DUMMYFUNCTION("""COMPUTED_VALUE"""),"BLACK")</f>
        <v>BLACK</v>
      </c>
      <c r="G2156" s="20" t="str">
        <f>IFERROR(__xludf.DUMMYFUNCTION("""COMPUTED_VALUE"""),"Tap 6 Clone (10/15/2021)")</f>
        <v>Tap 6 Clone (10/15/2021)</v>
      </c>
      <c r="H2156" s="19"/>
    </row>
    <row r="2157">
      <c r="A2157" s="9"/>
      <c r="B2157" s="15"/>
      <c r="C2157" s="9">
        <f>IFERROR(__xludf.DUMMYFUNCTION("""COMPUTED_VALUE"""),44489.2059262847)</f>
        <v>44489.20593</v>
      </c>
      <c r="D2157" s="15">
        <f>IFERROR(__xludf.DUMMYFUNCTION("""COMPUTED_VALUE"""),1.035)</f>
        <v>1.035</v>
      </c>
      <c r="E2157" s="16">
        <f>IFERROR(__xludf.DUMMYFUNCTION("""COMPUTED_VALUE"""),62.0)</f>
        <v>62</v>
      </c>
      <c r="F2157" s="19" t="str">
        <f>IFERROR(__xludf.DUMMYFUNCTION("""COMPUTED_VALUE"""),"BLACK")</f>
        <v>BLACK</v>
      </c>
      <c r="G2157" s="20" t="str">
        <f>IFERROR(__xludf.DUMMYFUNCTION("""COMPUTED_VALUE"""),"Tap 6 Clone (10/15/2021)")</f>
        <v>Tap 6 Clone (10/15/2021)</v>
      </c>
      <c r="H2157" s="19"/>
    </row>
    <row r="2158">
      <c r="A2158" s="9"/>
      <c r="B2158" s="15"/>
      <c r="C2158" s="9">
        <f>IFERROR(__xludf.DUMMYFUNCTION("""COMPUTED_VALUE"""),44489.195494074)</f>
        <v>44489.19549</v>
      </c>
      <c r="D2158" s="15">
        <f>IFERROR(__xludf.DUMMYFUNCTION("""COMPUTED_VALUE"""),1.035)</f>
        <v>1.035</v>
      </c>
      <c r="E2158" s="16">
        <f>IFERROR(__xludf.DUMMYFUNCTION("""COMPUTED_VALUE"""),62.0)</f>
        <v>62</v>
      </c>
      <c r="F2158" s="19" t="str">
        <f>IFERROR(__xludf.DUMMYFUNCTION("""COMPUTED_VALUE"""),"BLACK")</f>
        <v>BLACK</v>
      </c>
      <c r="G2158" s="20" t="str">
        <f>IFERROR(__xludf.DUMMYFUNCTION("""COMPUTED_VALUE"""),"Tap 6 Clone (10/15/2021)")</f>
        <v>Tap 6 Clone (10/15/2021)</v>
      </c>
      <c r="H2158" s="19"/>
    </row>
    <row r="2159">
      <c r="A2159" s="9"/>
      <c r="B2159" s="15"/>
      <c r="C2159" s="9">
        <f>IFERROR(__xludf.DUMMYFUNCTION("""COMPUTED_VALUE"""),44489.185061493)</f>
        <v>44489.18506</v>
      </c>
      <c r="D2159" s="15">
        <f>IFERROR(__xludf.DUMMYFUNCTION("""COMPUTED_VALUE"""),1.035)</f>
        <v>1.035</v>
      </c>
      <c r="E2159" s="16">
        <f>IFERROR(__xludf.DUMMYFUNCTION("""COMPUTED_VALUE"""),62.0)</f>
        <v>62</v>
      </c>
      <c r="F2159" s="19" t="str">
        <f>IFERROR(__xludf.DUMMYFUNCTION("""COMPUTED_VALUE"""),"BLACK")</f>
        <v>BLACK</v>
      </c>
      <c r="G2159" s="20" t="str">
        <f>IFERROR(__xludf.DUMMYFUNCTION("""COMPUTED_VALUE"""),"Tap 6 Clone (10/15/2021)")</f>
        <v>Tap 6 Clone (10/15/2021)</v>
      </c>
      <c r="H2159" s="19"/>
    </row>
    <row r="2160">
      <c r="A2160" s="9"/>
      <c r="B2160" s="15"/>
      <c r="C2160" s="9">
        <f>IFERROR(__xludf.DUMMYFUNCTION("""COMPUTED_VALUE"""),44489.1746282638)</f>
        <v>44489.17463</v>
      </c>
      <c r="D2160" s="15">
        <f>IFERROR(__xludf.DUMMYFUNCTION("""COMPUTED_VALUE"""),1.035)</f>
        <v>1.035</v>
      </c>
      <c r="E2160" s="16">
        <f>IFERROR(__xludf.DUMMYFUNCTION("""COMPUTED_VALUE"""),62.0)</f>
        <v>62</v>
      </c>
      <c r="F2160" s="19" t="str">
        <f>IFERROR(__xludf.DUMMYFUNCTION("""COMPUTED_VALUE"""),"BLACK")</f>
        <v>BLACK</v>
      </c>
      <c r="G2160" s="20" t="str">
        <f>IFERROR(__xludf.DUMMYFUNCTION("""COMPUTED_VALUE"""),"Tap 6 Clone (10/15/2021)")</f>
        <v>Tap 6 Clone (10/15/2021)</v>
      </c>
      <c r="H2160" s="19"/>
    </row>
    <row r="2161">
      <c r="A2161" s="9"/>
      <c r="B2161" s="15"/>
      <c r="C2161" s="9">
        <f>IFERROR(__xludf.DUMMYFUNCTION("""COMPUTED_VALUE"""),44489.1641954861)</f>
        <v>44489.1642</v>
      </c>
      <c r="D2161" s="15">
        <f>IFERROR(__xludf.DUMMYFUNCTION("""COMPUTED_VALUE"""),1.035)</f>
        <v>1.035</v>
      </c>
      <c r="E2161" s="16">
        <f>IFERROR(__xludf.DUMMYFUNCTION("""COMPUTED_VALUE"""),62.0)</f>
        <v>62</v>
      </c>
      <c r="F2161" s="19" t="str">
        <f>IFERROR(__xludf.DUMMYFUNCTION("""COMPUTED_VALUE"""),"BLACK")</f>
        <v>BLACK</v>
      </c>
      <c r="G2161" s="20" t="str">
        <f>IFERROR(__xludf.DUMMYFUNCTION("""COMPUTED_VALUE"""),"Tap 6 Clone (10/15/2021)")</f>
        <v>Tap 6 Clone (10/15/2021)</v>
      </c>
      <c r="H2161" s="19"/>
    </row>
    <row r="2162">
      <c r="A2162" s="9"/>
      <c r="B2162" s="15"/>
      <c r="C2162" s="9">
        <f>IFERROR(__xludf.DUMMYFUNCTION("""COMPUTED_VALUE"""),44489.153669456)</f>
        <v>44489.15367</v>
      </c>
      <c r="D2162" s="15">
        <f>IFERROR(__xludf.DUMMYFUNCTION("""COMPUTED_VALUE"""),1.035)</f>
        <v>1.035</v>
      </c>
      <c r="E2162" s="16">
        <f>IFERROR(__xludf.DUMMYFUNCTION("""COMPUTED_VALUE"""),62.0)</f>
        <v>62</v>
      </c>
      <c r="F2162" s="19" t="str">
        <f>IFERROR(__xludf.DUMMYFUNCTION("""COMPUTED_VALUE"""),"BLACK")</f>
        <v>BLACK</v>
      </c>
      <c r="G2162" s="20" t="str">
        <f>IFERROR(__xludf.DUMMYFUNCTION("""COMPUTED_VALUE"""),"Tap 6 Clone (10/15/2021)")</f>
        <v>Tap 6 Clone (10/15/2021)</v>
      </c>
      <c r="H2162" s="19"/>
    </row>
    <row r="2163">
      <c r="A2163" s="9"/>
      <c r="B2163" s="15"/>
      <c r="C2163" s="9">
        <f>IFERROR(__xludf.DUMMYFUNCTION("""COMPUTED_VALUE"""),44489.1432029166)</f>
        <v>44489.1432</v>
      </c>
      <c r="D2163" s="15">
        <f>IFERROR(__xludf.DUMMYFUNCTION("""COMPUTED_VALUE"""),1.035)</f>
        <v>1.035</v>
      </c>
      <c r="E2163" s="16">
        <f>IFERROR(__xludf.DUMMYFUNCTION("""COMPUTED_VALUE"""),62.0)</f>
        <v>62</v>
      </c>
      <c r="F2163" s="19" t="str">
        <f>IFERROR(__xludf.DUMMYFUNCTION("""COMPUTED_VALUE"""),"BLACK")</f>
        <v>BLACK</v>
      </c>
      <c r="G2163" s="20" t="str">
        <f>IFERROR(__xludf.DUMMYFUNCTION("""COMPUTED_VALUE"""),"Tap 6 Clone (10/15/2021)")</f>
        <v>Tap 6 Clone (10/15/2021)</v>
      </c>
      <c r="H2163" s="19"/>
    </row>
    <row r="2164">
      <c r="A2164" s="9"/>
      <c r="B2164" s="15"/>
      <c r="C2164" s="9">
        <f>IFERROR(__xludf.DUMMYFUNCTION("""COMPUTED_VALUE"""),44489.1326787268)</f>
        <v>44489.13268</v>
      </c>
      <c r="D2164" s="15">
        <f>IFERROR(__xludf.DUMMYFUNCTION("""COMPUTED_VALUE"""),1.035)</f>
        <v>1.035</v>
      </c>
      <c r="E2164" s="16">
        <f>IFERROR(__xludf.DUMMYFUNCTION("""COMPUTED_VALUE"""),62.0)</f>
        <v>62</v>
      </c>
      <c r="F2164" s="19" t="str">
        <f>IFERROR(__xludf.DUMMYFUNCTION("""COMPUTED_VALUE"""),"BLACK")</f>
        <v>BLACK</v>
      </c>
      <c r="G2164" s="20" t="str">
        <f>IFERROR(__xludf.DUMMYFUNCTION("""COMPUTED_VALUE"""),"Tap 6 Clone (10/15/2021)")</f>
        <v>Tap 6 Clone (10/15/2021)</v>
      </c>
      <c r="H2164" s="19"/>
    </row>
    <row r="2165">
      <c r="A2165" s="9"/>
      <c r="B2165" s="15"/>
      <c r="C2165" s="9">
        <f>IFERROR(__xludf.DUMMYFUNCTION("""COMPUTED_VALUE"""),44489.1222359722)</f>
        <v>44489.12224</v>
      </c>
      <c r="D2165" s="15">
        <f>IFERROR(__xludf.DUMMYFUNCTION("""COMPUTED_VALUE"""),1.035)</f>
        <v>1.035</v>
      </c>
      <c r="E2165" s="16">
        <f>IFERROR(__xludf.DUMMYFUNCTION("""COMPUTED_VALUE"""),63.0)</f>
        <v>63</v>
      </c>
      <c r="F2165" s="19" t="str">
        <f>IFERROR(__xludf.DUMMYFUNCTION("""COMPUTED_VALUE"""),"BLACK")</f>
        <v>BLACK</v>
      </c>
      <c r="G2165" s="20" t="str">
        <f>IFERROR(__xludf.DUMMYFUNCTION("""COMPUTED_VALUE"""),"Tap 6 Clone (10/15/2021)")</f>
        <v>Tap 6 Clone (10/15/2021)</v>
      </c>
      <c r="H2165" s="19"/>
    </row>
    <row r="2166">
      <c r="A2166" s="9"/>
      <c r="B2166" s="15"/>
      <c r="C2166" s="9">
        <f>IFERROR(__xludf.DUMMYFUNCTION("""COMPUTED_VALUE"""),44489.1117920486)</f>
        <v>44489.11179</v>
      </c>
      <c r="D2166" s="15">
        <f>IFERROR(__xludf.DUMMYFUNCTION("""COMPUTED_VALUE"""),1.035)</f>
        <v>1.035</v>
      </c>
      <c r="E2166" s="16">
        <f>IFERROR(__xludf.DUMMYFUNCTION("""COMPUTED_VALUE"""),63.0)</f>
        <v>63</v>
      </c>
      <c r="F2166" s="19" t="str">
        <f>IFERROR(__xludf.DUMMYFUNCTION("""COMPUTED_VALUE"""),"BLACK")</f>
        <v>BLACK</v>
      </c>
      <c r="G2166" s="20" t="str">
        <f>IFERROR(__xludf.DUMMYFUNCTION("""COMPUTED_VALUE"""),"Tap 6 Clone (10/15/2021)")</f>
        <v>Tap 6 Clone (10/15/2021)</v>
      </c>
      <c r="H2166" s="19"/>
    </row>
    <row r="2167">
      <c r="A2167" s="9"/>
      <c r="B2167" s="15"/>
      <c r="C2167" s="9">
        <f>IFERROR(__xludf.DUMMYFUNCTION("""COMPUTED_VALUE"""),44489.1013610069)</f>
        <v>44489.10136</v>
      </c>
      <c r="D2167" s="15">
        <f>IFERROR(__xludf.DUMMYFUNCTION("""COMPUTED_VALUE"""),1.035)</f>
        <v>1.035</v>
      </c>
      <c r="E2167" s="16">
        <f>IFERROR(__xludf.DUMMYFUNCTION("""COMPUTED_VALUE"""),63.0)</f>
        <v>63</v>
      </c>
      <c r="F2167" s="19" t="str">
        <f>IFERROR(__xludf.DUMMYFUNCTION("""COMPUTED_VALUE"""),"BLACK")</f>
        <v>BLACK</v>
      </c>
      <c r="G2167" s="20" t="str">
        <f>IFERROR(__xludf.DUMMYFUNCTION("""COMPUTED_VALUE"""),"Tap 6 Clone (10/15/2021)")</f>
        <v>Tap 6 Clone (10/15/2021)</v>
      </c>
      <c r="H2167" s="19"/>
    </row>
    <row r="2168">
      <c r="A2168" s="9"/>
      <c r="B2168" s="15"/>
      <c r="C2168" s="9">
        <f>IFERROR(__xludf.DUMMYFUNCTION("""COMPUTED_VALUE"""),44489.0909413194)</f>
        <v>44489.09094</v>
      </c>
      <c r="D2168" s="15">
        <f>IFERROR(__xludf.DUMMYFUNCTION("""COMPUTED_VALUE"""),1.035)</f>
        <v>1.035</v>
      </c>
      <c r="E2168" s="16">
        <f>IFERROR(__xludf.DUMMYFUNCTION("""COMPUTED_VALUE"""),64.0)</f>
        <v>64</v>
      </c>
      <c r="F2168" s="19" t="str">
        <f>IFERROR(__xludf.DUMMYFUNCTION("""COMPUTED_VALUE"""),"BLACK")</f>
        <v>BLACK</v>
      </c>
      <c r="G2168" s="20" t="str">
        <f>IFERROR(__xludf.DUMMYFUNCTION("""COMPUTED_VALUE"""),"Tap 6 Clone (10/15/2021)")</f>
        <v>Tap 6 Clone (10/15/2021)</v>
      </c>
      <c r="H2168" s="19"/>
    </row>
    <row r="2169">
      <c r="A2169" s="9"/>
      <c r="B2169" s="15"/>
      <c r="C2169" s="9">
        <f>IFERROR(__xludf.DUMMYFUNCTION("""COMPUTED_VALUE"""),44489.0805205208)</f>
        <v>44489.08052</v>
      </c>
      <c r="D2169" s="15">
        <f>IFERROR(__xludf.DUMMYFUNCTION("""COMPUTED_VALUE"""),1.034)</f>
        <v>1.034</v>
      </c>
      <c r="E2169" s="16">
        <f>IFERROR(__xludf.DUMMYFUNCTION("""COMPUTED_VALUE"""),65.0)</f>
        <v>65</v>
      </c>
      <c r="F2169" s="19" t="str">
        <f>IFERROR(__xludf.DUMMYFUNCTION("""COMPUTED_VALUE"""),"BLACK")</f>
        <v>BLACK</v>
      </c>
      <c r="G2169" s="20" t="str">
        <f>IFERROR(__xludf.DUMMYFUNCTION("""COMPUTED_VALUE"""),"Tap 6 Clone (10/15/2021)")</f>
        <v>Tap 6 Clone (10/15/2021)</v>
      </c>
      <c r="H2169" s="19"/>
    </row>
    <row r="2170">
      <c r="A2170" s="9"/>
      <c r="B2170" s="15"/>
      <c r="C2170" s="9">
        <f>IFERROR(__xludf.DUMMYFUNCTION("""COMPUTED_VALUE"""),44489.0700874074)</f>
        <v>44489.07009</v>
      </c>
      <c r="D2170" s="15">
        <f>IFERROR(__xludf.DUMMYFUNCTION("""COMPUTED_VALUE"""),1.035)</f>
        <v>1.035</v>
      </c>
      <c r="E2170" s="16">
        <f>IFERROR(__xludf.DUMMYFUNCTION("""COMPUTED_VALUE"""),66.0)</f>
        <v>66</v>
      </c>
      <c r="F2170" s="19" t="str">
        <f>IFERROR(__xludf.DUMMYFUNCTION("""COMPUTED_VALUE"""),"BLACK")</f>
        <v>BLACK</v>
      </c>
      <c r="G2170" s="20" t="str">
        <f>IFERROR(__xludf.DUMMYFUNCTION("""COMPUTED_VALUE"""),"Tap 6 Clone (10/15/2021)")</f>
        <v>Tap 6 Clone (10/15/2021)</v>
      </c>
      <c r="H2170" s="19"/>
    </row>
    <row r="2171">
      <c r="A2171" s="9"/>
      <c r="B2171" s="15"/>
      <c r="C2171" s="9">
        <f>IFERROR(__xludf.DUMMYFUNCTION("""COMPUTED_VALUE"""),44489.0596550115)</f>
        <v>44489.05966</v>
      </c>
      <c r="D2171" s="15">
        <f>IFERROR(__xludf.DUMMYFUNCTION("""COMPUTED_VALUE"""),1.035)</f>
        <v>1.035</v>
      </c>
      <c r="E2171" s="16">
        <f>IFERROR(__xludf.DUMMYFUNCTION("""COMPUTED_VALUE"""),66.0)</f>
        <v>66</v>
      </c>
      <c r="F2171" s="19" t="str">
        <f>IFERROR(__xludf.DUMMYFUNCTION("""COMPUTED_VALUE"""),"BLACK")</f>
        <v>BLACK</v>
      </c>
      <c r="G2171" s="20" t="str">
        <f>IFERROR(__xludf.DUMMYFUNCTION("""COMPUTED_VALUE"""),"Tap 6 Clone (10/15/2021)")</f>
        <v>Tap 6 Clone (10/15/2021)</v>
      </c>
      <c r="H2171" s="19"/>
    </row>
    <row r="2172">
      <c r="A2172" s="9"/>
      <c r="B2172" s="15"/>
      <c r="C2172" s="9">
        <f>IFERROR(__xludf.DUMMYFUNCTION("""COMPUTED_VALUE"""),44489.049235)</f>
        <v>44489.04924</v>
      </c>
      <c r="D2172" s="15">
        <f>IFERROR(__xludf.DUMMYFUNCTION("""COMPUTED_VALUE"""),1.035)</f>
        <v>1.035</v>
      </c>
      <c r="E2172" s="16">
        <f>IFERROR(__xludf.DUMMYFUNCTION("""COMPUTED_VALUE"""),66.0)</f>
        <v>66</v>
      </c>
      <c r="F2172" s="19" t="str">
        <f>IFERROR(__xludf.DUMMYFUNCTION("""COMPUTED_VALUE"""),"BLACK")</f>
        <v>BLACK</v>
      </c>
      <c r="G2172" s="20" t="str">
        <f>IFERROR(__xludf.DUMMYFUNCTION("""COMPUTED_VALUE"""),"Tap 6 Clone (10/15/2021)")</f>
        <v>Tap 6 Clone (10/15/2021)</v>
      </c>
      <c r="H2172" s="19"/>
    </row>
    <row r="2173">
      <c r="A2173" s="9"/>
      <c r="B2173" s="15"/>
      <c r="C2173" s="9">
        <f>IFERROR(__xludf.DUMMYFUNCTION("""COMPUTED_VALUE"""),44489.0387917592)</f>
        <v>44489.03879</v>
      </c>
      <c r="D2173" s="15">
        <f>IFERROR(__xludf.DUMMYFUNCTION("""COMPUTED_VALUE"""),1.034)</f>
        <v>1.034</v>
      </c>
      <c r="E2173" s="16">
        <f>IFERROR(__xludf.DUMMYFUNCTION("""COMPUTED_VALUE"""),65.0)</f>
        <v>65</v>
      </c>
      <c r="F2173" s="19" t="str">
        <f>IFERROR(__xludf.DUMMYFUNCTION("""COMPUTED_VALUE"""),"BLACK")</f>
        <v>BLACK</v>
      </c>
      <c r="G2173" s="20" t="str">
        <f>IFERROR(__xludf.DUMMYFUNCTION("""COMPUTED_VALUE"""),"Tap 6 Clone (10/15/2021)")</f>
        <v>Tap 6 Clone (10/15/2021)</v>
      </c>
      <c r="H2173" s="19"/>
    </row>
    <row r="2174">
      <c r="A2174" s="9"/>
      <c r="B2174" s="15"/>
      <c r="C2174" s="9">
        <f>IFERROR(__xludf.DUMMYFUNCTION("""COMPUTED_VALUE"""),44489.0283711458)</f>
        <v>44489.02837</v>
      </c>
      <c r="D2174" s="15">
        <f>IFERROR(__xludf.DUMMYFUNCTION("""COMPUTED_VALUE"""),1.035)</f>
        <v>1.035</v>
      </c>
      <c r="E2174" s="16">
        <f>IFERROR(__xludf.DUMMYFUNCTION("""COMPUTED_VALUE"""),65.0)</f>
        <v>65</v>
      </c>
      <c r="F2174" s="19" t="str">
        <f>IFERROR(__xludf.DUMMYFUNCTION("""COMPUTED_VALUE"""),"BLACK")</f>
        <v>BLACK</v>
      </c>
      <c r="G2174" s="20" t="str">
        <f>IFERROR(__xludf.DUMMYFUNCTION("""COMPUTED_VALUE"""),"Tap 6 Clone (10/15/2021)")</f>
        <v>Tap 6 Clone (10/15/2021)</v>
      </c>
      <c r="H2174" s="19"/>
    </row>
    <row r="2175">
      <c r="A2175" s="9"/>
      <c r="B2175" s="15"/>
      <c r="C2175" s="9">
        <f>IFERROR(__xludf.DUMMYFUNCTION("""COMPUTED_VALUE"""),44489.0179388078)</f>
        <v>44489.01794</v>
      </c>
      <c r="D2175" s="15">
        <f>IFERROR(__xludf.DUMMYFUNCTION("""COMPUTED_VALUE"""),1.035)</f>
        <v>1.035</v>
      </c>
      <c r="E2175" s="16">
        <f>IFERROR(__xludf.DUMMYFUNCTION("""COMPUTED_VALUE"""),65.0)</f>
        <v>65</v>
      </c>
      <c r="F2175" s="19" t="str">
        <f>IFERROR(__xludf.DUMMYFUNCTION("""COMPUTED_VALUE"""),"BLACK")</f>
        <v>BLACK</v>
      </c>
      <c r="G2175" s="20" t="str">
        <f>IFERROR(__xludf.DUMMYFUNCTION("""COMPUTED_VALUE"""),"Tap 6 Clone (10/15/2021)")</f>
        <v>Tap 6 Clone (10/15/2021)</v>
      </c>
      <c r="H2175" s="19"/>
    </row>
    <row r="2176">
      <c r="A2176" s="9"/>
      <c r="B2176" s="15"/>
      <c r="C2176" s="9">
        <f>IFERROR(__xludf.DUMMYFUNCTION("""COMPUTED_VALUE"""),44489.0075172685)</f>
        <v>44489.00752</v>
      </c>
      <c r="D2176" s="15">
        <f>IFERROR(__xludf.DUMMYFUNCTION("""COMPUTED_VALUE"""),1.035)</f>
        <v>1.035</v>
      </c>
      <c r="E2176" s="16">
        <f>IFERROR(__xludf.DUMMYFUNCTION("""COMPUTED_VALUE"""),65.0)</f>
        <v>65</v>
      </c>
      <c r="F2176" s="19" t="str">
        <f>IFERROR(__xludf.DUMMYFUNCTION("""COMPUTED_VALUE"""),"BLACK")</f>
        <v>BLACK</v>
      </c>
      <c r="G2176" s="20" t="str">
        <f>IFERROR(__xludf.DUMMYFUNCTION("""COMPUTED_VALUE"""),"Tap 6 Clone (10/15/2021)")</f>
        <v>Tap 6 Clone (10/15/2021)</v>
      </c>
      <c r="H2176" s="19"/>
    </row>
    <row r="2177">
      <c r="A2177" s="9"/>
      <c r="B2177" s="15"/>
      <c r="C2177" s="9">
        <f>IFERROR(__xludf.DUMMYFUNCTION("""COMPUTED_VALUE"""),44488.9970953703)</f>
        <v>44488.9971</v>
      </c>
      <c r="D2177" s="15">
        <f>IFERROR(__xludf.DUMMYFUNCTION("""COMPUTED_VALUE"""),1.036)</f>
        <v>1.036</v>
      </c>
      <c r="E2177" s="16">
        <f>IFERROR(__xludf.DUMMYFUNCTION("""COMPUTED_VALUE"""),65.0)</f>
        <v>65</v>
      </c>
      <c r="F2177" s="19" t="str">
        <f>IFERROR(__xludf.DUMMYFUNCTION("""COMPUTED_VALUE"""),"BLACK")</f>
        <v>BLACK</v>
      </c>
      <c r="G2177" s="20" t="str">
        <f>IFERROR(__xludf.DUMMYFUNCTION("""COMPUTED_VALUE"""),"Tap 6 Clone (10/15/2021)")</f>
        <v>Tap 6 Clone (10/15/2021)</v>
      </c>
      <c r="H2177" s="19"/>
    </row>
    <row r="2178">
      <c r="A2178" s="9"/>
      <c r="B2178" s="15"/>
      <c r="C2178" s="9">
        <f>IFERROR(__xludf.DUMMYFUNCTION("""COMPUTED_VALUE"""),44488.9866743518)</f>
        <v>44488.98667</v>
      </c>
      <c r="D2178" s="15">
        <f>IFERROR(__xludf.DUMMYFUNCTION("""COMPUTED_VALUE"""),1.035)</f>
        <v>1.035</v>
      </c>
      <c r="E2178" s="16">
        <f>IFERROR(__xludf.DUMMYFUNCTION("""COMPUTED_VALUE"""),65.0)</f>
        <v>65</v>
      </c>
      <c r="F2178" s="19" t="str">
        <f>IFERROR(__xludf.DUMMYFUNCTION("""COMPUTED_VALUE"""),"BLACK")</f>
        <v>BLACK</v>
      </c>
      <c r="G2178" s="20" t="str">
        <f>IFERROR(__xludf.DUMMYFUNCTION("""COMPUTED_VALUE"""),"Tap 6 Clone (10/15/2021)")</f>
        <v>Tap 6 Clone (10/15/2021)</v>
      </c>
      <c r="H2178" s="19"/>
    </row>
    <row r="2179">
      <c r="A2179" s="9"/>
      <c r="B2179" s="15"/>
      <c r="C2179" s="9">
        <f>IFERROR(__xludf.DUMMYFUNCTION("""COMPUTED_VALUE"""),44488.9762406481)</f>
        <v>44488.97624</v>
      </c>
      <c r="D2179" s="15">
        <f>IFERROR(__xludf.DUMMYFUNCTION("""COMPUTED_VALUE"""),1.035)</f>
        <v>1.035</v>
      </c>
      <c r="E2179" s="16">
        <f>IFERROR(__xludf.DUMMYFUNCTION("""COMPUTED_VALUE"""),65.0)</f>
        <v>65</v>
      </c>
      <c r="F2179" s="19" t="str">
        <f>IFERROR(__xludf.DUMMYFUNCTION("""COMPUTED_VALUE"""),"BLACK")</f>
        <v>BLACK</v>
      </c>
      <c r="G2179" s="20" t="str">
        <f>IFERROR(__xludf.DUMMYFUNCTION("""COMPUTED_VALUE"""),"Tap 6 Clone (10/15/2021)")</f>
        <v>Tap 6 Clone (10/15/2021)</v>
      </c>
      <c r="H2179" s="19"/>
    </row>
    <row r="2180">
      <c r="A2180" s="9"/>
      <c r="B2180" s="15"/>
      <c r="C2180" s="9">
        <f>IFERROR(__xludf.DUMMYFUNCTION("""COMPUTED_VALUE"""),44488.9658181597)</f>
        <v>44488.96582</v>
      </c>
      <c r="D2180" s="15">
        <f>IFERROR(__xludf.DUMMYFUNCTION("""COMPUTED_VALUE"""),1.036)</f>
        <v>1.036</v>
      </c>
      <c r="E2180" s="16">
        <f>IFERROR(__xludf.DUMMYFUNCTION("""COMPUTED_VALUE"""),65.0)</f>
        <v>65</v>
      </c>
      <c r="F2180" s="19" t="str">
        <f>IFERROR(__xludf.DUMMYFUNCTION("""COMPUTED_VALUE"""),"BLACK")</f>
        <v>BLACK</v>
      </c>
      <c r="G2180" s="20" t="str">
        <f>IFERROR(__xludf.DUMMYFUNCTION("""COMPUTED_VALUE"""),"Tap 6 Clone (10/15/2021)")</f>
        <v>Tap 6 Clone (10/15/2021)</v>
      </c>
      <c r="H2180" s="19"/>
    </row>
    <row r="2181">
      <c r="A2181" s="9"/>
      <c r="B2181" s="15"/>
      <c r="C2181" s="9">
        <f>IFERROR(__xludf.DUMMYFUNCTION("""COMPUTED_VALUE"""),44488.955395868)</f>
        <v>44488.9554</v>
      </c>
      <c r="D2181" s="15">
        <f>IFERROR(__xludf.DUMMYFUNCTION("""COMPUTED_VALUE"""),1.037)</f>
        <v>1.037</v>
      </c>
      <c r="E2181" s="16">
        <f>IFERROR(__xludf.DUMMYFUNCTION("""COMPUTED_VALUE"""),65.0)</f>
        <v>65</v>
      </c>
      <c r="F2181" s="19" t="str">
        <f>IFERROR(__xludf.DUMMYFUNCTION("""COMPUTED_VALUE"""),"BLACK")</f>
        <v>BLACK</v>
      </c>
      <c r="G2181" s="20" t="str">
        <f>IFERROR(__xludf.DUMMYFUNCTION("""COMPUTED_VALUE"""),"Tap 6 Clone (10/15/2021)")</f>
        <v>Tap 6 Clone (10/15/2021)</v>
      </c>
      <c r="H2181" s="19"/>
    </row>
    <row r="2182">
      <c r="A2182" s="9"/>
      <c r="B2182" s="15"/>
      <c r="C2182" s="9">
        <f>IFERROR(__xludf.DUMMYFUNCTION("""COMPUTED_VALUE"""),44488.9449643171)</f>
        <v>44488.94496</v>
      </c>
      <c r="D2182" s="15">
        <f>IFERROR(__xludf.DUMMYFUNCTION("""COMPUTED_VALUE"""),1.037)</f>
        <v>1.037</v>
      </c>
      <c r="E2182" s="16">
        <f>IFERROR(__xludf.DUMMYFUNCTION("""COMPUTED_VALUE"""),65.0)</f>
        <v>65</v>
      </c>
      <c r="F2182" s="19" t="str">
        <f>IFERROR(__xludf.DUMMYFUNCTION("""COMPUTED_VALUE"""),"BLACK")</f>
        <v>BLACK</v>
      </c>
      <c r="G2182" s="20" t="str">
        <f>IFERROR(__xludf.DUMMYFUNCTION("""COMPUTED_VALUE"""),"Tap 6 Clone (10/15/2021)")</f>
        <v>Tap 6 Clone (10/15/2021)</v>
      </c>
      <c r="H2182" s="19"/>
    </row>
    <row r="2183">
      <c r="A2183" s="9"/>
      <c r="B2183" s="15"/>
      <c r="C2183" s="9">
        <f>IFERROR(__xludf.DUMMYFUNCTION("""COMPUTED_VALUE"""),44488.9345088657)</f>
        <v>44488.93451</v>
      </c>
      <c r="D2183" s="15">
        <f>IFERROR(__xludf.DUMMYFUNCTION("""COMPUTED_VALUE"""),1.037)</f>
        <v>1.037</v>
      </c>
      <c r="E2183" s="16">
        <f>IFERROR(__xludf.DUMMYFUNCTION("""COMPUTED_VALUE"""),65.0)</f>
        <v>65</v>
      </c>
      <c r="F2183" s="19" t="str">
        <f>IFERROR(__xludf.DUMMYFUNCTION("""COMPUTED_VALUE"""),"BLACK")</f>
        <v>BLACK</v>
      </c>
      <c r="G2183" s="20" t="str">
        <f>IFERROR(__xludf.DUMMYFUNCTION("""COMPUTED_VALUE"""),"Tap 6 Clone (10/15/2021)")</f>
        <v>Tap 6 Clone (10/15/2021)</v>
      </c>
      <c r="H2183" s="19"/>
    </row>
    <row r="2184">
      <c r="A2184" s="9"/>
      <c r="B2184" s="15"/>
      <c r="C2184" s="9">
        <f>IFERROR(__xludf.DUMMYFUNCTION("""COMPUTED_VALUE"""),44488.9240767129)</f>
        <v>44488.92408</v>
      </c>
      <c r="D2184" s="15">
        <f>IFERROR(__xludf.DUMMYFUNCTION("""COMPUTED_VALUE"""),1.037)</f>
        <v>1.037</v>
      </c>
      <c r="E2184" s="16">
        <f>IFERROR(__xludf.DUMMYFUNCTION("""COMPUTED_VALUE"""),65.0)</f>
        <v>65</v>
      </c>
      <c r="F2184" s="19" t="str">
        <f>IFERROR(__xludf.DUMMYFUNCTION("""COMPUTED_VALUE"""),"BLACK")</f>
        <v>BLACK</v>
      </c>
      <c r="G2184" s="20" t="str">
        <f>IFERROR(__xludf.DUMMYFUNCTION("""COMPUTED_VALUE"""),"Tap 6 Clone (10/15/2021)")</f>
        <v>Tap 6 Clone (10/15/2021)</v>
      </c>
      <c r="H2184" s="19"/>
    </row>
    <row r="2185">
      <c r="A2185" s="9"/>
      <c r="B2185" s="15"/>
      <c r="C2185" s="9">
        <f>IFERROR(__xludf.DUMMYFUNCTION("""COMPUTED_VALUE"""),44488.9136557754)</f>
        <v>44488.91366</v>
      </c>
      <c r="D2185" s="15">
        <f>IFERROR(__xludf.DUMMYFUNCTION("""COMPUTED_VALUE"""),1.037)</f>
        <v>1.037</v>
      </c>
      <c r="E2185" s="16">
        <f>IFERROR(__xludf.DUMMYFUNCTION("""COMPUTED_VALUE"""),65.0)</f>
        <v>65</v>
      </c>
      <c r="F2185" s="19" t="str">
        <f>IFERROR(__xludf.DUMMYFUNCTION("""COMPUTED_VALUE"""),"BLACK")</f>
        <v>BLACK</v>
      </c>
      <c r="G2185" s="20" t="str">
        <f>IFERROR(__xludf.DUMMYFUNCTION("""COMPUTED_VALUE"""),"Tap 6 Clone (10/15/2021)")</f>
        <v>Tap 6 Clone (10/15/2021)</v>
      </c>
      <c r="H2185" s="19"/>
    </row>
    <row r="2186">
      <c r="A2186" s="9"/>
      <c r="B2186" s="15"/>
      <c r="C2186" s="9">
        <f>IFERROR(__xludf.DUMMYFUNCTION("""COMPUTED_VALUE"""),44488.903235324)</f>
        <v>44488.90324</v>
      </c>
      <c r="D2186" s="15">
        <f>IFERROR(__xludf.DUMMYFUNCTION("""COMPUTED_VALUE"""),1.036)</f>
        <v>1.036</v>
      </c>
      <c r="E2186" s="16">
        <f>IFERROR(__xludf.DUMMYFUNCTION("""COMPUTED_VALUE"""),65.0)</f>
        <v>65</v>
      </c>
      <c r="F2186" s="19" t="str">
        <f>IFERROR(__xludf.DUMMYFUNCTION("""COMPUTED_VALUE"""),"BLACK")</f>
        <v>BLACK</v>
      </c>
      <c r="G2186" s="20" t="str">
        <f>IFERROR(__xludf.DUMMYFUNCTION("""COMPUTED_VALUE"""),"Tap 6 Clone (10/15/2021)")</f>
        <v>Tap 6 Clone (10/15/2021)</v>
      </c>
      <c r="H2186" s="19"/>
    </row>
    <row r="2187">
      <c r="A2187" s="9"/>
      <c r="B2187" s="15"/>
      <c r="C2187" s="9">
        <f>IFERROR(__xludf.DUMMYFUNCTION("""COMPUTED_VALUE"""),44488.8928163425)</f>
        <v>44488.89282</v>
      </c>
      <c r="D2187" s="15">
        <f>IFERROR(__xludf.DUMMYFUNCTION("""COMPUTED_VALUE"""),1.037)</f>
        <v>1.037</v>
      </c>
      <c r="E2187" s="16">
        <f>IFERROR(__xludf.DUMMYFUNCTION("""COMPUTED_VALUE"""),64.0)</f>
        <v>64</v>
      </c>
      <c r="F2187" s="19" t="str">
        <f>IFERROR(__xludf.DUMMYFUNCTION("""COMPUTED_VALUE"""),"BLACK")</f>
        <v>BLACK</v>
      </c>
      <c r="G2187" s="20" t="str">
        <f>IFERROR(__xludf.DUMMYFUNCTION("""COMPUTED_VALUE"""),"Tap 6 Clone (10/15/2021)")</f>
        <v>Tap 6 Clone (10/15/2021)</v>
      </c>
      <c r="H2187" s="19"/>
    </row>
    <row r="2188">
      <c r="A2188" s="9"/>
      <c r="B2188" s="15"/>
      <c r="C2188" s="9">
        <f>IFERROR(__xludf.DUMMYFUNCTION("""COMPUTED_VALUE"""),44488.8823848263)</f>
        <v>44488.88238</v>
      </c>
      <c r="D2188" s="15">
        <f>IFERROR(__xludf.DUMMYFUNCTION("""COMPUTED_VALUE"""),1.036)</f>
        <v>1.036</v>
      </c>
      <c r="E2188" s="16">
        <f>IFERROR(__xludf.DUMMYFUNCTION("""COMPUTED_VALUE"""),64.0)</f>
        <v>64</v>
      </c>
      <c r="F2188" s="19" t="str">
        <f>IFERROR(__xludf.DUMMYFUNCTION("""COMPUTED_VALUE"""),"BLACK")</f>
        <v>BLACK</v>
      </c>
      <c r="G2188" s="20" t="str">
        <f>IFERROR(__xludf.DUMMYFUNCTION("""COMPUTED_VALUE"""),"Tap 6 Clone (10/15/2021)")</f>
        <v>Tap 6 Clone (10/15/2021)</v>
      </c>
      <c r="H2188" s="19"/>
    </row>
    <row r="2189">
      <c r="A2189" s="9"/>
      <c r="B2189" s="15"/>
      <c r="C2189" s="9">
        <f>IFERROR(__xludf.DUMMYFUNCTION("""COMPUTED_VALUE"""),44488.8719633449)</f>
        <v>44488.87196</v>
      </c>
      <c r="D2189" s="15">
        <f>IFERROR(__xludf.DUMMYFUNCTION("""COMPUTED_VALUE"""),1.037)</f>
        <v>1.037</v>
      </c>
      <c r="E2189" s="16">
        <f>IFERROR(__xludf.DUMMYFUNCTION("""COMPUTED_VALUE"""),64.0)</f>
        <v>64</v>
      </c>
      <c r="F2189" s="19" t="str">
        <f>IFERROR(__xludf.DUMMYFUNCTION("""COMPUTED_VALUE"""),"BLACK")</f>
        <v>BLACK</v>
      </c>
      <c r="G2189" s="20" t="str">
        <f>IFERROR(__xludf.DUMMYFUNCTION("""COMPUTED_VALUE"""),"Tap 6 Clone (10/15/2021)")</f>
        <v>Tap 6 Clone (10/15/2021)</v>
      </c>
      <c r="H2189" s="19"/>
    </row>
    <row r="2190">
      <c r="A2190" s="9"/>
      <c r="B2190" s="15"/>
      <c r="C2190" s="9">
        <f>IFERROR(__xludf.DUMMYFUNCTION("""COMPUTED_VALUE"""),44488.8615413425)</f>
        <v>44488.86154</v>
      </c>
      <c r="D2190" s="15">
        <f>IFERROR(__xludf.DUMMYFUNCTION("""COMPUTED_VALUE"""),1.037)</f>
        <v>1.037</v>
      </c>
      <c r="E2190" s="16">
        <f>IFERROR(__xludf.DUMMYFUNCTION("""COMPUTED_VALUE"""),64.0)</f>
        <v>64</v>
      </c>
      <c r="F2190" s="19" t="str">
        <f>IFERROR(__xludf.DUMMYFUNCTION("""COMPUTED_VALUE"""),"BLACK")</f>
        <v>BLACK</v>
      </c>
      <c r="G2190" s="20" t="str">
        <f>IFERROR(__xludf.DUMMYFUNCTION("""COMPUTED_VALUE"""),"Tap 6 Clone (10/15/2021)")</f>
        <v>Tap 6 Clone (10/15/2021)</v>
      </c>
      <c r="H2190" s="19"/>
    </row>
    <row r="2191">
      <c r="A2191" s="9"/>
      <c r="B2191" s="15"/>
      <c r="C2191" s="9">
        <f>IFERROR(__xludf.DUMMYFUNCTION("""COMPUTED_VALUE"""),44488.8511192476)</f>
        <v>44488.85112</v>
      </c>
      <c r="D2191" s="15">
        <f>IFERROR(__xludf.DUMMYFUNCTION("""COMPUTED_VALUE"""),1.036)</f>
        <v>1.036</v>
      </c>
      <c r="E2191" s="16">
        <f>IFERROR(__xludf.DUMMYFUNCTION("""COMPUTED_VALUE"""),64.0)</f>
        <v>64</v>
      </c>
      <c r="F2191" s="19" t="str">
        <f>IFERROR(__xludf.DUMMYFUNCTION("""COMPUTED_VALUE"""),"BLACK")</f>
        <v>BLACK</v>
      </c>
      <c r="G2191" s="20" t="str">
        <f>IFERROR(__xludf.DUMMYFUNCTION("""COMPUTED_VALUE"""),"Tap 6 Clone (10/15/2021)")</f>
        <v>Tap 6 Clone (10/15/2021)</v>
      </c>
      <c r="H2191" s="19"/>
    </row>
    <row r="2192">
      <c r="A2192" s="9"/>
      <c r="B2192" s="15"/>
      <c r="C2192" s="9">
        <f>IFERROR(__xludf.DUMMYFUNCTION("""COMPUTED_VALUE"""),44488.8406984143)</f>
        <v>44488.8407</v>
      </c>
      <c r="D2192" s="15">
        <f>IFERROR(__xludf.DUMMYFUNCTION("""COMPUTED_VALUE"""),1.036)</f>
        <v>1.036</v>
      </c>
      <c r="E2192" s="16">
        <f>IFERROR(__xludf.DUMMYFUNCTION("""COMPUTED_VALUE"""),64.0)</f>
        <v>64</v>
      </c>
      <c r="F2192" s="19" t="str">
        <f>IFERROR(__xludf.DUMMYFUNCTION("""COMPUTED_VALUE"""),"BLACK")</f>
        <v>BLACK</v>
      </c>
      <c r="G2192" s="20" t="str">
        <f>IFERROR(__xludf.DUMMYFUNCTION("""COMPUTED_VALUE"""),"Tap 6 Clone (10/15/2021)")</f>
        <v>Tap 6 Clone (10/15/2021)</v>
      </c>
      <c r="H2192" s="19"/>
    </row>
    <row r="2193">
      <c r="A2193" s="9"/>
      <c r="B2193" s="15"/>
      <c r="C2193" s="9">
        <f>IFERROR(__xludf.DUMMYFUNCTION("""COMPUTED_VALUE"""),44488.8302778819)</f>
        <v>44488.83028</v>
      </c>
      <c r="D2193" s="15">
        <f>IFERROR(__xludf.DUMMYFUNCTION("""COMPUTED_VALUE"""),1.037)</f>
        <v>1.037</v>
      </c>
      <c r="E2193" s="16">
        <f>IFERROR(__xludf.DUMMYFUNCTION("""COMPUTED_VALUE"""),64.0)</f>
        <v>64</v>
      </c>
      <c r="F2193" s="19" t="str">
        <f>IFERROR(__xludf.DUMMYFUNCTION("""COMPUTED_VALUE"""),"BLACK")</f>
        <v>BLACK</v>
      </c>
      <c r="G2193" s="20" t="str">
        <f>IFERROR(__xludf.DUMMYFUNCTION("""COMPUTED_VALUE"""),"Tap 6 Clone (10/15/2021)")</f>
        <v>Tap 6 Clone (10/15/2021)</v>
      </c>
      <c r="H2193" s="19"/>
    </row>
    <row r="2194">
      <c r="A2194" s="9"/>
      <c r="B2194" s="15"/>
      <c r="C2194" s="9">
        <f>IFERROR(__xludf.DUMMYFUNCTION("""COMPUTED_VALUE"""),44488.8198552314)</f>
        <v>44488.81986</v>
      </c>
      <c r="D2194" s="15">
        <f>IFERROR(__xludf.DUMMYFUNCTION("""COMPUTED_VALUE"""),1.037)</f>
        <v>1.037</v>
      </c>
      <c r="E2194" s="16">
        <f>IFERROR(__xludf.DUMMYFUNCTION("""COMPUTED_VALUE"""),64.0)</f>
        <v>64</v>
      </c>
      <c r="F2194" s="19" t="str">
        <f>IFERROR(__xludf.DUMMYFUNCTION("""COMPUTED_VALUE"""),"BLACK")</f>
        <v>BLACK</v>
      </c>
      <c r="G2194" s="20" t="str">
        <f>IFERROR(__xludf.DUMMYFUNCTION("""COMPUTED_VALUE"""),"Tap 6 Clone (10/15/2021)")</f>
        <v>Tap 6 Clone (10/15/2021)</v>
      </c>
      <c r="H2194" s="19"/>
    </row>
    <row r="2195">
      <c r="A2195" s="9"/>
      <c r="B2195" s="15"/>
      <c r="C2195" s="9">
        <f>IFERROR(__xludf.DUMMYFUNCTION("""COMPUTED_VALUE"""),44488.8094345486)</f>
        <v>44488.80943</v>
      </c>
      <c r="D2195" s="15">
        <f>IFERROR(__xludf.DUMMYFUNCTION("""COMPUTED_VALUE"""),1.037)</f>
        <v>1.037</v>
      </c>
      <c r="E2195" s="16">
        <f>IFERROR(__xludf.DUMMYFUNCTION("""COMPUTED_VALUE"""),64.0)</f>
        <v>64</v>
      </c>
      <c r="F2195" s="19" t="str">
        <f>IFERROR(__xludf.DUMMYFUNCTION("""COMPUTED_VALUE"""),"BLACK")</f>
        <v>BLACK</v>
      </c>
      <c r="G2195" s="20" t="str">
        <f>IFERROR(__xludf.DUMMYFUNCTION("""COMPUTED_VALUE"""),"Tap 6 Clone (10/15/2021)")</f>
        <v>Tap 6 Clone (10/15/2021)</v>
      </c>
      <c r="H2195" s="19"/>
    </row>
    <row r="2196">
      <c r="A2196" s="9"/>
      <c r="B2196" s="15"/>
      <c r="C2196" s="9">
        <f>IFERROR(__xludf.DUMMYFUNCTION("""COMPUTED_VALUE"""),44488.7990122106)</f>
        <v>44488.79901</v>
      </c>
      <c r="D2196" s="15">
        <f>IFERROR(__xludf.DUMMYFUNCTION("""COMPUTED_VALUE"""),1.037)</f>
        <v>1.037</v>
      </c>
      <c r="E2196" s="16">
        <f>IFERROR(__xludf.DUMMYFUNCTION("""COMPUTED_VALUE"""),64.0)</f>
        <v>64</v>
      </c>
      <c r="F2196" s="19" t="str">
        <f>IFERROR(__xludf.DUMMYFUNCTION("""COMPUTED_VALUE"""),"BLACK")</f>
        <v>BLACK</v>
      </c>
      <c r="G2196" s="20" t="str">
        <f>IFERROR(__xludf.DUMMYFUNCTION("""COMPUTED_VALUE"""),"Tap 6 Clone (10/15/2021)")</f>
        <v>Tap 6 Clone (10/15/2021)</v>
      </c>
      <c r="H2196" s="19"/>
    </row>
    <row r="2197">
      <c r="A2197" s="9"/>
      <c r="B2197" s="15"/>
      <c r="C2197" s="9">
        <f>IFERROR(__xludf.DUMMYFUNCTION("""COMPUTED_VALUE"""),44488.7885918865)</f>
        <v>44488.78859</v>
      </c>
      <c r="D2197" s="15">
        <f>IFERROR(__xludf.DUMMYFUNCTION("""COMPUTED_VALUE"""),1.037)</f>
        <v>1.037</v>
      </c>
      <c r="E2197" s="16">
        <f>IFERROR(__xludf.DUMMYFUNCTION("""COMPUTED_VALUE"""),64.0)</f>
        <v>64</v>
      </c>
      <c r="F2197" s="19" t="str">
        <f>IFERROR(__xludf.DUMMYFUNCTION("""COMPUTED_VALUE"""),"BLACK")</f>
        <v>BLACK</v>
      </c>
      <c r="G2197" s="20" t="str">
        <f>IFERROR(__xludf.DUMMYFUNCTION("""COMPUTED_VALUE"""),"Tap 6 Clone (10/15/2021)")</f>
        <v>Tap 6 Clone (10/15/2021)</v>
      </c>
      <c r="H2197" s="19"/>
    </row>
    <row r="2198">
      <c r="A2198" s="9"/>
      <c r="B2198" s="15"/>
      <c r="C2198" s="9">
        <f>IFERROR(__xludf.DUMMYFUNCTION("""COMPUTED_VALUE"""),44488.7781484027)</f>
        <v>44488.77815</v>
      </c>
      <c r="D2198" s="15">
        <f>IFERROR(__xludf.DUMMYFUNCTION("""COMPUTED_VALUE"""),1.037)</f>
        <v>1.037</v>
      </c>
      <c r="E2198" s="16">
        <f>IFERROR(__xludf.DUMMYFUNCTION("""COMPUTED_VALUE"""),64.0)</f>
        <v>64</v>
      </c>
      <c r="F2198" s="19" t="str">
        <f>IFERROR(__xludf.DUMMYFUNCTION("""COMPUTED_VALUE"""),"BLACK")</f>
        <v>BLACK</v>
      </c>
      <c r="G2198" s="20" t="str">
        <f>IFERROR(__xludf.DUMMYFUNCTION("""COMPUTED_VALUE"""),"Tap 6 Clone (10/15/2021)")</f>
        <v>Tap 6 Clone (10/15/2021)</v>
      </c>
      <c r="H2198" s="19"/>
    </row>
    <row r="2199">
      <c r="A2199" s="9"/>
      <c r="B2199" s="15"/>
      <c r="C2199" s="9">
        <f>IFERROR(__xludf.DUMMYFUNCTION("""COMPUTED_VALUE"""),44488.7677271643)</f>
        <v>44488.76773</v>
      </c>
      <c r="D2199" s="15">
        <f>IFERROR(__xludf.DUMMYFUNCTION("""COMPUTED_VALUE"""),1.037)</f>
        <v>1.037</v>
      </c>
      <c r="E2199" s="16">
        <f>IFERROR(__xludf.DUMMYFUNCTION("""COMPUTED_VALUE"""),63.0)</f>
        <v>63</v>
      </c>
      <c r="F2199" s="19" t="str">
        <f>IFERROR(__xludf.DUMMYFUNCTION("""COMPUTED_VALUE"""),"BLACK")</f>
        <v>BLACK</v>
      </c>
      <c r="G2199" s="20" t="str">
        <f>IFERROR(__xludf.DUMMYFUNCTION("""COMPUTED_VALUE"""),"Tap 6 Clone (10/15/2021)")</f>
        <v>Tap 6 Clone (10/15/2021)</v>
      </c>
      <c r="H2199" s="19"/>
    </row>
    <row r="2200">
      <c r="A2200" s="9"/>
      <c r="B2200" s="15"/>
      <c r="C2200" s="9">
        <f>IFERROR(__xludf.DUMMYFUNCTION("""COMPUTED_VALUE"""),44488.7572835995)</f>
        <v>44488.75728</v>
      </c>
      <c r="D2200" s="15">
        <f>IFERROR(__xludf.DUMMYFUNCTION("""COMPUTED_VALUE"""),1.038)</f>
        <v>1.038</v>
      </c>
      <c r="E2200" s="16">
        <f>IFERROR(__xludf.DUMMYFUNCTION("""COMPUTED_VALUE"""),63.0)</f>
        <v>63</v>
      </c>
      <c r="F2200" s="19" t="str">
        <f>IFERROR(__xludf.DUMMYFUNCTION("""COMPUTED_VALUE"""),"BLACK")</f>
        <v>BLACK</v>
      </c>
      <c r="G2200" s="20" t="str">
        <f>IFERROR(__xludf.DUMMYFUNCTION("""COMPUTED_VALUE"""),"Tap 6 Clone (10/15/2021)")</f>
        <v>Tap 6 Clone (10/15/2021)</v>
      </c>
      <c r="H2200" s="19"/>
    </row>
    <row r="2201">
      <c r="A2201" s="9"/>
      <c r="B2201" s="15"/>
      <c r="C2201" s="9">
        <f>IFERROR(__xludf.DUMMYFUNCTION("""COMPUTED_VALUE"""),44488.7468624537)</f>
        <v>44488.74686</v>
      </c>
      <c r="D2201" s="15">
        <f>IFERROR(__xludf.DUMMYFUNCTION("""COMPUTED_VALUE"""),1.038)</f>
        <v>1.038</v>
      </c>
      <c r="E2201" s="16">
        <f>IFERROR(__xludf.DUMMYFUNCTION("""COMPUTED_VALUE"""),63.0)</f>
        <v>63</v>
      </c>
      <c r="F2201" s="19" t="str">
        <f>IFERROR(__xludf.DUMMYFUNCTION("""COMPUTED_VALUE"""),"BLACK")</f>
        <v>BLACK</v>
      </c>
      <c r="G2201" s="20" t="str">
        <f>IFERROR(__xludf.DUMMYFUNCTION("""COMPUTED_VALUE"""),"Tap 6 Clone (10/15/2021)")</f>
        <v>Tap 6 Clone (10/15/2021)</v>
      </c>
      <c r="H2201" s="19"/>
    </row>
    <row r="2202">
      <c r="A2202" s="9"/>
      <c r="B2202" s="15"/>
      <c r="C2202" s="9">
        <f>IFERROR(__xludf.DUMMYFUNCTION("""COMPUTED_VALUE"""),44488.736441493)</f>
        <v>44488.73644</v>
      </c>
      <c r="D2202" s="15">
        <f>IFERROR(__xludf.DUMMYFUNCTION("""COMPUTED_VALUE"""),1.038)</f>
        <v>1.038</v>
      </c>
      <c r="E2202" s="16">
        <f>IFERROR(__xludf.DUMMYFUNCTION("""COMPUTED_VALUE"""),63.0)</f>
        <v>63</v>
      </c>
      <c r="F2202" s="19" t="str">
        <f>IFERROR(__xludf.DUMMYFUNCTION("""COMPUTED_VALUE"""),"BLACK")</f>
        <v>BLACK</v>
      </c>
      <c r="G2202" s="20" t="str">
        <f>IFERROR(__xludf.DUMMYFUNCTION("""COMPUTED_VALUE"""),"Tap 6 Clone (10/15/2021)")</f>
        <v>Tap 6 Clone (10/15/2021)</v>
      </c>
      <c r="H2202" s="19"/>
    </row>
    <row r="2203">
      <c r="A2203" s="9"/>
      <c r="B2203" s="15"/>
      <c r="C2203" s="9">
        <f>IFERROR(__xludf.DUMMYFUNCTION("""COMPUTED_VALUE"""),44488.7260191782)</f>
        <v>44488.72602</v>
      </c>
      <c r="D2203" s="15">
        <f>IFERROR(__xludf.DUMMYFUNCTION("""COMPUTED_VALUE"""),1.038)</f>
        <v>1.038</v>
      </c>
      <c r="E2203" s="16">
        <f>IFERROR(__xludf.DUMMYFUNCTION("""COMPUTED_VALUE"""),63.0)</f>
        <v>63</v>
      </c>
      <c r="F2203" s="19" t="str">
        <f>IFERROR(__xludf.DUMMYFUNCTION("""COMPUTED_VALUE"""),"BLACK")</f>
        <v>BLACK</v>
      </c>
      <c r="G2203" s="20" t="str">
        <f>IFERROR(__xludf.DUMMYFUNCTION("""COMPUTED_VALUE"""),"Tap 6 Clone (10/15/2021)")</f>
        <v>Tap 6 Clone (10/15/2021)</v>
      </c>
      <c r="H2203" s="19"/>
    </row>
    <row r="2204">
      <c r="A2204" s="9"/>
      <c r="B2204" s="15"/>
      <c r="C2204" s="9">
        <f>IFERROR(__xludf.DUMMYFUNCTION("""COMPUTED_VALUE"""),44488.7155994791)</f>
        <v>44488.7156</v>
      </c>
      <c r="D2204" s="15">
        <f>IFERROR(__xludf.DUMMYFUNCTION("""COMPUTED_VALUE"""),1.038)</f>
        <v>1.038</v>
      </c>
      <c r="E2204" s="16">
        <f>IFERROR(__xludf.DUMMYFUNCTION("""COMPUTED_VALUE"""),63.0)</f>
        <v>63</v>
      </c>
      <c r="F2204" s="19" t="str">
        <f>IFERROR(__xludf.DUMMYFUNCTION("""COMPUTED_VALUE"""),"BLACK")</f>
        <v>BLACK</v>
      </c>
      <c r="G2204" s="20" t="str">
        <f>IFERROR(__xludf.DUMMYFUNCTION("""COMPUTED_VALUE"""),"Tap 6 Clone (10/15/2021)")</f>
        <v>Tap 6 Clone (10/15/2021)</v>
      </c>
      <c r="H2204" s="19"/>
    </row>
    <row r="2205">
      <c r="A2205" s="9"/>
      <c r="B2205" s="15"/>
      <c r="C2205" s="9">
        <f>IFERROR(__xludf.DUMMYFUNCTION("""COMPUTED_VALUE"""),44488.7051799884)</f>
        <v>44488.70518</v>
      </c>
      <c r="D2205" s="15">
        <f>IFERROR(__xludf.DUMMYFUNCTION("""COMPUTED_VALUE"""),1.038)</f>
        <v>1.038</v>
      </c>
      <c r="E2205" s="16">
        <f>IFERROR(__xludf.DUMMYFUNCTION("""COMPUTED_VALUE"""),63.0)</f>
        <v>63</v>
      </c>
      <c r="F2205" s="19" t="str">
        <f>IFERROR(__xludf.DUMMYFUNCTION("""COMPUTED_VALUE"""),"BLACK")</f>
        <v>BLACK</v>
      </c>
      <c r="G2205" s="20" t="str">
        <f>IFERROR(__xludf.DUMMYFUNCTION("""COMPUTED_VALUE"""),"Tap 6 Clone (10/15/2021)")</f>
        <v>Tap 6 Clone (10/15/2021)</v>
      </c>
      <c r="H2205" s="19"/>
    </row>
    <row r="2206">
      <c r="A2206" s="9"/>
      <c r="B2206" s="15"/>
      <c r="C2206" s="9">
        <f>IFERROR(__xludf.DUMMYFUNCTION("""COMPUTED_VALUE"""),44488.6947594213)</f>
        <v>44488.69476</v>
      </c>
      <c r="D2206" s="15">
        <f>IFERROR(__xludf.DUMMYFUNCTION("""COMPUTED_VALUE"""),1.038)</f>
        <v>1.038</v>
      </c>
      <c r="E2206" s="16">
        <f>IFERROR(__xludf.DUMMYFUNCTION("""COMPUTED_VALUE"""),63.0)</f>
        <v>63</v>
      </c>
      <c r="F2206" s="19" t="str">
        <f>IFERROR(__xludf.DUMMYFUNCTION("""COMPUTED_VALUE"""),"BLACK")</f>
        <v>BLACK</v>
      </c>
      <c r="G2206" s="20" t="str">
        <f>IFERROR(__xludf.DUMMYFUNCTION("""COMPUTED_VALUE"""),"Tap 6 Clone (10/15/2021)")</f>
        <v>Tap 6 Clone (10/15/2021)</v>
      </c>
      <c r="H2206" s="19"/>
    </row>
    <row r="2207">
      <c r="A2207" s="9"/>
      <c r="B2207" s="15"/>
      <c r="C2207" s="9">
        <f>IFERROR(__xludf.DUMMYFUNCTION("""COMPUTED_VALUE"""),44488.6843380902)</f>
        <v>44488.68434</v>
      </c>
      <c r="D2207" s="15">
        <f>IFERROR(__xludf.DUMMYFUNCTION("""COMPUTED_VALUE"""),1.038)</f>
        <v>1.038</v>
      </c>
      <c r="E2207" s="16">
        <f>IFERROR(__xludf.DUMMYFUNCTION("""COMPUTED_VALUE"""),63.0)</f>
        <v>63</v>
      </c>
      <c r="F2207" s="19" t="str">
        <f>IFERROR(__xludf.DUMMYFUNCTION("""COMPUTED_VALUE"""),"BLACK")</f>
        <v>BLACK</v>
      </c>
      <c r="G2207" s="20" t="str">
        <f>IFERROR(__xludf.DUMMYFUNCTION("""COMPUTED_VALUE"""),"Tap 6 Clone (10/15/2021)")</f>
        <v>Tap 6 Clone (10/15/2021)</v>
      </c>
      <c r="H2207" s="19"/>
    </row>
    <row r="2208">
      <c r="A2208" s="9"/>
      <c r="B2208" s="15"/>
      <c r="C2208" s="9">
        <f>IFERROR(__xludf.DUMMYFUNCTION("""COMPUTED_VALUE"""),44488.6739171759)</f>
        <v>44488.67392</v>
      </c>
      <c r="D2208" s="15">
        <f>IFERROR(__xludf.DUMMYFUNCTION("""COMPUTED_VALUE"""),1.039)</f>
        <v>1.039</v>
      </c>
      <c r="E2208" s="16">
        <f>IFERROR(__xludf.DUMMYFUNCTION("""COMPUTED_VALUE"""),63.0)</f>
        <v>63</v>
      </c>
      <c r="F2208" s="19" t="str">
        <f>IFERROR(__xludf.DUMMYFUNCTION("""COMPUTED_VALUE"""),"BLACK")</f>
        <v>BLACK</v>
      </c>
      <c r="G2208" s="20" t="str">
        <f>IFERROR(__xludf.DUMMYFUNCTION("""COMPUTED_VALUE"""),"Tap 6 Clone (10/15/2021)")</f>
        <v>Tap 6 Clone (10/15/2021)</v>
      </c>
      <c r="H2208" s="19"/>
    </row>
    <row r="2209">
      <c r="A2209" s="9"/>
      <c r="B2209" s="15"/>
      <c r="C2209" s="9">
        <f>IFERROR(__xludf.DUMMYFUNCTION("""COMPUTED_VALUE"""),44488.6634844675)</f>
        <v>44488.66348</v>
      </c>
      <c r="D2209" s="15">
        <f>IFERROR(__xludf.DUMMYFUNCTION("""COMPUTED_VALUE"""),1.039)</f>
        <v>1.039</v>
      </c>
      <c r="E2209" s="16">
        <f>IFERROR(__xludf.DUMMYFUNCTION("""COMPUTED_VALUE"""),63.0)</f>
        <v>63</v>
      </c>
      <c r="F2209" s="19" t="str">
        <f>IFERROR(__xludf.DUMMYFUNCTION("""COMPUTED_VALUE"""),"BLACK")</f>
        <v>BLACK</v>
      </c>
      <c r="G2209" s="20" t="str">
        <f>IFERROR(__xludf.DUMMYFUNCTION("""COMPUTED_VALUE"""),"Tap 6 Clone (10/15/2021)")</f>
        <v>Tap 6 Clone (10/15/2021)</v>
      </c>
      <c r="H2209" s="19"/>
    </row>
    <row r="2210">
      <c r="A2210" s="9"/>
      <c r="B2210" s="15"/>
      <c r="C2210" s="9">
        <f>IFERROR(__xludf.DUMMYFUNCTION("""COMPUTED_VALUE"""),44488.6530651389)</f>
        <v>44488.65307</v>
      </c>
      <c r="D2210" s="15">
        <f>IFERROR(__xludf.DUMMYFUNCTION("""COMPUTED_VALUE"""),1.039)</f>
        <v>1.039</v>
      </c>
      <c r="E2210" s="16">
        <f>IFERROR(__xludf.DUMMYFUNCTION("""COMPUTED_VALUE"""),63.0)</f>
        <v>63</v>
      </c>
      <c r="F2210" s="19" t="str">
        <f>IFERROR(__xludf.DUMMYFUNCTION("""COMPUTED_VALUE"""),"BLACK")</f>
        <v>BLACK</v>
      </c>
      <c r="G2210" s="20" t="str">
        <f>IFERROR(__xludf.DUMMYFUNCTION("""COMPUTED_VALUE"""),"Tap 6 Clone (10/15/2021)")</f>
        <v>Tap 6 Clone (10/15/2021)</v>
      </c>
      <c r="H2210" s="19"/>
    </row>
    <row r="2211">
      <c r="A2211" s="9"/>
      <c r="B2211" s="15"/>
      <c r="C2211" s="9">
        <f>IFERROR(__xludf.DUMMYFUNCTION("""COMPUTED_VALUE"""),44488.6426418287)</f>
        <v>44488.64264</v>
      </c>
      <c r="D2211" s="15">
        <f>IFERROR(__xludf.DUMMYFUNCTION("""COMPUTED_VALUE"""),1.039)</f>
        <v>1.039</v>
      </c>
      <c r="E2211" s="16">
        <f>IFERROR(__xludf.DUMMYFUNCTION("""COMPUTED_VALUE"""),62.0)</f>
        <v>62</v>
      </c>
      <c r="F2211" s="19" t="str">
        <f>IFERROR(__xludf.DUMMYFUNCTION("""COMPUTED_VALUE"""),"BLACK")</f>
        <v>BLACK</v>
      </c>
      <c r="G2211" s="20" t="str">
        <f>IFERROR(__xludf.DUMMYFUNCTION("""COMPUTED_VALUE"""),"Tap 6 Clone (10/15/2021)")</f>
        <v>Tap 6 Clone (10/15/2021)</v>
      </c>
      <c r="H2211" s="19"/>
    </row>
    <row r="2212">
      <c r="A2212" s="9"/>
      <c r="B2212" s="15"/>
      <c r="C2212" s="9">
        <f>IFERROR(__xludf.DUMMYFUNCTION("""COMPUTED_VALUE"""),44488.63222125)</f>
        <v>44488.63222</v>
      </c>
      <c r="D2212" s="15">
        <f>IFERROR(__xludf.DUMMYFUNCTION("""COMPUTED_VALUE"""),1.039)</f>
        <v>1.039</v>
      </c>
      <c r="E2212" s="16">
        <f>IFERROR(__xludf.DUMMYFUNCTION("""COMPUTED_VALUE"""),62.0)</f>
        <v>62</v>
      </c>
      <c r="F2212" s="19" t="str">
        <f>IFERROR(__xludf.DUMMYFUNCTION("""COMPUTED_VALUE"""),"BLACK")</f>
        <v>BLACK</v>
      </c>
      <c r="G2212" s="20" t="str">
        <f>IFERROR(__xludf.DUMMYFUNCTION("""COMPUTED_VALUE"""),"Tap 6 Clone (10/15/2021)")</f>
        <v>Tap 6 Clone (10/15/2021)</v>
      </c>
      <c r="H2212" s="19"/>
    </row>
    <row r="2213">
      <c r="A2213" s="9"/>
      <c r="B2213" s="15"/>
      <c r="C2213" s="9">
        <f>IFERROR(__xludf.DUMMYFUNCTION("""COMPUTED_VALUE"""),44488.6218001388)</f>
        <v>44488.6218</v>
      </c>
      <c r="D2213" s="15">
        <f>IFERROR(__xludf.DUMMYFUNCTION("""COMPUTED_VALUE"""),1.039)</f>
        <v>1.039</v>
      </c>
      <c r="E2213" s="16">
        <f>IFERROR(__xludf.DUMMYFUNCTION("""COMPUTED_VALUE"""),62.0)</f>
        <v>62</v>
      </c>
      <c r="F2213" s="19" t="str">
        <f>IFERROR(__xludf.DUMMYFUNCTION("""COMPUTED_VALUE"""),"BLACK")</f>
        <v>BLACK</v>
      </c>
      <c r="G2213" s="20" t="str">
        <f>IFERROR(__xludf.DUMMYFUNCTION("""COMPUTED_VALUE"""),"Tap 6 Clone (10/15/2021)")</f>
        <v>Tap 6 Clone (10/15/2021)</v>
      </c>
      <c r="H2213" s="19"/>
    </row>
    <row r="2214">
      <c r="A2214" s="9"/>
      <c r="B2214" s="15"/>
      <c r="C2214" s="9">
        <f>IFERROR(__xludf.DUMMYFUNCTION("""COMPUTED_VALUE"""),44488.6113776504)</f>
        <v>44488.61138</v>
      </c>
      <c r="D2214" s="15">
        <f>IFERROR(__xludf.DUMMYFUNCTION("""COMPUTED_VALUE"""),1.04)</f>
        <v>1.04</v>
      </c>
      <c r="E2214" s="16">
        <f>IFERROR(__xludf.DUMMYFUNCTION("""COMPUTED_VALUE"""),62.0)</f>
        <v>62</v>
      </c>
      <c r="F2214" s="19" t="str">
        <f>IFERROR(__xludf.DUMMYFUNCTION("""COMPUTED_VALUE"""),"BLACK")</f>
        <v>BLACK</v>
      </c>
      <c r="G2214" s="20" t="str">
        <f>IFERROR(__xludf.DUMMYFUNCTION("""COMPUTED_VALUE"""),"Tap 6 Clone (10/15/2021)")</f>
        <v>Tap 6 Clone (10/15/2021)</v>
      </c>
      <c r="H2214" s="19"/>
    </row>
    <row r="2215">
      <c r="A2215" s="9"/>
      <c r="B2215" s="15"/>
      <c r="C2215" s="9">
        <f>IFERROR(__xludf.DUMMYFUNCTION("""COMPUTED_VALUE"""),44488.6009552893)</f>
        <v>44488.60096</v>
      </c>
      <c r="D2215" s="15">
        <f>IFERROR(__xludf.DUMMYFUNCTION("""COMPUTED_VALUE"""),1.039)</f>
        <v>1.039</v>
      </c>
      <c r="E2215" s="16">
        <f>IFERROR(__xludf.DUMMYFUNCTION("""COMPUTED_VALUE"""),62.0)</f>
        <v>62</v>
      </c>
      <c r="F2215" s="19" t="str">
        <f>IFERROR(__xludf.DUMMYFUNCTION("""COMPUTED_VALUE"""),"BLACK")</f>
        <v>BLACK</v>
      </c>
      <c r="G2215" s="20" t="str">
        <f>IFERROR(__xludf.DUMMYFUNCTION("""COMPUTED_VALUE"""),"Tap 6 Clone (10/15/2021)")</f>
        <v>Tap 6 Clone (10/15/2021)</v>
      </c>
      <c r="H2215" s="19"/>
    </row>
    <row r="2216">
      <c r="A2216" s="9"/>
      <c r="B2216" s="15"/>
      <c r="C2216" s="9">
        <f>IFERROR(__xludf.DUMMYFUNCTION("""COMPUTED_VALUE"""),44488.5905326273)</f>
        <v>44488.59053</v>
      </c>
      <c r="D2216" s="15">
        <f>IFERROR(__xludf.DUMMYFUNCTION("""COMPUTED_VALUE"""),1.04)</f>
        <v>1.04</v>
      </c>
      <c r="E2216" s="16">
        <f>IFERROR(__xludf.DUMMYFUNCTION("""COMPUTED_VALUE"""),62.0)</f>
        <v>62</v>
      </c>
      <c r="F2216" s="19" t="str">
        <f>IFERROR(__xludf.DUMMYFUNCTION("""COMPUTED_VALUE"""),"BLACK")</f>
        <v>BLACK</v>
      </c>
      <c r="G2216" s="20" t="str">
        <f>IFERROR(__xludf.DUMMYFUNCTION("""COMPUTED_VALUE"""),"Tap 6 Clone (10/15/2021)")</f>
        <v>Tap 6 Clone (10/15/2021)</v>
      </c>
      <c r="H2216" s="19"/>
    </row>
    <row r="2217">
      <c r="A2217" s="9"/>
      <c r="B2217" s="15"/>
      <c r="C2217" s="9">
        <f>IFERROR(__xludf.DUMMYFUNCTION("""COMPUTED_VALUE"""),44488.5801110069)</f>
        <v>44488.58011</v>
      </c>
      <c r="D2217" s="15">
        <f>IFERROR(__xludf.DUMMYFUNCTION("""COMPUTED_VALUE"""),1.04)</f>
        <v>1.04</v>
      </c>
      <c r="E2217" s="16">
        <f>IFERROR(__xludf.DUMMYFUNCTION("""COMPUTED_VALUE"""),62.0)</f>
        <v>62</v>
      </c>
      <c r="F2217" s="19" t="str">
        <f>IFERROR(__xludf.DUMMYFUNCTION("""COMPUTED_VALUE"""),"BLACK")</f>
        <v>BLACK</v>
      </c>
      <c r="G2217" s="20" t="str">
        <f>IFERROR(__xludf.DUMMYFUNCTION("""COMPUTED_VALUE"""),"Tap 6 Clone (10/15/2021)")</f>
        <v>Tap 6 Clone (10/15/2021)</v>
      </c>
      <c r="H2217" s="19"/>
    </row>
    <row r="2218">
      <c r="A2218" s="9"/>
      <c r="B2218" s="15"/>
      <c r="C2218" s="9">
        <f>IFERROR(__xludf.DUMMYFUNCTION("""COMPUTED_VALUE"""),44488.5696892361)</f>
        <v>44488.56969</v>
      </c>
      <c r="D2218" s="15">
        <f>IFERROR(__xludf.DUMMYFUNCTION("""COMPUTED_VALUE"""),1.04)</f>
        <v>1.04</v>
      </c>
      <c r="E2218" s="16">
        <f>IFERROR(__xludf.DUMMYFUNCTION("""COMPUTED_VALUE"""),62.0)</f>
        <v>62</v>
      </c>
      <c r="F2218" s="19" t="str">
        <f>IFERROR(__xludf.DUMMYFUNCTION("""COMPUTED_VALUE"""),"BLACK")</f>
        <v>BLACK</v>
      </c>
      <c r="G2218" s="20" t="str">
        <f>IFERROR(__xludf.DUMMYFUNCTION("""COMPUTED_VALUE"""),"Tap 6 Clone (10/15/2021)")</f>
        <v>Tap 6 Clone (10/15/2021)</v>
      </c>
      <c r="H2218" s="19"/>
    </row>
    <row r="2219">
      <c r="A2219" s="9"/>
      <c r="B2219" s="15"/>
      <c r="C2219" s="9">
        <f>IFERROR(__xludf.DUMMYFUNCTION("""COMPUTED_VALUE"""),44488.5592568055)</f>
        <v>44488.55926</v>
      </c>
      <c r="D2219" s="15">
        <f>IFERROR(__xludf.DUMMYFUNCTION("""COMPUTED_VALUE"""),1.041)</f>
        <v>1.041</v>
      </c>
      <c r="E2219" s="16">
        <f>IFERROR(__xludf.DUMMYFUNCTION("""COMPUTED_VALUE"""),63.0)</f>
        <v>63</v>
      </c>
      <c r="F2219" s="19" t="str">
        <f>IFERROR(__xludf.DUMMYFUNCTION("""COMPUTED_VALUE"""),"BLACK")</f>
        <v>BLACK</v>
      </c>
      <c r="G2219" s="20" t="str">
        <f>IFERROR(__xludf.DUMMYFUNCTION("""COMPUTED_VALUE"""),"Tap 6 Clone (10/15/2021)")</f>
        <v>Tap 6 Clone (10/15/2021)</v>
      </c>
      <c r="H2219" s="19"/>
    </row>
    <row r="2220">
      <c r="A2220" s="9"/>
      <c r="B2220" s="15"/>
      <c r="C2220" s="9">
        <f>IFERROR(__xludf.DUMMYFUNCTION("""COMPUTED_VALUE"""),44488.5488356828)</f>
        <v>44488.54884</v>
      </c>
      <c r="D2220" s="15">
        <f>IFERROR(__xludf.DUMMYFUNCTION("""COMPUTED_VALUE"""),1.04)</f>
        <v>1.04</v>
      </c>
      <c r="E2220" s="16">
        <f>IFERROR(__xludf.DUMMYFUNCTION("""COMPUTED_VALUE"""),63.0)</f>
        <v>63</v>
      </c>
      <c r="F2220" s="19" t="str">
        <f>IFERROR(__xludf.DUMMYFUNCTION("""COMPUTED_VALUE"""),"BLACK")</f>
        <v>BLACK</v>
      </c>
      <c r="G2220" s="20" t="str">
        <f>IFERROR(__xludf.DUMMYFUNCTION("""COMPUTED_VALUE"""),"Tap 6 Clone (10/15/2021)")</f>
        <v>Tap 6 Clone (10/15/2021)</v>
      </c>
      <c r="H2220" s="19"/>
    </row>
    <row r="2221">
      <c r="A2221" s="9"/>
      <c r="B2221" s="15"/>
      <c r="C2221" s="9">
        <f>IFERROR(__xludf.DUMMYFUNCTION("""COMPUTED_VALUE"""),44488.5384129629)</f>
        <v>44488.53841</v>
      </c>
      <c r="D2221" s="15">
        <f>IFERROR(__xludf.DUMMYFUNCTION("""COMPUTED_VALUE"""),1.041)</f>
        <v>1.041</v>
      </c>
      <c r="E2221" s="16">
        <f>IFERROR(__xludf.DUMMYFUNCTION("""COMPUTED_VALUE"""),64.0)</f>
        <v>64</v>
      </c>
      <c r="F2221" s="19" t="str">
        <f>IFERROR(__xludf.DUMMYFUNCTION("""COMPUTED_VALUE"""),"BLACK")</f>
        <v>BLACK</v>
      </c>
      <c r="G2221" s="20" t="str">
        <f>IFERROR(__xludf.DUMMYFUNCTION("""COMPUTED_VALUE"""),"Tap 6 Clone (10/15/2021)")</f>
        <v>Tap 6 Clone (10/15/2021)</v>
      </c>
      <c r="H2221" s="19"/>
    </row>
    <row r="2222">
      <c r="A2222" s="9"/>
      <c r="B2222" s="15"/>
      <c r="C2222" s="9">
        <f>IFERROR(__xludf.DUMMYFUNCTION("""COMPUTED_VALUE"""),44488.5279806481)</f>
        <v>44488.52798</v>
      </c>
      <c r="D2222" s="15">
        <f>IFERROR(__xludf.DUMMYFUNCTION("""COMPUTED_VALUE"""),1.041)</f>
        <v>1.041</v>
      </c>
      <c r="E2222" s="16">
        <f>IFERROR(__xludf.DUMMYFUNCTION("""COMPUTED_VALUE"""),65.0)</f>
        <v>65</v>
      </c>
      <c r="F2222" s="19" t="str">
        <f>IFERROR(__xludf.DUMMYFUNCTION("""COMPUTED_VALUE"""),"BLACK")</f>
        <v>BLACK</v>
      </c>
      <c r="G2222" s="20" t="str">
        <f>IFERROR(__xludf.DUMMYFUNCTION("""COMPUTED_VALUE"""),"Tap 6 Clone (10/15/2021)")</f>
        <v>Tap 6 Clone (10/15/2021)</v>
      </c>
      <c r="H2222" s="19"/>
    </row>
    <row r="2223">
      <c r="A2223" s="9"/>
      <c r="B2223" s="15"/>
      <c r="C2223" s="9">
        <f>IFERROR(__xludf.DUMMYFUNCTION("""COMPUTED_VALUE"""),44488.5175482175)</f>
        <v>44488.51755</v>
      </c>
      <c r="D2223" s="15">
        <f>IFERROR(__xludf.DUMMYFUNCTION("""COMPUTED_VALUE"""),1.041)</f>
        <v>1.041</v>
      </c>
      <c r="E2223" s="16">
        <f>IFERROR(__xludf.DUMMYFUNCTION("""COMPUTED_VALUE"""),66.0)</f>
        <v>66</v>
      </c>
      <c r="F2223" s="19" t="str">
        <f>IFERROR(__xludf.DUMMYFUNCTION("""COMPUTED_VALUE"""),"BLACK")</f>
        <v>BLACK</v>
      </c>
      <c r="G2223" s="20" t="str">
        <f>IFERROR(__xludf.DUMMYFUNCTION("""COMPUTED_VALUE"""),"Tap 6 Clone (10/15/2021)")</f>
        <v>Tap 6 Clone (10/15/2021)</v>
      </c>
      <c r="H2223" s="19"/>
    </row>
    <row r="2224">
      <c r="A2224" s="9"/>
      <c r="B2224" s="15"/>
      <c r="C2224" s="9">
        <f>IFERROR(__xludf.DUMMYFUNCTION("""COMPUTED_VALUE"""),44488.5071268171)</f>
        <v>44488.50713</v>
      </c>
      <c r="D2224" s="15">
        <f>IFERROR(__xludf.DUMMYFUNCTION("""COMPUTED_VALUE"""),1.041)</f>
        <v>1.041</v>
      </c>
      <c r="E2224" s="16">
        <f>IFERROR(__xludf.DUMMYFUNCTION("""COMPUTED_VALUE"""),66.0)</f>
        <v>66</v>
      </c>
      <c r="F2224" s="19" t="str">
        <f>IFERROR(__xludf.DUMMYFUNCTION("""COMPUTED_VALUE"""),"BLACK")</f>
        <v>BLACK</v>
      </c>
      <c r="G2224" s="20" t="str">
        <f>IFERROR(__xludf.DUMMYFUNCTION("""COMPUTED_VALUE"""),"Tap 6 Clone (10/15/2021)")</f>
        <v>Tap 6 Clone (10/15/2021)</v>
      </c>
      <c r="H2224" s="19"/>
    </row>
    <row r="2225">
      <c r="A2225" s="9"/>
      <c r="B2225" s="15"/>
      <c r="C2225" s="9">
        <f>IFERROR(__xludf.DUMMYFUNCTION("""COMPUTED_VALUE"""),44488.4967053472)</f>
        <v>44488.49671</v>
      </c>
      <c r="D2225" s="15">
        <f>IFERROR(__xludf.DUMMYFUNCTION("""COMPUTED_VALUE"""),1.041)</f>
        <v>1.041</v>
      </c>
      <c r="E2225" s="16">
        <f>IFERROR(__xludf.DUMMYFUNCTION("""COMPUTED_VALUE"""),66.0)</f>
        <v>66</v>
      </c>
      <c r="F2225" s="19" t="str">
        <f>IFERROR(__xludf.DUMMYFUNCTION("""COMPUTED_VALUE"""),"BLACK")</f>
        <v>BLACK</v>
      </c>
      <c r="G2225" s="20" t="str">
        <f>IFERROR(__xludf.DUMMYFUNCTION("""COMPUTED_VALUE"""),"Tap 6 Clone (10/15/2021)")</f>
        <v>Tap 6 Clone (10/15/2021)</v>
      </c>
      <c r="H2225" s="19"/>
    </row>
    <row r="2226">
      <c r="A2226" s="9"/>
      <c r="B2226" s="15"/>
      <c r="C2226" s="9">
        <f>IFERROR(__xludf.DUMMYFUNCTION("""COMPUTED_VALUE"""),44488.4862842592)</f>
        <v>44488.48628</v>
      </c>
      <c r="D2226" s="15">
        <f>IFERROR(__xludf.DUMMYFUNCTION("""COMPUTED_VALUE"""),1.041)</f>
        <v>1.041</v>
      </c>
      <c r="E2226" s="16">
        <f>IFERROR(__xludf.DUMMYFUNCTION("""COMPUTED_VALUE"""),66.0)</f>
        <v>66</v>
      </c>
      <c r="F2226" s="19" t="str">
        <f>IFERROR(__xludf.DUMMYFUNCTION("""COMPUTED_VALUE"""),"BLACK")</f>
        <v>BLACK</v>
      </c>
      <c r="G2226" s="20" t="str">
        <f>IFERROR(__xludf.DUMMYFUNCTION("""COMPUTED_VALUE"""),"Tap 6 Clone (10/15/2021)")</f>
        <v>Tap 6 Clone (10/15/2021)</v>
      </c>
      <c r="H2226" s="19"/>
    </row>
    <row r="2227">
      <c r="A2227" s="9"/>
      <c r="B2227" s="15"/>
      <c r="C2227" s="9">
        <f>IFERROR(__xludf.DUMMYFUNCTION("""COMPUTED_VALUE"""),44488.4758625347)</f>
        <v>44488.47586</v>
      </c>
      <c r="D2227" s="15">
        <f>IFERROR(__xludf.DUMMYFUNCTION("""COMPUTED_VALUE"""),1.041)</f>
        <v>1.041</v>
      </c>
      <c r="E2227" s="16">
        <f>IFERROR(__xludf.DUMMYFUNCTION("""COMPUTED_VALUE"""),65.0)</f>
        <v>65</v>
      </c>
      <c r="F2227" s="19" t="str">
        <f>IFERROR(__xludf.DUMMYFUNCTION("""COMPUTED_VALUE"""),"BLACK")</f>
        <v>BLACK</v>
      </c>
      <c r="G2227" s="20" t="str">
        <f>IFERROR(__xludf.DUMMYFUNCTION("""COMPUTED_VALUE"""),"Tap 6 Clone (10/15/2021)")</f>
        <v>Tap 6 Clone (10/15/2021)</v>
      </c>
      <c r="H2227" s="19"/>
    </row>
    <row r="2228">
      <c r="A2228" s="9"/>
      <c r="B2228" s="15"/>
      <c r="C2228" s="9">
        <f>IFERROR(__xludf.DUMMYFUNCTION("""COMPUTED_VALUE"""),44488.4654426157)</f>
        <v>44488.46544</v>
      </c>
      <c r="D2228" s="15">
        <f>IFERROR(__xludf.DUMMYFUNCTION("""COMPUTED_VALUE"""),1.042)</f>
        <v>1.042</v>
      </c>
      <c r="E2228" s="16">
        <f>IFERROR(__xludf.DUMMYFUNCTION("""COMPUTED_VALUE"""),65.0)</f>
        <v>65</v>
      </c>
      <c r="F2228" s="19" t="str">
        <f>IFERROR(__xludf.DUMMYFUNCTION("""COMPUTED_VALUE"""),"BLACK")</f>
        <v>BLACK</v>
      </c>
      <c r="G2228" s="20" t="str">
        <f>IFERROR(__xludf.DUMMYFUNCTION("""COMPUTED_VALUE"""),"Tap 6 Clone (10/15/2021)")</f>
        <v>Tap 6 Clone (10/15/2021)</v>
      </c>
      <c r="H2228" s="19"/>
    </row>
    <row r="2229">
      <c r="A2229" s="9"/>
      <c r="B2229" s="15"/>
      <c r="C2229" s="9">
        <f>IFERROR(__xludf.DUMMYFUNCTION("""COMPUTED_VALUE"""),44488.4550217014)</f>
        <v>44488.45502</v>
      </c>
      <c r="D2229" s="15">
        <f>IFERROR(__xludf.DUMMYFUNCTION("""COMPUTED_VALUE"""),1.041)</f>
        <v>1.041</v>
      </c>
      <c r="E2229" s="16">
        <f>IFERROR(__xludf.DUMMYFUNCTION("""COMPUTED_VALUE"""),65.0)</f>
        <v>65</v>
      </c>
      <c r="F2229" s="19" t="str">
        <f>IFERROR(__xludf.DUMMYFUNCTION("""COMPUTED_VALUE"""),"BLACK")</f>
        <v>BLACK</v>
      </c>
      <c r="G2229" s="20" t="str">
        <f>IFERROR(__xludf.DUMMYFUNCTION("""COMPUTED_VALUE"""),"Tap 6 Clone (10/15/2021)")</f>
        <v>Tap 6 Clone (10/15/2021)</v>
      </c>
      <c r="H2229" s="19"/>
    </row>
    <row r="2230">
      <c r="A2230" s="9"/>
      <c r="B2230" s="15"/>
      <c r="C2230" s="9">
        <f>IFERROR(__xludf.DUMMYFUNCTION("""COMPUTED_VALUE"""),44488.4446007986)</f>
        <v>44488.4446</v>
      </c>
      <c r="D2230" s="15">
        <f>IFERROR(__xludf.DUMMYFUNCTION("""COMPUTED_VALUE"""),1.042)</f>
        <v>1.042</v>
      </c>
      <c r="E2230" s="16">
        <f>IFERROR(__xludf.DUMMYFUNCTION("""COMPUTED_VALUE"""),65.0)</f>
        <v>65</v>
      </c>
      <c r="F2230" s="19" t="str">
        <f>IFERROR(__xludf.DUMMYFUNCTION("""COMPUTED_VALUE"""),"BLACK")</f>
        <v>BLACK</v>
      </c>
      <c r="G2230" s="20" t="str">
        <f>IFERROR(__xludf.DUMMYFUNCTION("""COMPUTED_VALUE"""),"Tap 6 Clone (10/15/2021)")</f>
        <v>Tap 6 Clone (10/15/2021)</v>
      </c>
      <c r="H2230" s="19"/>
    </row>
    <row r="2231">
      <c r="A2231" s="9"/>
      <c r="B2231" s="15"/>
      <c r="C2231" s="9">
        <f>IFERROR(__xludf.DUMMYFUNCTION("""COMPUTED_VALUE"""),44488.4341775694)</f>
        <v>44488.43418</v>
      </c>
      <c r="D2231" s="15">
        <f>IFERROR(__xludf.DUMMYFUNCTION("""COMPUTED_VALUE"""),1.042)</f>
        <v>1.042</v>
      </c>
      <c r="E2231" s="16">
        <f>IFERROR(__xludf.DUMMYFUNCTION("""COMPUTED_VALUE"""),65.0)</f>
        <v>65</v>
      </c>
      <c r="F2231" s="19" t="str">
        <f>IFERROR(__xludf.DUMMYFUNCTION("""COMPUTED_VALUE"""),"BLACK")</f>
        <v>BLACK</v>
      </c>
      <c r="G2231" s="20" t="str">
        <f>IFERROR(__xludf.DUMMYFUNCTION("""COMPUTED_VALUE"""),"Tap 6 Clone (10/15/2021)")</f>
        <v>Tap 6 Clone (10/15/2021)</v>
      </c>
      <c r="H2231" s="19"/>
    </row>
    <row r="2232">
      <c r="A2232" s="9"/>
      <c r="B2232" s="15"/>
      <c r="C2232" s="9">
        <f>IFERROR(__xludf.DUMMYFUNCTION("""COMPUTED_VALUE"""),44488.4237580787)</f>
        <v>44488.42376</v>
      </c>
      <c r="D2232" s="15">
        <f>IFERROR(__xludf.DUMMYFUNCTION("""COMPUTED_VALUE"""),1.043)</f>
        <v>1.043</v>
      </c>
      <c r="E2232" s="16">
        <f>IFERROR(__xludf.DUMMYFUNCTION("""COMPUTED_VALUE"""),65.0)</f>
        <v>65</v>
      </c>
      <c r="F2232" s="19" t="str">
        <f>IFERROR(__xludf.DUMMYFUNCTION("""COMPUTED_VALUE"""),"BLACK")</f>
        <v>BLACK</v>
      </c>
      <c r="G2232" s="20" t="str">
        <f>IFERROR(__xludf.DUMMYFUNCTION("""COMPUTED_VALUE"""),"Tap 6 Clone (10/15/2021)")</f>
        <v>Tap 6 Clone (10/15/2021)</v>
      </c>
      <c r="H2232" s="19"/>
    </row>
    <row r="2233">
      <c r="A2233" s="9"/>
      <c r="B2233" s="15"/>
      <c r="C2233" s="9">
        <f>IFERROR(__xludf.DUMMYFUNCTION("""COMPUTED_VALUE"""),44488.4133380439)</f>
        <v>44488.41334</v>
      </c>
      <c r="D2233" s="15">
        <f>IFERROR(__xludf.DUMMYFUNCTION("""COMPUTED_VALUE"""),1.042)</f>
        <v>1.042</v>
      </c>
      <c r="E2233" s="16">
        <f>IFERROR(__xludf.DUMMYFUNCTION("""COMPUTED_VALUE"""),65.0)</f>
        <v>65</v>
      </c>
      <c r="F2233" s="19" t="str">
        <f>IFERROR(__xludf.DUMMYFUNCTION("""COMPUTED_VALUE"""),"BLACK")</f>
        <v>BLACK</v>
      </c>
      <c r="G2233" s="20" t="str">
        <f>IFERROR(__xludf.DUMMYFUNCTION("""COMPUTED_VALUE"""),"Tap 6 Clone (10/15/2021)")</f>
        <v>Tap 6 Clone (10/15/2021)</v>
      </c>
      <c r="H2233" s="19"/>
    </row>
    <row r="2234">
      <c r="A2234" s="9"/>
      <c r="B2234" s="15"/>
      <c r="C2234" s="9">
        <f>IFERROR(__xludf.DUMMYFUNCTION("""COMPUTED_VALUE"""),44488.4029177199)</f>
        <v>44488.40292</v>
      </c>
      <c r="D2234" s="15">
        <f>IFERROR(__xludf.DUMMYFUNCTION("""COMPUTED_VALUE"""),1.042)</f>
        <v>1.042</v>
      </c>
      <c r="E2234" s="16">
        <f>IFERROR(__xludf.DUMMYFUNCTION("""COMPUTED_VALUE"""),65.0)</f>
        <v>65</v>
      </c>
      <c r="F2234" s="19" t="str">
        <f>IFERROR(__xludf.DUMMYFUNCTION("""COMPUTED_VALUE"""),"BLACK")</f>
        <v>BLACK</v>
      </c>
      <c r="G2234" s="20" t="str">
        <f>IFERROR(__xludf.DUMMYFUNCTION("""COMPUTED_VALUE"""),"Tap 6 Clone (10/15/2021)")</f>
        <v>Tap 6 Clone (10/15/2021)</v>
      </c>
      <c r="H2234" s="19"/>
    </row>
    <row r="2235">
      <c r="A2235" s="9"/>
      <c r="B2235" s="15"/>
      <c r="C2235" s="9">
        <f>IFERROR(__xludf.DUMMYFUNCTION("""COMPUTED_VALUE"""),44488.3924746759)</f>
        <v>44488.39247</v>
      </c>
      <c r="D2235" s="15">
        <f>IFERROR(__xludf.DUMMYFUNCTION("""COMPUTED_VALUE"""),1.043)</f>
        <v>1.043</v>
      </c>
      <c r="E2235" s="16">
        <f>IFERROR(__xludf.DUMMYFUNCTION("""COMPUTED_VALUE"""),65.0)</f>
        <v>65</v>
      </c>
      <c r="F2235" s="19" t="str">
        <f>IFERROR(__xludf.DUMMYFUNCTION("""COMPUTED_VALUE"""),"BLACK")</f>
        <v>BLACK</v>
      </c>
      <c r="G2235" s="20" t="str">
        <f>IFERROR(__xludf.DUMMYFUNCTION("""COMPUTED_VALUE"""),"Tap 6 Clone (10/15/2021)")</f>
        <v>Tap 6 Clone (10/15/2021)</v>
      </c>
      <c r="H2235" s="19"/>
    </row>
    <row r="2236">
      <c r="A2236" s="9"/>
      <c r="B2236" s="15"/>
      <c r="C2236" s="9">
        <f>IFERROR(__xludf.DUMMYFUNCTION("""COMPUTED_VALUE"""),44488.3820532638)</f>
        <v>44488.38205</v>
      </c>
      <c r="D2236" s="15">
        <f>IFERROR(__xludf.DUMMYFUNCTION("""COMPUTED_VALUE"""),1.043)</f>
        <v>1.043</v>
      </c>
      <c r="E2236" s="16">
        <f>IFERROR(__xludf.DUMMYFUNCTION("""COMPUTED_VALUE"""),65.0)</f>
        <v>65</v>
      </c>
      <c r="F2236" s="19" t="str">
        <f>IFERROR(__xludf.DUMMYFUNCTION("""COMPUTED_VALUE"""),"BLACK")</f>
        <v>BLACK</v>
      </c>
      <c r="G2236" s="20" t="str">
        <f>IFERROR(__xludf.DUMMYFUNCTION("""COMPUTED_VALUE"""),"Tap 6 Clone (10/15/2021)")</f>
        <v>Tap 6 Clone (10/15/2021)</v>
      </c>
      <c r="H2236" s="19"/>
    </row>
    <row r="2237">
      <c r="A2237" s="9"/>
      <c r="B2237" s="15"/>
      <c r="C2237" s="9">
        <f>IFERROR(__xludf.DUMMYFUNCTION("""COMPUTED_VALUE"""),44488.3716330787)</f>
        <v>44488.37163</v>
      </c>
      <c r="D2237" s="15">
        <f>IFERROR(__xludf.DUMMYFUNCTION("""COMPUTED_VALUE"""),1.043)</f>
        <v>1.043</v>
      </c>
      <c r="E2237" s="16">
        <f>IFERROR(__xludf.DUMMYFUNCTION("""COMPUTED_VALUE"""),64.0)</f>
        <v>64</v>
      </c>
      <c r="F2237" s="19" t="str">
        <f>IFERROR(__xludf.DUMMYFUNCTION("""COMPUTED_VALUE"""),"BLACK")</f>
        <v>BLACK</v>
      </c>
      <c r="G2237" s="20" t="str">
        <f>IFERROR(__xludf.DUMMYFUNCTION("""COMPUTED_VALUE"""),"Tap 6 Clone (10/15/2021)")</f>
        <v>Tap 6 Clone (10/15/2021)</v>
      </c>
      <c r="H2237" s="19"/>
    </row>
    <row r="2238">
      <c r="A2238" s="9"/>
      <c r="B2238" s="15"/>
      <c r="C2238" s="9">
        <f>IFERROR(__xludf.DUMMYFUNCTION("""COMPUTED_VALUE"""),44488.3612123148)</f>
        <v>44488.36121</v>
      </c>
      <c r="D2238" s="15">
        <f>IFERROR(__xludf.DUMMYFUNCTION("""COMPUTED_VALUE"""),1.043)</f>
        <v>1.043</v>
      </c>
      <c r="E2238" s="16">
        <f>IFERROR(__xludf.DUMMYFUNCTION("""COMPUTED_VALUE"""),64.0)</f>
        <v>64</v>
      </c>
      <c r="F2238" s="19" t="str">
        <f>IFERROR(__xludf.DUMMYFUNCTION("""COMPUTED_VALUE"""),"BLACK")</f>
        <v>BLACK</v>
      </c>
      <c r="G2238" s="20" t="str">
        <f>IFERROR(__xludf.DUMMYFUNCTION("""COMPUTED_VALUE"""),"Tap 6 Clone (10/15/2021)")</f>
        <v>Tap 6 Clone (10/15/2021)</v>
      </c>
      <c r="H2238" s="19"/>
    </row>
    <row r="2239">
      <c r="A2239" s="9"/>
      <c r="B2239" s="15"/>
      <c r="C2239" s="9">
        <f>IFERROR(__xludf.DUMMYFUNCTION("""COMPUTED_VALUE"""),44488.3507898495)</f>
        <v>44488.35079</v>
      </c>
      <c r="D2239" s="15">
        <f>IFERROR(__xludf.DUMMYFUNCTION("""COMPUTED_VALUE"""),1.044)</f>
        <v>1.044</v>
      </c>
      <c r="E2239" s="16">
        <f>IFERROR(__xludf.DUMMYFUNCTION("""COMPUTED_VALUE"""),64.0)</f>
        <v>64</v>
      </c>
      <c r="F2239" s="19" t="str">
        <f>IFERROR(__xludf.DUMMYFUNCTION("""COMPUTED_VALUE"""),"BLACK")</f>
        <v>BLACK</v>
      </c>
      <c r="G2239" s="20" t="str">
        <f>IFERROR(__xludf.DUMMYFUNCTION("""COMPUTED_VALUE"""),"Tap 6 Clone (10/15/2021)")</f>
        <v>Tap 6 Clone (10/15/2021)</v>
      </c>
      <c r="H2239" s="19"/>
    </row>
    <row r="2240">
      <c r="A2240" s="9"/>
      <c r="B2240" s="15"/>
      <c r="C2240" s="9">
        <f>IFERROR(__xludf.DUMMYFUNCTION("""COMPUTED_VALUE"""),44488.3403668402)</f>
        <v>44488.34037</v>
      </c>
      <c r="D2240" s="15">
        <f>IFERROR(__xludf.DUMMYFUNCTION("""COMPUTED_VALUE"""),1.044)</f>
        <v>1.044</v>
      </c>
      <c r="E2240" s="16">
        <f>IFERROR(__xludf.DUMMYFUNCTION("""COMPUTED_VALUE"""),64.0)</f>
        <v>64</v>
      </c>
      <c r="F2240" s="19" t="str">
        <f>IFERROR(__xludf.DUMMYFUNCTION("""COMPUTED_VALUE"""),"BLACK")</f>
        <v>BLACK</v>
      </c>
      <c r="G2240" s="20" t="str">
        <f>IFERROR(__xludf.DUMMYFUNCTION("""COMPUTED_VALUE"""),"Tap 6 Clone (10/15/2021)")</f>
        <v>Tap 6 Clone (10/15/2021)</v>
      </c>
      <c r="H2240" s="19"/>
    </row>
    <row r="2241">
      <c r="A2241" s="9"/>
      <c r="B2241" s="15"/>
      <c r="C2241" s="9">
        <f>IFERROR(__xludf.DUMMYFUNCTION("""COMPUTED_VALUE"""),44488.3299345138)</f>
        <v>44488.32993</v>
      </c>
      <c r="D2241" s="15">
        <f>IFERROR(__xludf.DUMMYFUNCTION("""COMPUTED_VALUE"""),1.044)</f>
        <v>1.044</v>
      </c>
      <c r="E2241" s="16">
        <f>IFERROR(__xludf.DUMMYFUNCTION("""COMPUTED_VALUE"""),64.0)</f>
        <v>64</v>
      </c>
      <c r="F2241" s="19" t="str">
        <f>IFERROR(__xludf.DUMMYFUNCTION("""COMPUTED_VALUE"""),"BLACK")</f>
        <v>BLACK</v>
      </c>
      <c r="G2241" s="20" t="str">
        <f>IFERROR(__xludf.DUMMYFUNCTION("""COMPUTED_VALUE"""),"Tap 6 Clone (10/15/2021)")</f>
        <v>Tap 6 Clone (10/15/2021)</v>
      </c>
      <c r="H2241" s="19"/>
    </row>
    <row r="2242">
      <c r="A2242" s="9"/>
      <c r="B2242" s="15"/>
      <c r="C2242" s="9">
        <f>IFERROR(__xludf.DUMMYFUNCTION("""COMPUTED_VALUE"""),44488.3194902083)</f>
        <v>44488.31949</v>
      </c>
      <c r="D2242" s="15">
        <f>IFERROR(__xludf.DUMMYFUNCTION("""COMPUTED_VALUE"""),1.044)</f>
        <v>1.044</v>
      </c>
      <c r="E2242" s="16">
        <f>IFERROR(__xludf.DUMMYFUNCTION("""COMPUTED_VALUE"""),64.0)</f>
        <v>64</v>
      </c>
      <c r="F2242" s="19" t="str">
        <f>IFERROR(__xludf.DUMMYFUNCTION("""COMPUTED_VALUE"""),"BLACK")</f>
        <v>BLACK</v>
      </c>
      <c r="G2242" s="20" t="str">
        <f>IFERROR(__xludf.DUMMYFUNCTION("""COMPUTED_VALUE"""),"Tap 6 Clone (10/15/2021)")</f>
        <v>Tap 6 Clone (10/15/2021)</v>
      </c>
      <c r="H2242" s="19"/>
    </row>
    <row r="2243">
      <c r="A2243" s="9"/>
      <c r="B2243" s="15"/>
      <c r="C2243" s="9">
        <f>IFERROR(__xludf.DUMMYFUNCTION("""COMPUTED_VALUE"""),44488.3090687847)</f>
        <v>44488.30907</v>
      </c>
      <c r="D2243" s="15">
        <f>IFERROR(__xludf.DUMMYFUNCTION("""COMPUTED_VALUE"""),1.044)</f>
        <v>1.044</v>
      </c>
      <c r="E2243" s="16">
        <f>IFERROR(__xludf.DUMMYFUNCTION("""COMPUTED_VALUE"""),64.0)</f>
        <v>64</v>
      </c>
      <c r="F2243" s="19" t="str">
        <f>IFERROR(__xludf.DUMMYFUNCTION("""COMPUTED_VALUE"""),"BLACK")</f>
        <v>BLACK</v>
      </c>
      <c r="G2243" s="20" t="str">
        <f>IFERROR(__xludf.DUMMYFUNCTION("""COMPUTED_VALUE"""),"Tap 6 Clone (10/15/2021)")</f>
        <v>Tap 6 Clone (10/15/2021)</v>
      </c>
      <c r="H2243" s="19"/>
    </row>
    <row r="2244">
      <c r="A2244" s="9"/>
      <c r="B2244" s="15"/>
      <c r="C2244" s="9">
        <f>IFERROR(__xludf.DUMMYFUNCTION("""COMPUTED_VALUE"""),44488.2986146296)</f>
        <v>44488.29861</v>
      </c>
      <c r="D2244" s="15">
        <f>IFERROR(__xludf.DUMMYFUNCTION("""COMPUTED_VALUE"""),1.045)</f>
        <v>1.045</v>
      </c>
      <c r="E2244" s="16">
        <f>IFERROR(__xludf.DUMMYFUNCTION("""COMPUTED_VALUE"""),64.0)</f>
        <v>64</v>
      </c>
      <c r="F2244" s="19" t="str">
        <f>IFERROR(__xludf.DUMMYFUNCTION("""COMPUTED_VALUE"""),"BLACK")</f>
        <v>BLACK</v>
      </c>
      <c r="G2244" s="20" t="str">
        <f>IFERROR(__xludf.DUMMYFUNCTION("""COMPUTED_VALUE"""),"Tap 6 Clone (10/15/2021)")</f>
        <v>Tap 6 Clone (10/15/2021)</v>
      </c>
      <c r="H2244" s="19"/>
    </row>
    <row r="2245">
      <c r="A2245" s="9"/>
      <c r="B2245" s="15"/>
      <c r="C2245" s="9">
        <f>IFERROR(__xludf.DUMMYFUNCTION("""COMPUTED_VALUE"""),44488.288193287)</f>
        <v>44488.28819</v>
      </c>
      <c r="D2245" s="15">
        <f>IFERROR(__xludf.DUMMYFUNCTION("""COMPUTED_VALUE"""),1.044)</f>
        <v>1.044</v>
      </c>
      <c r="E2245" s="16">
        <f>IFERROR(__xludf.DUMMYFUNCTION("""COMPUTED_VALUE"""),64.0)</f>
        <v>64</v>
      </c>
      <c r="F2245" s="19" t="str">
        <f>IFERROR(__xludf.DUMMYFUNCTION("""COMPUTED_VALUE"""),"BLACK")</f>
        <v>BLACK</v>
      </c>
      <c r="G2245" s="20" t="str">
        <f>IFERROR(__xludf.DUMMYFUNCTION("""COMPUTED_VALUE"""),"Tap 6 Clone (10/15/2021)")</f>
        <v>Tap 6 Clone (10/15/2021)</v>
      </c>
      <c r="H2245" s="19"/>
    </row>
    <row r="2246">
      <c r="A2246" s="9"/>
      <c r="B2246" s="15"/>
      <c r="C2246" s="9">
        <f>IFERROR(__xludf.DUMMYFUNCTION("""COMPUTED_VALUE"""),44488.2777610995)</f>
        <v>44488.27776</v>
      </c>
      <c r="D2246" s="15">
        <f>IFERROR(__xludf.DUMMYFUNCTION("""COMPUTED_VALUE"""),1.044)</f>
        <v>1.044</v>
      </c>
      <c r="E2246" s="16">
        <f>IFERROR(__xludf.DUMMYFUNCTION("""COMPUTED_VALUE"""),64.0)</f>
        <v>64</v>
      </c>
      <c r="F2246" s="19" t="str">
        <f>IFERROR(__xludf.DUMMYFUNCTION("""COMPUTED_VALUE"""),"BLACK")</f>
        <v>BLACK</v>
      </c>
      <c r="G2246" s="20" t="str">
        <f>IFERROR(__xludf.DUMMYFUNCTION("""COMPUTED_VALUE"""),"Tap 6 Clone (10/15/2021)")</f>
        <v>Tap 6 Clone (10/15/2021)</v>
      </c>
      <c r="H2246" s="19"/>
    </row>
    <row r="2247">
      <c r="A2247" s="9"/>
      <c r="B2247" s="15"/>
      <c r="C2247" s="9">
        <f>IFERROR(__xludf.DUMMYFUNCTION("""COMPUTED_VALUE"""),44488.2673406597)</f>
        <v>44488.26734</v>
      </c>
      <c r="D2247" s="15">
        <f>IFERROR(__xludf.DUMMYFUNCTION("""COMPUTED_VALUE"""),1.044)</f>
        <v>1.044</v>
      </c>
      <c r="E2247" s="16">
        <f>IFERROR(__xludf.DUMMYFUNCTION("""COMPUTED_VALUE"""),64.0)</f>
        <v>64</v>
      </c>
      <c r="F2247" s="19" t="str">
        <f>IFERROR(__xludf.DUMMYFUNCTION("""COMPUTED_VALUE"""),"BLACK")</f>
        <v>BLACK</v>
      </c>
      <c r="G2247" s="20" t="str">
        <f>IFERROR(__xludf.DUMMYFUNCTION("""COMPUTED_VALUE"""),"Tap 6 Clone (10/15/2021)")</f>
        <v>Tap 6 Clone (10/15/2021)</v>
      </c>
      <c r="H2247" s="19"/>
    </row>
    <row r="2248">
      <c r="A2248" s="9"/>
      <c r="B2248" s="15"/>
      <c r="C2248" s="9">
        <f>IFERROR(__xludf.DUMMYFUNCTION("""COMPUTED_VALUE"""),44488.2569195601)</f>
        <v>44488.25692</v>
      </c>
      <c r="D2248" s="15">
        <f>IFERROR(__xludf.DUMMYFUNCTION("""COMPUTED_VALUE"""),1.045)</f>
        <v>1.045</v>
      </c>
      <c r="E2248" s="16">
        <f>IFERROR(__xludf.DUMMYFUNCTION("""COMPUTED_VALUE"""),63.0)</f>
        <v>63</v>
      </c>
      <c r="F2248" s="19" t="str">
        <f>IFERROR(__xludf.DUMMYFUNCTION("""COMPUTED_VALUE"""),"BLACK")</f>
        <v>BLACK</v>
      </c>
      <c r="G2248" s="20" t="str">
        <f>IFERROR(__xludf.DUMMYFUNCTION("""COMPUTED_VALUE"""),"Tap 6 Clone (10/15/2021)")</f>
        <v>Tap 6 Clone (10/15/2021)</v>
      </c>
      <c r="H2248" s="19"/>
    </row>
    <row r="2249">
      <c r="A2249" s="9"/>
      <c r="B2249" s="15"/>
      <c r="C2249" s="9">
        <f>IFERROR(__xludf.DUMMYFUNCTION("""COMPUTED_VALUE"""),44488.2465001504)</f>
        <v>44488.2465</v>
      </c>
      <c r="D2249" s="15">
        <f>IFERROR(__xludf.DUMMYFUNCTION("""COMPUTED_VALUE"""),1.045)</f>
        <v>1.045</v>
      </c>
      <c r="E2249" s="16">
        <f>IFERROR(__xludf.DUMMYFUNCTION("""COMPUTED_VALUE"""),63.0)</f>
        <v>63</v>
      </c>
      <c r="F2249" s="19" t="str">
        <f>IFERROR(__xludf.DUMMYFUNCTION("""COMPUTED_VALUE"""),"BLACK")</f>
        <v>BLACK</v>
      </c>
      <c r="G2249" s="20" t="str">
        <f>IFERROR(__xludf.DUMMYFUNCTION("""COMPUTED_VALUE"""),"Tap 6 Clone (10/15/2021)")</f>
        <v>Tap 6 Clone (10/15/2021)</v>
      </c>
      <c r="H2249" s="19"/>
    </row>
    <row r="2250">
      <c r="A2250" s="9"/>
      <c r="B2250" s="15"/>
      <c r="C2250" s="9">
        <f>IFERROR(__xludf.DUMMYFUNCTION("""COMPUTED_VALUE"""),44488.2360783796)</f>
        <v>44488.23608</v>
      </c>
      <c r="D2250" s="15">
        <f>IFERROR(__xludf.DUMMYFUNCTION("""COMPUTED_VALUE"""),1.045)</f>
        <v>1.045</v>
      </c>
      <c r="E2250" s="16">
        <f>IFERROR(__xludf.DUMMYFUNCTION("""COMPUTED_VALUE"""),63.0)</f>
        <v>63</v>
      </c>
      <c r="F2250" s="19" t="str">
        <f>IFERROR(__xludf.DUMMYFUNCTION("""COMPUTED_VALUE"""),"BLACK")</f>
        <v>BLACK</v>
      </c>
      <c r="G2250" s="20" t="str">
        <f>IFERROR(__xludf.DUMMYFUNCTION("""COMPUTED_VALUE"""),"Tap 6 Clone (10/15/2021)")</f>
        <v>Tap 6 Clone (10/15/2021)</v>
      </c>
      <c r="H2250" s="19"/>
    </row>
    <row r="2251">
      <c r="A2251" s="9"/>
      <c r="B2251" s="15"/>
      <c r="C2251" s="9">
        <f>IFERROR(__xludf.DUMMYFUNCTION("""COMPUTED_VALUE"""),44488.2256568865)</f>
        <v>44488.22566</v>
      </c>
      <c r="D2251" s="15">
        <f>IFERROR(__xludf.DUMMYFUNCTION("""COMPUTED_VALUE"""),1.045)</f>
        <v>1.045</v>
      </c>
      <c r="E2251" s="16">
        <f>IFERROR(__xludf.DUMMYFUNCTION("""COMPUTED_VALUE"""),63.0)</f>
        <v>63</v>
      </c>
      <c r="F2251" s="19" t="str">
        <f>IFERROR(__xludf.DUMMYFUNCTION("""COMPUTED_VALUE"""),"BLACK")</f>
        <v>BLACK</v>
      </c>
      <c r="G2251" s="20" t="str">
        <f>IFERROR(__xludf.DUMMYFUNCTION("""COMPUTED_VALUE"""),"Tap 6 Clone (10/15/2021)")</f>
        <v>Tap 6 Clone (10/15/2021)</v>
      </c>
      <c r="H2251" s="19"/>
    </row>
    <row r="2252">
      <c r="A2252" s="9"/>
      <c r="B2252" s="15"/>
      <c r="C2252" s="9">
        <f>IFERROR(__xludf.DUMMYFUNCTION("""COMPUTED_VALUE"""),44488.2152242824)</f>
        <v>44488.21522</v>
      </c>
      <c r="D2252" s="15">
        <f>IFERROR(__xludf.DUMMYFUNCTION("""COMPUTED_VALUE"""),1.045)</f>
        <v>1.045</v>
      </c>
      <c r="E2252" s="16">
        <f>IFERROR(__xludf.DUMMYFUNCTION("""COMPUTED_VALUE"""),63.0)</f>
        <v>63</v>
      </c>
      <c r="F2252" s="19" t="str">
        <f>IFERROR(__xludf.DUMMYFUNCTION("""COMPUTED_VALUE"""),"BLACK")</f>
        <v>BLACK</v>
      </c>
      <c r="G2252" s="20" t="str">
        <f>IFERROR(__xludf.DUMMYFUNCTION("""COMPUTED_VALUE"""),"Tap 6 Clone (10/15/2021)")</f>
        <v>Tap 6 Clone (10/15/2021)</v>
      </c>
      <c r="H2252" s="19"/>
    </row>
    <row r="2253">
      <c r="A2253" s="9"/>
      <c r="B2253" s="15"/>
      <c r="C2253" s="9">
        <f>IFERROR(__xludf.DUMMYFUNCTION("""COMPUTED_VALUE"""),44488.2048035069)</f>
        <v>44488.2048</v>
      </c>
      <c r="D2253" s="15">
        <f>IFERROR(__xludf.DUMMYFUNCTION("""COMPUTED_VALUE"""),1.045)</f>
        <v>1.045</v>
      </c>
      <c r="E2253" s="16">
        <f>IFERROR(__xludf.DUMMYFUNCTION("""COMPUTED_VALUE"""),63.0)</f>
        <v>63</v>
      </c>
      <c r="F2253" s="19" t="str">
        <f>IFERROR(__xludf.DUMMYFUNCTION("""COMPUTED_VALUE"""),"BLACK")</f>
        <v>BLACK</v>
      </c>
      <c r="G2253" s="20" t="str">
        <f>IFERROR(__xludf.DUMMYFUNCTION("""COMPUTED_VALUE"""),"Tap 6 Clone (10/15/2021)")</f>
        <v>Tap 6 Clone (10/15/2021)</v>
      </c>
      <c r="H2253" s="19"/>
    </row>
    <row r="2254">
      <c r="A2254" s="9"/>
      <c r="B2254" s="15"/>
      <c r="C2254" s="9">
        <f>IFERROR(__xludf.DUMMYFUNCTION("""COMPUTED_VALUE"""),44488.1943695254)</f>
        <v>44488.19437</v>
      </c>
      <c r="D2254" s="15">
        <f>IFERROR(__xludf.DUMMYFUNCTION("""COMPUTED_VALUE"""),1.045)</f>
        <v>1.045</v>
      </c>
      <c r="E2254" s="16">
        <f>IFERROR(__xludf.DUMMYFUNCTION("""COMPUTED_VALUE"""),63.0)</f>
        <v>63</v>
      </c>
      <c r="F2254" s="19" t="str">
        <f>IFERROR(__xludf.DUMMYFUNCTION("""COMPUTED_VALUE"""),"BLACK")</f>
        <v>BLACK</v>
      </c>
      <c r="G2254" s="20" t="str">
        <f>IFERROR(__xludf.DUMMYFUNCTION("""COMPUTED_VALUE"""),"Tap 6 Clone (10/15/2021)")</f>
        <v>Tap 6 Clone (10/15/2021)</v>
      </c>
      <c r="H2254" s="19"/>
    </row>
    <row r="2255">
      <c r="A2255" s="9"/>
      <c r="B2255" s="15"/>
      <c r="C2255" s="9">
        <f>IFERROR(__xludf.DUMMYFUNCTION("""COMPUTED_VALUE"""),44488.1839506481)</f>
        <v>44488.18395</v>
      </c>
      <c r="D2255" s="15">
        <f>IFERROR(__xludf.DUMMYFUNCTION("""COMPUTED_VALUE"""),1.046)</f>
        <v>1.046</v>
      </c>
      <c r="E2255" s="16">
        <f>IFERROR(__xludf.DUMMYFUNCTION("""COMPUTED_VALUE"""),63.0)</f>
        <v>63</v>
      </c>
      <c r="F2255" s="19" t="str">
        <f>IFERROR(__xludf.DUMMYFUNCTION("""COMPUTED_VALUE"""),"BLACK")</f>
        <v>BLACK</v>
      </c>
      <c r="G2255" s="20" t="str">
        <f>IFERROR(__xludf.DUMMYFUNCTION("""COMPUTED_VALUE"""),"Tap 6 Clone (10/15/2021)")</f>
        <v>Tap 6 Clone (10/15/2021)</v>
      </c>
      <c r="H2255" s="19"/>
    </row>
    <row r="2256">
      <c r="A2256" s="9"/>
      <c r="B2256" s="15"/>
      <c r="C2256" s="9">
        <f>IFERROR(__xludf.DUMMYFUNCTION("""COMPUTED_VALUE"""),44488.1735192476)</f>
        <v>44488.17352</v>
      </c>
      <c r="D2256" s="15">
        <f>IFERROR(__xludf.DUMMYFUNCTION("""COMPUTED_VALUE"""),1.045)</f>
        <v>1.045</v>
      </c>
      <c r="E2256" s="16">
        <f>IFERROR(__xludf.DUMMYFUNCTION("""COMPUTED_VALUE"""),63.0)</f>
        <v>63</v>
      </c>
      <c r="F2256" s="19" t="str">
        <f>IFERROR(__xludf.DUMMYFUNCTION("""COMPUTED_VALUE"""),"BLACK")</f>
        <v>BLACK</v>
      </c>
      <c r="G2256" s="20" t="str">
        <f>IFERROR(__xludf.DUMMYFUNCTION("""COMPUTED_VALUE"""),"Tap 6 Clone (10/15/2021)")</f>
        <v>Tap 6 Clone (10/15/2021)</v>
      </c>
      <c r="H2256" s="19"/>
    </row>
    <row r="2257">
      <c r="A2257" s="9"/>
      <c r="B2257" s="15"/>
      <c r="C2257" s="9">
        <f>IFERROR(__xludf.DUMMYFUNCTION("""COMPUTED_VALUE"""),44488.1630870138)</f>
        <v>44488.16309</v>
      </c>
      <c r="D2257" s="15">
        <f>IFERROR(__xludf.DUMMYFUNCTION("""COMPUTED_VALUE"""),1.046)</f>
        <v>1.046</v>
      </c>
      <c r="E2257" s="16">
        <f>IFERROR(__xludf.DUMMYFUNCTION("""COMPUTED_VALUE"""),63.0)</f>
        <v>63</v>
      </c>
      <c r="F2257" s="19" t="str">
        <f>IFERROR(__xludf.DUMMYFUNCTION("""COMPUTED_VALUE"""),"BLACK")</f>
        <v>BLACK</v>
      </c>
      <c r="G2257" s="20" t="str">
        <f>IFERROR(__xludf.DUMMYFUNCTION("""COMPUTED_VALUE"""),"Tap 6 Clone (10/15/2021)")</f>
        <v>Tap 6 Clone (10/15/2021)</v>
      </c>
      <c r="H2257" s="19"/>
    </row>
    <row r="2258">
      <c r="A2258" s="9"/>
      <c r="B2258" s="15"/>
      <c r="C2258" s="9">
        <f>IFERROR(__xludf.DUMMYFUNCTION("""COMPUTED_VALUE"""),44488.1526653356)</f>
        <v>44488.15267</v>
      </c>
      <c r="D2258" s="15">
        <f>IFERROR(__xludf.DUMMYFUNCTION("""COMPUTED_VALUE"""),1.046)</f>
        <v>1.046</v>
      </c>
      <c r="E2258" s="16">
        <f>IFERROR(__xludf.DUMMYFUNCTION("""COMPUTED_VALUE"""),63.0)</f>
        <v>63</v>
      </c>
      <c r="F2258" s="19" t="str">
        <f>IFERROR(__xludf.DUMMYFUNCTION("""COMPUTED_VALUE"""),"BLACK")</f>
        <v>BLACK</v>
      </c>
      <c r="G2258" s="20" t="str">
        <f>IFERROR(__xludf.DUMMYFUNCTION("""COMPUTED_VALUE"""),"Tap 6 Clone (10/15/2021)")</f>
        <v>Tap 6 Clone (10/15/2021)</v>
      </c>
      <c r="H2258" s="19"/>
    </row>
    <row r="2259">
      <c r="A2259" s="9"/>
      <c r="B2259" s="15"/>
      <c r="C2259" s="9">
        <f>IFERROR(__xludf.DUMMYFUNCTION("""COMPUTED_VALUE"""),44488.142198287)</f>
        <v>44488.1422</v>
      </c>
      <c r="D2259" s="15">
        <f>IFERROR(__xludf.DUMMYFUNCTION("""COMPUTED_VALUE"""),1.046)</f>
        <v>1.046</v>
      </c>
      <c r="E2259" s="16">
        <f>IFERROR(__xludf.DUMMYFUNCTION("""COMPUTED_VALUE"""),63.0)</f>
        <v>63</v>
      </c>
      <c r="F2259" s="19" t="str">
        <f>IFERROR(__xludf.DUMMYFUNCTION("""COMPUTED_VALUE"""),"BLACK")</f>
        <v>BLACK</v>
      </c>
      <c r="G2259" s="20" t="str">
        <f>IFERROR(__xludf.DUMMYFUNCTION("""COMPUTED_VALUE"""),"Tap 6 Clone (10/15/2021)")</f>
        <v>Tap 6 Clone (10/15/2021)</v>
      </c>
      <c r="H2259" s="19"/>
    </row>
    <row r="2260">
      <c r="A2260" s="9"/>
      <c r="B2260" s="15"/>
      <c r="C2260" s="9">
        <f>IFERROR(__xludf.DUMMYFUNCTION("""COMPUTED_VALUE"""),44488.1317793981)</f>
        <v>44488.13178</v>
      </c>
      <c r="D2260" s="15">
        <f>IFERROR(__xludf.DUMMYFUNCTION("""COMPUTED_VALUE"""),1.045)</f>
        <v>1.045</v>
      </c>
      <c r="E2260" s="16">
        <f>IFERROR(__xludf.DUMMYFUNCTION("""COMPUTED_VALUE"""),63.0)</f>
        <v>63</v>
      </c>
      <c r="F2260" s="19" t="str">
        <f>IFERROR(__xludf.DUMMYFUNCTION("""COMPUTED_VALUE"""),"BLACK")</f>
        <v>BLACK</v>
      </c>
      <c r="G2260" s="20" t="str">
        <f>IFERROR(__xludf.DUMMYFUNCTION("""COMPUTED_VALUE"""),"Tap 6 Clone (10/15/2021)")</f>
        <v>Tap 6 Clone (10/15/2021)</v>
      </c>
      <c r="H2260" s="19"/>
    </row>
    <row r="2261">
      <c r="A2261" s="9"/>
      <c r="B2261" s="15"/>
      <c r="C2261" s="9">
        <f>IFERROR(__xludf.DUMMYFUNCTION("""COMPUTED_VALUE"""),44488.1213584143)</f>
        <v>44488.12136</v>
      </c>
      <c r="D2261" s="15">
        <f>IFERROR(__xludf.DUMMYFUNCTION("""COMPUTED_VALUE"""),1.046)</f>
        <v>1.046</v>
      </c>
      <c r="E2261" s="16">
        <f>IFERROR(__xludf.DUMMYFUNCTION("""COMPUTED_VALUE"""),63.0)</f>
        <v>63</v>
      </c>
      <c r="F2261" s="19" t="str">
        <f>IFERROR(__xludf.DUMMYFUNCTION("""COMPUTED_VALUE"""),"BLACK")</f>
        <v>BLACK</v>
      </c>
      <c r="G2261" s="20" t="str">
        <f>IFERROR(__xludf.DUMMYFUNCTION("""COMPUTED_VALUE"""),"Tap 6 Clone (10/15/2021)")</f>
        <v>Tap 6 Clone (10/15/2021)</v>
      </c>
      <c r="H2261" s="19"/>
    </row>
    <row r="2262">
      <c r="A2262" s="9"/>
      <c r="B2262" s="15"/>
      <c r="C2262" s="9">
        <f>IFERROR(__xludf.DUMMYFUNCTION("""COMPUTED_VALUE"""),44488.1109386342)</f>
        <v>44488.11094</v>
      </c>
      <c r="D2262" s="15">
        <f>IFERROR(__xludf.DUMMYFUNCTION("""COMPUTED_VALUE"""),1.046)</f>
        <v>1.046</v>
      </c>
      <c r="E2262" s="16">
        <f>IFERROR(__xludf.DUMMYFUNCTION("""COMPUTED_VALUE"""),62.0)</f>
        <v>62</v>
      </c>
      <c r="F2262" s="19" t="str">
        <f>IFERROR(__xludf.DUMMYFUNCTION("""COMPUTED_VALUE"""),"BLACK")</f>
        <v>BLACK</v>
      </c>
      <c r="G2262" s="20" t="str">
        <f>IFERROR(__xludf.DUMMYFUNCTION("""COMPUTED_VALUE"""),"Tap 6 Clone (10/15/2021)")</f>
        <v>Tap 6 Clone (10/15/2021)</v>
      </c>
      <c r="H2262" s="19"/>
    </row>
    <row r="2263">
      <c r="A2263" s="9"/>
      <c r="B2263" s="15"/>
      <c r="C2263" s="9">
        <f>IFERROR(__xludf.DUMMYFUNCTION("""COMPUTED_VALUE"""),44488.100516956)</f>
        <v>44488.10052</v>
      </c>
      <c r="D2263" s="15">
        <f>IFERROR(__xludf.DUMMYFUNCTION("""COMPUTED_VALUE"""),1.046)</f>
        <v>1.046</v>
      </c>
      <c r="E2263" s="16">
        <f>IFERROR(__xludf.DUMMYFUNCTION("""COMPUTED_VALUE"""),62.0)</f>
        <v>62</v>
      </c>
      <c r="F2263" s="19" t="str">
        <f>IFERROR(__xludf.DUMMYFUNCTION("""COMPUTED_VALUE"""),"BLACK")</f>
        <v>BLACK</v>
      </c>
      <c r="G2263" s="20" t="str">
        <f>IFERROR(__xludf.DUMMYFUNCTION("""COMPUTED_VALUE"""),"Tap 6 Clone (10/15/2021)")</f>
        <v>Tap 6 Clone (10/15/2021)</v>
      </c>
      <c r="H2263" s="19"/>
    </row>
    <row r="2264">
      <c r="A2264" s="9"/>
      <c r="B2264" s="15"/>
      <c r="C2264" s="9">
        <f>IFERROR(__xludf.DUMMYFUNCTION("""COMPUTED_VALUE"""),44488.0900972569)</f>
        <v>44488.0901</v>
      </c>
      <c r="D2264" s="15">
        <f>IFERROR(__xludf.DUMMYFUNCTION("""COMPUTED_VALUE"""),1.047)</f>
        <v>1.047</v>
      </c>
      <c r="E2264" s="16">
        <f>IFERROR(__xludf.DUMMYFUNCTION("""COMPUTED_VALUE"""),62.0)</f>
        <v>62</v>
      </c>
      <c r="F2264" s="19" t="str">
        <f>IFERROR(__xludf.DUMMYFUNCTION("""COMPUTED_VALUE"""),"BLACK")</f>
        <v>BLACK</v>
      </c>
      <c r="G2264" s="20" t="str">
        <f>IFERROR(__xludf.DUMMYFUNCTION("""COMPUTED_VALUE"""),"Tap 6 Clone (10/15/2021)")</f>
        <v>Tap 6 Clone (10/15/2021)</v>
      </c>
      <c r="H2264" s="19"/>
    </row>
    <row r="2265">
      <c r="A2265" s="9"/>
      <c r="B2265" s="15"/>
      <c r="C2265" s="9">
        <f>IFERROR(__xludf.DUMMYFUNCTION("""COMPUTED_VALUE"""),44488.0796788194)</f>
        <v>44488.07968</v>
      </c>
      <c r="D2265" s="15">
        <f>IFERROR(__xludf.DUMMYFUNCTION("""COMPUTED_VALUE"""),1.046)</f>
        <v>1.046</v>
      </c>
      <c r="E2265" s="16">
        <f>IFERROR(__xludf.DUMMYFUNCTION("""COMPUTED_VALUE"""),62.0)</f>
        <v>62</v>
      </c>
      <c r="F2265" s="19" t="str">
        <f>IFERROR(__xludf.DUMMYFUNCTION("""COMPUTED_VALUE"""),"BLACK")</f>
        <v>BLACK</v>
      </c>
      <c r="G2265" s="20" t="str">
        <f>IFERROR(__xludf.DUMMYFUNCTION("""COMPUTED_VALUE"""),"Tap 6 Clone (10/15/2021)")</f>
        <v>Tap 6 Clone (10/15/2021)</v>
      </c>
      <c r="H2265" s="19"/>
    </row>
    <row r="2266">
      <c r="A2266" s="9"/>
      <c r="B2266" s="15"/>
      <c r="C2266" s="9">
        <f>IFERROR(__xludf.DUMMYFUNCTION("""COMPUTED_VALUE"""),44488.0692475)</f>
        <v>44488.06925</v>
      </c>
      <c r="D2266" s="15">
        <f>IFERROR(__xludf.DUMMYFUNCTION("""COMPUTED_VALUE"""),1.047)</f>
        <v>1.047</v>
      </c>
      <c r="E2266" s="16">
        <f>IFERROR(__xludf.DUMMYFUNCTION("""COMPUTED_VALUE"""),62.0)</f>
        <v>62</v>
      </c>
      <c r="F2266" s="19" t="str">
        <f>IFERROR(__xludf.DUMMYFUNCTION("""COMPUTED_VALUE"""),"BLACK")</f>
        <v>BLACK</v>
      </c>
      <c r="G2266" s="20" t="str">
        <f>IFERROR(__xludf.DUMMYFUNCTION("""COMPUTED_VALUE"""),"Tap 6 Clone (10/15/2021)")</f>
        <v>Tap 6 Clone (10/15/2021)</v>
      </c>
      <c r="H2266" s="19"/>
    </row>
    <row r="2267">
      <c r="A2267" s="9"/>
      <c r="B2267" s="15"/>
      <c r="C2267" s="9">
        <f>IFERROR(__xludf.DUMMYFUNCTION("""COMPUTED_VALUE"""),44488.0588257291)</f>
        <v>44488.05883</v>
      </c>
      <c r="D2267" s="15">
        <f>IFERROR(__xludf.DUMMYFUNCTION("""COMPUTED_VALUE"""),1.047)</f>
        <v>1.047</v>
      </c>
      <c r="E2267" s="16">
        <f>IFERROR(__xludf.DUMMYFUNCTION("""COMPUTED_VALUE"""),62.0)</f>
        <v>62</v>
      </c>
      <c r="F2267" s="19" t="str">
        <f>IFERROR(__xludf.DUMMYFUNCTION("""COMPUTED_VALUE"""),"BLACK")</f>
        <v>BLACK</v>
      </c>
      <c r="G2267" s="20" t="str">
        <f>IFERROR(__xludf.DUMMYFUNCTION("""COMPUTED_VALUE"""),"Tap 6 Clone (10/15/2021)")</f>
        <v>Tap 6 Clone (10/15/2021)</v>
      </c>
      <c r="H2267" s="19"/>
    </row>
    <row r="2268">
      <c r="A2268" s="9"/>
      <c r="B2268" s="15"/>
      <c r="C2268" s="9">
        <f>IFERROR(__xludf.DUMMYFUNCTION("""COMPUTED_VALUE"""),44488.0484059375)</f>
        <v>44488.04841</v>
      </c>
      <c r="D2268" s="15">
        <f>IFERROR(__xludf.DUMMYFUNCTION("""COMPUTED_VALUE"""),1.047)</f>
        <v>1.047</v>
      </c>
      <c r="E2268" s="16">
        <f>IFERROR(__xludf.DUMMYFUNCTION("""COMPUTED_VALUE"""),62.0)</f>
        <v>62</v>
      </c>
      <c r="F2268" s="19" t="str">
        <f>IFERROR(__xludf.DUMMYFUNCTION("""COMPUTED_VALUE"""),"BLACK")</f>
        <v>BLACK</v>
      </c>
      <c r="G2268" s="20" t="str">
        <f>IFERROR(__xludf.DUMMYFUNCTION("""COMPUTED_VALUE"""),"Tap 6 Clone (10/15/2021)")</f>
        <v>Tap 6 Clone (10/15/2021)</v>
      </c>
      <c r="H2268" s="19"/>
    </row>
    <row r="2269">
      <c r="A2269" s="9"/>
      <c r="B2269" s="15"/>
      <c r="C2269" s="9">
        <f>IFERROR(__xludf.DUMMYFUNCTION("""COMPUTED_VALUE"""),44488.037974537)</f>
        <v>44488.03797</v>
      </c>
      <c r="D2269" s="15">
        <f>IFERROR(__xludf.DUMMYFUNCTION("""COMPUTED_VALUE"""),1.048)</f>
        <v>1.048</v>
      </c>
      <c r="E2269" s="16">
        <f>IFERROR(__xludf.DUMMYFUNCTION("""COMPUTED_VALUE"""),62.0)</f>
        <v>62</v>
      </c>
      <c r="F2269" s="19" t="str">
        <f>IFERROR(__xludf.DUMMYFUNCTION("""COMPUTED_VALUE"""),"BLACK")</f>
        <v>BLACK</v>
      </c>
      <c r="G2269" s="20" t="str">
        <f>IFERROR(__xludf.DUMMYFUNCTION("""COMPUTED_VALUE"""),"Tap 6 Clone (10/15/2021)")</f>
        <v>Tap 6 Clone (10/15/2021)</v>
      </c>
      <c r="H2269" s="19"/>
    </row>
    <row r="2270">
      <c r="A2270" s="9"/>
      <c r="B2270" s="15"/>
      <c r="C2270" s="9">
        <f>IFERROR(__xludf.DUMMYFUNCTION("""COMPUTED_VALUE"""),44488.0275527546)</f>
        <v>44488.02755</v>
      </c>
      <c r="D2270" s="15">
        <f>IFERROR(__xludf.DUMMYFUNCTION("""COMPUTED_VALUE"""),1.047)</f>
        <v>1.047</v>
      </c>
      <c r="E2270" s="16">
        <f>IFERROR(__xludf.DUMMYFUNCTION("""COMPUTED_VALUE"""),62.0)</f>
        <v>62</v>
      </c>
      <c r="F2270" s="19" t="str">
        <f>IFERROR(__xludf.DUMMYFUNCTION("""COMPUTED_VALUE"""),"BLACK")</f>
        <v>BLACK</v>
      </c>
      <c r="G2270" s="20" t="str">
        <f>IFERROR(__xludf.DUMMYFUNCTION("""COMPUTED_VALUE"""),"Tap 6 Clone (10/15/2021)")</f>
        <v>Tap 6 Clone (10/15/2021)</v>
      </c>
      <c r="H2270" s="19"/>
    </row>
    <row r="2271">
      <c r="A2271" s="9"/>
      <c r="B2271" s="15"/>
      <c r="C2271" s="9">
        <f>IFERROR(__xludf.DUMMYFUNCTION("""COMPUTED_VALUE"""),44488.0171316088)</f>
        <v>44488.01713</v>
      </c>
      <c r="D2271" s="15">
        <f>IFERROR(__xludf.DUMMYFUNCTION("""COMPUTED_VALUE"""),1.048)</f>
        <v>1.048</v>
      </c>
      <c r="E2271" s="16">
        <f>IFERROR(__xludf.DUMMYFUNCTION("""COMPUTED_VALUE"""),62.0)</f>
        <v>62</v>
      </c>
      <c r="F2271" s="19" t="str">
        <f>IFERROR(__xludf.DUMMYFUNCTION("""COMPUTED_VALUE"""),"BLACK")</f>
        <v>BLACK</v>
      </c>
      <c r="G2271" s="20" t="str">
        <f>IFERROR(__xludf.DUMMYFUNCTION("""COMPUTED_VALUE"""),"Tap 6 Clone (10/15/2021)")</f>
        <v>Tap 6 Clone (10/15/2021)</v>
      </c>
      <c r="H2271" s="19"/>
    </row>
    <row r="2272">
      <c r="A2272" s="9"/>
      <c r="B2272" s="15"/>
      <c r="C2272" s="9">
        <f>IFERROR(__xludf.DUMMYFUNCTION("""COMPUTED_VALUE"""),44488.0066989004)</f>
        <v>44488.0067</v>
      </c>
      <c r="D2272" s="15">
        <f>IFERROR(__xludf.DUMMYFUNCTION("""COMPUTED_VALUE"""),1.047)</f>
        <v>1.047</v>
      </c>
      <c r="E2272" s="16">
        <f>IFERROR(__xludf.DUMMYFUNCTION("""COMPUTED_VALUE"""),62.0)</f>
        <v>62</v>
      </c>
      <c r="F2272" s="19" t="str">
        <f>IFERROR(__xludf.DUMMYFUNCTION("""COMPUTED_VALUE"""),"BLACK")</f>
        <v>BLACK</v>
      </c>
      <c r="G2272" s="20" t="str">
        <f>IFERROR(__xludf.DUMMYFUNCTION("""COMPUTED_VALUE"""),"Tap 6 Clone (10/15/2021)")</f>
        <v>Tap 6 Clone (10/15/2021)</v>
      </c>
      <c r="H2272" s="19"/>
    </row>
    <row r="2273">
      <c r="A2273" s="9"/>
      <c r="B2273" s="15"/>
      <c r="C2273" s="9">
        <f>IFERROR(__xludf.DUMMYFUNCTION("""COMPUTED_VALUE"""),44487.9962781481)</f>
        <v>44487.99628</v>
      </c>
      <c r="D2273" s="15">
        <f>IFERROR(__xludf.DUMMYFUNCTION("""COMPUTED_VALUE"""),1.047)</f>
        <v>1.047</v>
      </c>
      <c r="E2273" s="16">
        <f>IFERROR(__xludf.DUMMYFUNCTION("""COMPUTED_VALUE"""),62.0)</f>
        <v>62</v>
      </c>
      <c r="F2273" s="19" t="str">
        <f>IFERROR(__xludf.DUMMYFUNCTION("""COMPUTED_VALUE"""),"BLACK")</f>
        <v>BLACK</v>
      </c>
      <c r="G2273" s="20" t="str">
        <f>IFERROR(__xludf.DUMMYFUNCTION("""COMPUTED_VALUE"""),"Tap 6 Clone (10/15/2021)")</f>
        <v>Tap 6 Clone (10/15/2021)</v>
      </c>
      <c r="H2273" s="19"/>
    </row>
    <row r="2274">
      <c r="A2274" s="9"/>
      <c r="B2274" s="15"/>
      <c r="C2274" s="9">
        <f>IFERROR(__xludf.DUMMYFUNCTION("""COMPUTED_VALUE"""),44487.9858333796)</f>
        <v>44487.98583</v>
      </c>
      <c r="D2274" s="15">
        <f>IFERROR(__xludf.DUMMYFUNCTION("""COMPUTED_VALUE"""),1.048)</f>
        <v>1.048</v>
      </c>
      <c r="E2274" s="16">
        <f>IFERROR(__xludf.DUMMYFUNCTION("""COMPUTED_VALUE"""),63.0)</f>
        <v>63</v>
      </c>
      <c r="F2274" s="19" t="str">
        <f>IFERROR(__xludf.DUMMYFUNCTION("""COMPUTED_VALUE"""),"BLACK")</f>
        <v>BLACK</v>
      </c>
      <c r="G2274" s="20" t="str">
        <f>IFERROR(__xludf.DUMMYFUNCTION("""COMPUTED_VALUE"""),"Tap 6 Clone (10/15/2021)")</f>
        <v>Tap 6 Clone (10/15/2021)</v>
      </c>
      <c r="H2274" s="19"/>
    </row>
    <row r="2275">
      <c r="A2275" s="9"/>
      <c r="B2275" s="15"/>
      <c r="C2275" s="9">
        <f>IFERROR(__xludf.DUMMYFUNCTION("""COMPUTED_VALUE"""),44487.9754011574)</f>
        <v>44487.9754</v>
      </c>
      <c r="D2275" s="15">
        <f>IFERROR(__xludf.DUMMYFUNCTION("""COMPUTED_VALUE"""),1.048)</f>
        <v>1.048</v>
      </c>
      <c r="E2275" s="16">
        <f>IFERROR(__xludf.DUMMYFUNCTION("""COMPUTED_VALUE"""),64.0)</f>
        <v>64</v>
      </c>
      <c r="F2275" s="19" t="str">
        <f>IFERROR(__xludf.DUMMYFUNCTION("""COMPUTED_VALUE"""),"BLACK")</f>
        <v>BLACK</v>
      </c>
      <c r="G2275" s="20" t="str">
        <f>IFERROR(__xludf.DUMMYFUNCTION("""COMPUTED_VALUE"""),"Tap 6 Clone (10/15/2021)")</f>
        <v>Tap 6 Clone (10/15/2021)</v>
      </c>
      <c r="H2275" s="19"/>
    </row>
    <row r="2276">
      <c r="A2276" s="9"/>
      <c r="B2276" s="15"/>
      <c r="C2276" s="9">
        <f>IFERROR(__xludf.DUMMYFUNCTION("""COMPUTED_VALUE"""),44487.9649785416)</f>
        <v>44487.96498</v>
      </c>
      <c r="D2276" s="15">
        <f>IFERROR(__xludf.DUMMYFUNCTION("""COMPUTED_VALUE"""),1.048)</f>
        <v>1.048</v>
      </c>
      <c r="E2276" s="16">
        <f>IFERROR(__xludf.DUMMYFUNCTION("""COMPUTED_VALUE"""),66.0)</f>
        <v>66</v>
      </c>
      <c r="F2276" s="19" t="str">
        <f>IFERROR(__xludf.DUMMYFUNCTION("""COMPUTED_VALUE"""),"BLACK")</f>
        <v>BLACK</v>
      </c>
      <c r="G2276" s="20" t="str">
        <f>IFERROR(__xludf.DUMMYFUNCTION("""COMPUTED_VALUE"""),"Tap 6 Clone (10/15/2021)")</f>
        <v>Tap 6 Clone (10/15/2021)</v>
      </c>
      <c r="H2276" s="19"/>
    </row>
    <row r="2277">
      <c r="A2277" s="9"/>
      <c r="B2277" s="15"/>
      <c r="C2277" s="9">
        <f>IFERROR(__xludf.DUMMYFUNCTION("""COMPUTED_VALUE"""),44487.9545564583)</f>
        <v>44487.95456</v>
      </c>
      <c r="D2277" s="15">
        <f>IFERROR(__xludf.DUMMYFUNCTION("""COMPUTED_VALUE"""),1.048)</f>
        <v>1.048</v>
      </c>
      <c r="E2277" s="16">
        <f>IFERROR(__xludf.DUMMYFUNCTION("""COMPUTED_VALUE"""),66.0)</f>
        <v>66</v>
      </c>
      <c r="F2277" s="19" t="str">
        <f>IFERROR(__xludf.DUMMYFUNCTION("""COMPUTED_VALUE"""),"BLACK")</f>
        <v>BLACK</v>
      </c>
      <c r="G2277" s="20" t="str">
        <f>IFERROR(__xludf.DUMMYFUNCTION("""COMPUTED_VALUE"""),"Tap 6 Clone (10/15/2021)")</f>
        <v>Tap 6 Clone (10/15/2021)</v>
      </c>
      <c r="H2277" s="19"/>
    </row>
    <row r="2278">
      <c r="A2278" s="9"/>
      <c r="B2278" s="15"/>
      <c r="C2278" s="9">
        <f>IFERROR(__xludf.DUMMYFUNCTION("""COMPUTED_VALUE"""),44487.9441350347)</f>
        <v>44487.94414</v>
      </c>
      <c r="D2278" s="15">
        <f>IFERROR(__xludf.DUMMYFUNCTION("""COMPUTED_VALUE"""),1.047)</f>
        <v>1.047</v>
      </c>
      <c r="E2278" s="16">
        <f>IFERROR(__xludf.DUMMYFUNCTION("""COMPUTED_VALUE"""),66.0)</f>
        <v>66</v>
      </c>
      <c r="F2278" s="19" t="str">
        <f>IFERROR(__xludf.DUMMYFUNCTION("""COMPUTED_VALUE"""),"BLACK")</f>
        <v>BLACK</v>
      </c>
      <c r="G2278" s="20" t="str">
        <f>IFERROR(__xludf.DUMMYFUNCTION("""COMPUTED_VALUE"""),"Tap 6 Clone (10/15/2021)")</f>
        <v>Tap 6 Clone (10/15/2021)</v>
      </c>
      <c r="H2278" s="19"/>
    </row>
    <row r="2279">
      <c r="A2279" s="9"/>
      <c r="B2279" s="15"/>
      <c r="C2279" s="9">
        <f>IFERROR(__xludf.DUMMYFUNCTION("""COMPUTED_VALUE"""),44487.9337136458)</f>
        <v>44487.93371</v>
      </c>
      <c r="D2279" s="15">
        <f>IFERROR(__xludf.DUMMYFUNCTION("""COMPUTED_VALUE"""),1.047)</f>
        <v>1.047</v>
      </c>
      <c r="E2279" s="16">
        <f>IFERROR(__xludf.DUMMYFUNCTION("""COMPUTED_VALUE"""),66.0)</f>
        <v>66</v>
      </c>
      <c r="F2279" s="19" t="str">
        <f>IFERROR(__xludf.DUMMYFUNCTION("""COMPUTED_VALUE"""),"BLACK")</f>
        <v>BLACK</v>
      </c>
      <c r="G2279" s="20" t="str">
        <f>IFERROR(__xludf.DUMMYFUNCTION("""COMPUTED_VALUE"""),"Tap 6 Clone (10/15/2021)")</f>
        <v>Tap 6 Clone (10/15/2021)</v>
      </c>
      <c r="H2279" s="19"/>
    </row>
    <row r="2280">
      <c r="A2280" s="9"/>
      <c r="B2280" s="15"/>
      <c r="C2280" s="9">
        <f>IFERROR(__xludf.DUMMYFUNCTION("""COMPUTED_VALUE"""),44487.9232791319)</f>
        <v>44487.92328</v>
      </c>
      <c r="D2280" s="15">
        <f>IFERROR(__xludf.DUMMYFUNCTION("""COMPUTED_VALUE"""),1.047)</f>
        <v>1.047</v>
      </c>
      <c r="E2280" s="16">
        <f>IFERROR(__xludf.DUMMYFUNCTION("""COMPUTED_VALUE"""),66.0)</f>
        <v>66</v>
      </c>
      <c r="F2280" s="19" t="str">
        <f>IFERROR(__xludf.DUMMYFUNCTION("""COMPUTED_VALUE"""),"BLACK")</f>
        <v>BLACK</v>
      </c>
      <c r="G2280" s="20" t="str">
        <f>IFERROR(__xludf.DUMMYFUNCTION("""COMPUTED_VALUE"""),"Tap 6 Clone (10/15/2021)")</f>
        <v>Tap 6 Clone (10/15/2021)</v>
      </c>
      <c r="H2280" s="19"/>
    </row>
    <row r="2281">
      <c r="A2281" s="9"/>
      <c r="B2281" s="15"/>
      <c r="C2281" s="9">
        <f>IFERROR(__xludf.DUMMYFUNCTION("""COMPUTED_VALUE"""),44487.9128479745)</f>
        <v>44487.91285</v>
      </c>
      <c r="D2281" s="15">
        <f>IFERROR(__xludf.DUMMYFUNCTION("""COMPUTED_VALUE"""),1.047)</f>
        <v>1.047</v>
      </c>
      <c r="E2281" s="16">
        <f>IFERROR(__xludf.DUMMYFUNCTION("""COMPUTED_VALUE"""),66.0)</f>
        <v>66</v>
      </c>
      <c r="F2281" s="19" t="str">
        <f>IFERROR(__xludf.DUMMYFUNCTION("""COMPUTED_VALUE"""),"BLACK")</f>
        <v>BLACK</v>
      </c>
      <c r="G2281" s="20" t="str">
        <f>IFERROR(__xludf.DUMMYFUNCTION("""COMPUTED_VALUE"""),"Tap 6 Clone (10/15/2021)")</f>
        <v>Tap 6 Clone (10/15/2021)</v>
      </c>
      <c r="H2281" s="19"/>
    </row>
    <row r="2282">
      <c r="A2282" s="9"/>
      <c r="B2282" s="15"/>
      <c r="C2282" s="9">
        <f>IFERROR(__xludf.DUMMYFUNCTION("""COMPUTED_VALUE"""),44487.9024276504)</f>
        <v>44487.90243</v>
      </c>
      <c r="D2282" s="15">
        <f>IFERROR(__xludf.DUMMYFUNCTION("""COMPUTED_VALUE"""),1.048)</f>
        <v>1.048</v>
      </c>
      <c r="E2282" s="16">
        <f>IFERROR(__xludf.DUMMYFUNCTION("""COMPUTED_VALUE"""),66.0)</f>
        <v>66</v>
      </c>
      <c r="F2282" s="19" t="str">
        <f>IFERROR(__xludf.DUMMYFUNCTION("""COMPUTED_VALUE"""),"BLACK")</f>
        <v>BLACK</v>
      </c>
      <c r="G2282" s="20" t="str">
        <f>IFERROR(__xludf.DUMMYFUNCTION("""COMPUTED_VALUE"""),"Tap 6 Clone (10/15/2021)")</f>
        <v>Tap 6 Clone (10/15/2021)</v>
      </c>
      <c r="H2282" s="19"/>
    </row>
    <row r="2283">
      <c r="A2283" s="9"/>
      <c r="B2283" s="15"/>
      <c r="C2283" s="9">
        <f>IFERROR(__xludf.DUMMYFUNCTION("""COMPUTED_VALUE"""),44487.8919939004)</f>
        <v>44487.89199</v>
      </c>
      <c r="D2283" s="15">
        <f>IFERROR(__xludf.DUMMYFUNCTION("""COMPUTED_VALUE"""),1.048)</f>
        <v>1.048</v>
      </c>
      <c r="E2283" s="16">
        <f>IFERROR(__xludf.DUMMYFUNCTION("""COMPUTED_VALUE"""),65.0)</f>
        <v>65</v>
      </c>
      <c r="F2283" s="19" t="str">
        <f>IFERROR(__xludf.DUMMYFUNCTION("""COMPUTED_VALUE"""),"BLACK")</f>
        <v>BLACK</v>
      </c>
      <c r="G2283" s="20" t="str">
        <f>IFERROR(__xludf.DUMMYFUNCTION("""COMPUTED_VALUE"""),"Tap 6 Clone (10/15/2021)")</f>
        <v>Tap 6 Clone (10/15/2021)</v>
      </c>
      <c r="H2283" s="19"/>
    </row>
    <row r="2284">
      <c r="A2284" s="9"/>
      <c r="B2284" s="15"/>
      <c r="C2284" s="9">
        <f>IFERROR(__xludf.DUMMYFUNCTION("""COMPUTED_VALUE"""),44487.8815725115)</f>
        <v>44487.88157</v>
      </c>
      <c r="D2284" s="15">
        <f>IFERROR(__xludf.DUMMYFUNCTION("""COMPUTED_VALUE"""),1.048)</f>
        <v>1.048</v>
      </c>
      <c r="E2284" s="16">
        <f>IFERROR(__xludf.DUMMYFUNCTION("""COMPUTED_VALUE"""),65.0)</f>
        <v>65</v>
      </c>
      <c r="F2284" s="19" t="str">
        <f>IFERROR(__xludf.DUMMYFUNCTION("""COMPUTED_VALUE"""),"BLACK")</f>
        <v>BLACK</v>
      </c>
      <c r="G2284" s="20" t="str">
        <f>IFERROR(__xludf.DUMMYFUNCTION("""COMPUTED_VALUE"""),"Tap 6 Clone (10/15/2021)")</f>
        <v>Tap 6 Clone (10/15/2021)</v>
      </c>
      <c r="H2284" s="19"/>
    </row>
    <row r="2285">
      <c r="A2285" s="9"/>
      <c r="B2285" s="15"/>
      <c r="C2285" s="9">
        <f>IFERROR(__xludf.DUMMYFUNCTION("""COMPUTED_VALUE"""),44487.871149456)</f>
        <v>44487.87115</v>
      </c>
      <c r="D2285" s="15">
        <f>IFERROR(__xludf.DUMMYFUNCTION("""COMPUTED_VALUE"""),1.048)</f>
        <v>1.048</v>
      </c>
      <c r="E2285" s="16">
        <f>IFERROR(__xludf.DUMMYFUNCTION("""COMPUTED_VALUE"""),65.0)</f>
        <v>65</v>
      </c>
      <c r="F2285" s="19" t="str">
        <f>IFERROR(__xludf.DUMMYFUNCTION("""COMPUTED_VALUE"""),"BLACK")</f>
        <v>BLACK</v>
      </c>
      <c r="G2285" s="20" t="str">
        <f>IFERROR(__xludf.DUMMYFUNCTION("""COMPUTED_VALUE"""),"Tap 6 Clone (10/15/2021)")</f>
        <v>Tap 6 Clone (10/15/2021)</v>
      </c>
      <c r="H2285" s="19"/>
    </row>
    <row r="2286">
      <c r="A2286" s="9"/>
      <c r="B2286" s="15"/>
      <c r="C2286" s="9">
        <f>IFERROR(__xludf.DUMMYFUNCTION("""COMPUTED_VALUE"""),44487.8607288425)</f>
        <v>44487.86073</v>
      </c>
      <c r="D2286" s="15">
        <f>IFERROR(__xludf.DUMMYFUNCTION("""COMPUTED_VALUE"""),1.048)</f>
        <v>1.048</v>
      </c>
      <c r="E2286" s="16">
        <f>IFERROR(__xludf.DUMMYFUNCTION("""COMPUTED_VALUE"""),65.0)</f>
        <v>65</v>
      </c>
      <c r="F2286" s="19" t="str">
        <f>IFERROR(__xludf.DUMMYFUNCTION("""COMPUTED_VALUE"""),"BLACK")</f>
        <v>BLACK</v>
      </c>
      <c r="G2286" s="20" t="str">
        <f>IFERROR(__xludf.DUMMYFUNCTION("""COMPUTED_VALUE"""),"Tap 6 Clone (10/15/2021)")</f>
        <v>Tap 6 Clone (10/15/2021)</v>
      </c>
      <c r="H2286" s="19"/>
    </row>
    <row r="2287">
      <c r="A2287" s="9"/>
      <c r="B2287" s="15"/>
      <c r="C2287" s="9">
        <f>IFERROR(__xludf.DUMMYFUNCTION("""COMPUTED_VALUE"""),44487.8503094213)</f>
        <v>44487.85031</v>
      </c>
      <c r="D2287" s="15">
        <f>IFERROR(__xludf.DUMMYFUNCTION("""COMPUTED_VALUE"""),1.049)</f>
        <v>1.049</v>
      </c>
      <c r="E2287" s="16">
        <f>IFERROR(__xludf.DUMMYFUNCTION("""COMPUTED_VALUE"""),65.0)</f>
        <v>65</v>
      </c>
      <c r="F2287" s="19" t="str">
        <f>IFERROR(__xludf.DUMMYFUNCTION("""COMPUTED_VALUE"""),"BLACK")</f>
        <v>BLACK</v>
      </c>
      <c r="G2287" s="20" t="str">
        <f>IFERROR(__xludf.DUMMYFUNCTION("""COMPUTED_VALUE"""),"Tap 6 Clone (10/15/2021)")</f>
        <v>Tap 6 Clone (10/15/2021)</v>
      </c>
      <c r="H2287" s="19"/>
    </row>
    <row r="2288">
      <c r="A2288" s="9"/>
      <c r="B2288" s="15"/>
      <c r="C2288" s="9">
        <f>IFERROR(__xludf.DUMMYFUNCTION("""COMPUTED_VALUE"""),44487.8398777083)</f>
        <v>44487.83988</v>
      </c>
      <c r="D2288" s="15">
        <f>IFERROR(__xludf.DUMMYFUNCTION("""COMPUTED_VALUE"""),1.049)</f>
        <v>1.049</v>
      </c>
      <c r="E2288" s="16">
        <f>IFERROR(__xludf.DUMMYFUNCTION("""COMPUTED_VALUE"""),65.0)</f>
        <v>65</v>
      </c>
      <c r="F2288" s="19" t="str">
        <f>IFERROR(__xludf.DUMMYFUNCTION("""COMPUTED_VALUE"""),"BLACK")</f>
        <v>BLACK</v>
      </c>
      <c r="G2288" s="20" t="str">
        <f>IFERROR(__xludf.DUMMYFUNCTION("""COMPUTED_VALUE"""),"Tap 6 Clone (10/15/2021)")</f>
        <v>Tap 6 Clone (10/15/2021)</v>
      </c>
      <c r="H2288" s="19"/>
    </row>
    <row r="2289">
      <c r="A2289" s="9"/>
      <c r="B2289" s="15"/>
      <c r="C2289" s="9">
        <f>IFERROR(__xludf.DUMMYFUNCTION("""COMPUTED_VALUE"""),44487.8294568518)</f>
        <v>44487.82946</v>
      </c>
      <c r="D2289" s="15">
        <f>IFERROR(__xludf.DUMMYFUNCTION("""COMPUTED_VALUE"""),1.049)</f>
        <v>1.049</v>
      </c>
      <c r="E2289" s="16">
        <f>IFERROR(__xludf.DUMMYFUNCTION("""COMPUTED_VALUE"""),65.0)</f>
        <v>65</v>
      </c>
      <c r="F2289" s="19" t="str">
        <f>IFERROR(__xludf.DUMMYFUNCTION("""COMPUTED_VALUE"""),"BLACK")</f>
        <v>BLACK</v>
      </c>
      <c r="G2289" s="20" t="str">
        <f>IFERROR(__xludf.DUMMYFUNCTION("""COMPUTED_VALUE"""),"Tap 6 Clone (10/15/2021)")</f>
        <v>Tap 6 Clone (10/15/2021)</v>
      </c>
      <c r="H2289" s="19"/>
    </row>
    <row r="2290">
      <c r="A2290" s="9"/>
      <c r="B2290" s="15"/>
      <c r="C2290" s="9">
        <f>IFERROR(__xludf.DUMMYFUNCTION("""COMPUTED_VALUE"""),44487.8190333796)</f>
        <v>44487.81903</v>
      </c>
      <c r="D2290" s="15">
        <f>IFERROR(__xludf.DUMMYFUNCTION("""COMPUTED_VALUE"""),1.048)</f>
        <v>1.048</v>
      </c>
      <c r="E2290" s="16">
        <f>IFERROR(__xludf.DUMMYFUNCTION("""COMPUTED_VALUE"""),65.0)</f>
        <v>65</v>
      </c>
      <c r="F2290" s="19" t="str">
        <f>IFERROR(__xludf.DUMMYFUNCTION("""COMPUTED_VALUE"""),"BLACK")</f>
        <v>BLACK</v>
      </c>
      <c r="G2290" s="20" t="str">
        <f>IFERROR(__xludf.DUMMYFUNCTION("""COMPUTED_VALUE"""),"Tap 6 Clone (10/15/2021)")</f>
        <v>Tap 6 Clone (10/15/2021)</v>
      </c>
      <c r="H2290" s="19"/>
    </row>
    <row r="2291">
      <c r="A2291" s="9"/>
      <c r="B2291" s="15"/>
      <c r="C2291" s="9">
        <f>IFERROR(__xludf.DUMMYFUNCTION("""COMPUTED_VALUE"""),44487.8086115856)</f>
        <v>44487.80861</v>
      </c>
      <c r="D2291" s="15">
        <f>IFERROR(__xludf.DUMMYFUNCTION("""COMPUTED_VALUE"""),1.049)</f>
        <v>1.049</v>
      </c>
      <c r="E2291" s="16">
        <f>IFERROR(__xludf.DUMMYFUNCTION("""COMPUTED_VALUE"""),65.0)</f>
        <v>65</v>
      </c>
      <c r="F2291" s="19" t="str">
        <f>IFERROR(__xludf.DUMMYFUNCTION("""COMPUTED_VALUE"""),"BLACK")</f>
        <v>BLACK</v>
      </c>
      <c r="G2291" s="20" t="str">
        <f>IFERROR(__xludf.DUMMYFUNCTION("""COMPUTED_VALUE"""),"Tap 6 Clone (10/15/2021)")</f>
        <v>Tap 6 Clone (10/15/2021)</v>
      </c>
      <c r="H2291" s="19"/>
    </row>
    <row r="2292">
      <c r="A2292" s="9"/>
      <c r="B2292" s="15"/>
      <c r="C2292" s="9">
        <f>IFERROR(__xludf.DUMMYFUNCTION("""COMPUTED_VALUE"""),44487.7981784143)</f>
        <v>44487.79818</v>
      </c>
      <c r="D2292" s="15">
        <f>IFERROR(__xludf.DUMMYFUNCTION("""COMPUTED_VALUE"""),1.049)</f>
        <v>1.049</v>
      </c>
      <c r="E2292" s="16">
        <f>IFERROR(__xludf.DUMMYFUNCTION("""COMPUTED_VALUE"""),65.0)</f>
        <v>65</v>
      </c>
      <c r="F2292" s="19" t="str">
        <f>IFERROR(__xludf.DUMMYFUNCTION("""COMPUTED_VALUE"""),"BLACK")</f>
        <v>BLACK</v>
      </c>
      <c r="G2292" s="20" t="str">
        <f>IFERROR(__xludf.DUMMYFUNCTION("""COMPUTED_VALUE"""),"Tap 6 Clone (10/15/2021)")</f>
        <v>Tap 6 Clone (10/15/2021)</v>
      </c>
      <c r="H2292" s="19"/>
    </row>
    <row r="2293">
      <c r="A2293" s="9"/>
      <c r="B2293" s="15"/>
      <c r="C2293" s="9">
        <f>IFERROR(__xludf.DUMMYFUNCTION("""COMPUTED_VALUE"""),44487.7877459838)</f>
        <v>44487.78775</v>
      </c>
      <c r="D2293" s="15">
        <f>IFERROR(__xludf.DUMMYFUNCTION("""COMPUTED_VALUE"""),1.049)</f>
        <v>1.049</v>
      </c>
      <c r="E2293" s="16">
        <f>IFERROR(__xludf.DUMMYFUNCTION("""COMPUTED_VALUE"""),65.0)</f>
        <v>65</v>
      </c>
      <c r="F2293" s="19" t="str">
        <f>IFERROR(__xludf.DUMMYFUNCTION("""COMPUTED_VALUE"""),"BLACK")</f>
        <v>BLACK</v>
      </c>
      <c r="G2293" s="20" t="str">
        <f>IFERROR(__xludf.DUMMYFUNCTION("""COMPUTED_VALUE"""),"Tap 6 Clone (10/15/2021)")</f>
        <v>Tap 6 Clone (10/15/2021)</v>
      </c>
      <c r="H2293" s="19"/>
    </row>
    <row r="2294">
      <c r="A2294" s="9"/>
      <c r="B2294" s="15"/>
      <c r="C2294" s="9">
        <f>IFERROR(__xludf.DUMMYFUNCTION("""COMPUTED_VALUE"""),44487.7773233796)</f>
        <v>44487.77732</v>
      </c>
      <c r="D2294" s="15">
        <f>IFERROR(__xludf.DUMMYFUNCTION("""COMPUTED_VALUE"""),1.049)</f>
        <v>1.049</v>
      </c>
      <c r="E2294" s="16">
        <f>IFERROR(__xludf.DUMMYFUNCTION("""COMPUTED_VALUE"""),65.0)</f>
        <v>65</v>
      </c>
      <c r="F2294" s="19" t="str">
        <f>IFERROR(__xludf.DUMMYFUNCTION("""COMPUTED_VALUE"""),"BLACK")</f>
        <v>BLACK</v>
      </c>
      <c r="G2294" s="20" t="str">
        <f>IFERROR(__xludf.DUMMYFUNCTION("""COMPUTED_VALUE"""),"Tap 6 Clone (10/15/2021)")</f>
        <v>Tap 6 Clone (10/15/2021)</v>
      </c>
      <c r="H2294" s="19"/>
    </row>
    <row r="2295">
      <c r="A2295" s="9"/>
      <c r="B2295" s="15"/>
      <c r="C2295" s="9">
        <f>IFERROR(__xludf.DUMMYFUNCTION("""COMPUTED_VALUE"""),44487.7669031713)</f>
        <v>44487.7669</v>
      </c>
      <c r="D2295" s="15">
        <f>IFERROR(__xludf.DUMMYFUNCTION("""COMPUTED_VALUE"""),1.05)</f>
        <v>1.05</v>
      </c>
      <c r="E2295" s="16">
        <f>IFERROR(__xludf.DUMMYFUNCTION("""COMPUTED_VALUE"""),65.0)</f>
        <v>65</v>
      </c>
      <c r="F2295" s="19" t="str">
        <f>IFERROR(__xludf.DUMMYFUNCTION("""COMPUTED_VALUE"""),"BLACK")</f>
        <v>BLACK</v>
      </c>
      <c r="G2295" s="20" t="str">
        <f>IFERROR(__xludf.DUMMYFUNCTION("""COMPUTED_VALUE"""),"Tap 6 Clone (10/15/2021)")</f>
        <v>Tap 6 Clone (10/15/2021)</v>
      </c>
      <c r="H2295" s="19"/>
    </row>
    <row r="2296">
      <c r="A2296" s="9"/>
      <c r="B2296" s="15"/>
      <c r="C2296" s="9">
        <f>IFERROR(__xludf.DUMMYFUNCTION("""COMPUTED_VALUE"""),44487.7564696759)</f>
        <v>44487.75647</v>
      </c>
      <c r="D2296" s="15">
        <f>IFERROR(__xludf.DUMMYFUNCTION("""COMPUTED_VALUE"""),1.05)</f>
        <v>1.05</v>
      </c>
      <c r="E2296" s="16">
        <f>IFERROR(__xludf.DUMMYFUNCTION("""COMPUTED_VALUE"""),65.0)</f>
        <v>65</v>
      </c>
      <c r="F2296" s="19" t="str">
        <f>IFERROR(__xludf.DUMMYFUNCTION("""COMPUTED_VALUE"""),"BLACK")</f>
        <v>BLACK</v>
      </c>
      <c r="G2296" s="20" t="str">
        <f>IFERROR(__xludf.DUMMYFUNCTION("""COMPUTED_VALUE"""),"Tap 6 Clone (10/15/2021)")</f>
        <v>Tap 6 Clone (10/15/2021)</v>
      </c>
      <c r="H2296" s="19"/>
    </row>
    <row r="2297">
      <c r="A2297" s="9"/>
      <c r="B2297" s="15"/>
      <c r="C2297" s="9">
        <f>IFERROR(__xludf.DUMMYFUNCTION("""COMPUTED_VALUE"""),44487.7460374421)</f>
        <v>44487.74604</v>
      </c>
      <c r="D2297" s="15">
        <f>IFERROR(__xludf.DUMMYFUNCTION("""COMPUTED_VALUE"""),1.05)</f>
        <v>1.05</v>
      </c>
      <c r="E2297" s="16">
        <f>IFERROR(__xludf.DUMMYFUNCTION("""COMPUTED_VALUE"""),65.0)</f>
        <v>65</v>
      </c>
      <c r="F2297" s="19" t="str">
        <f>IFERROR(__xludf.DUMMYFUNCTION("""COMPUTED_VALUE"""),"BLACK")</f>
        <v>BLACK</v>
      </c>
      <c r="G2297" s="20" t="str">
        <f>IFERROR(__xludf.DUMMYFUNCTION("""COMPUTED_VALUE"""),"Tap 6 Clone (10/15/2021)")</f>
        <v>Tap 6 Clone (10/15/2021)</v>
      </c>
      <c r="H2297" s="19"/>
    </row>
    <row r="2298">
      <c r="A2298" s="9"/>
      <c r="B2298" s="15"/>
      <c r="C2298" s="9">
        <f>IFERROR(__xludf.DUMMYFUNCTION("""COMPUTED_VALUE"""),44487.7356157291)</f>
        <v>44487.73562</v>
      </c>
      <c r="D2298" s="15">
        <f>IFERROR(__xludf.DUMMYFUNCTION("""COMPUTED_VALUE"""),1.05)</f>
        <v>1.05</v>
      </c>
      <c r="E2298" s="16">
        <f>IFERROR(__xludf.DUMMYFUNCTION("""COMPUTED_VALUE"""),65.0)</f>
        <v>65</v>
      </c>
      <c r="F2298" s="19" t="str">
        <f>IFERROR(__xludf.DUMMYFUNCTION("""COMPUTED_VALUE"""),"BLACK")</f>
        <v>BLACK</v>
      </c>
      <c r="G2298" s="20" t="str">
        <f>IFERROR(__xludf.DUMMYFUNCTION("""COMPUTED_VALUE"""),"Tap 6 Clone (10/15/2021)")</f>
        <v>Tap 6 Clone (10/15/2021)</v>
      </c>
      <c r="H2298" s="19"/>
    </row>
    <row r="2299">
      <c r="A2299" s="9"/>
      <c r="B2299" s="15"/>
      <c r="C2299" s="9">
        <f>IFERROR(__xludf.DUMMYFUNCTION("""COMPUTED_VALUE"""),44487.7251954513)</f>
        <v>44487.7252</v>
      </c>
      <c r="D2299" s="15">
        <f>IFERROR(__xludf.DUMMYFUNCTION("""COMPUTED_VALUE"""),1.05)</f>
        <v>1.05</v>
      </c>
      <c r="E2299" s="16">
        <f>IFERROR(__xludf.DUMMYFUNCTION("""COMPUTED_VALUE"""),65.0)</f>
        <v>65</v>
      </c>
      <c r="F2299" s="19" t="str">
        <f>IFERROR(__xludf.DUMMYFUNCTION("""COMPUTED_VALUE"""),"BLACK")</f>
        <v>BLACK</v>
      </c>
      <c r="G2299" s="20" t="str">
        <f>IFERROR(__xludf.DUMMYFUNCTION("""COMPUTED_VALUE"""),"Tap 6 Clone (10/15/2021)")</f>
        <v>Tap 6 Clone (10/15/2021)</v>
      </c>
      <c r="H2299" s="19"/>
    </row>
    <row r="2300">
      <c r="A2300" s="9"/>
      <c r="B2300" s="15"/>
      <c r="C2300" s="9">
        <f>IFERROR(__xludf.DUMMYFUNCTION("""COMPUTED_VALUE"""),44487.7147741435)</f>
        <v>44487.71477</v>
      </c>
      <c r="D2300" s="15">
        <f>IFERROR(__xludf.DUMMYFUNCTION("""COMPUTED_VALUE"""),1.05)</f>
        <v>1.05</v>
      </c>
      <c r="E2300" s="16">
        <f>IFERROR(__xludf.DUMMYFUNCTION("""COMPUTED_VALUE"""),65.0)</f>
        <v>65</v>
      </c>
      <c r="F2300" s="19" t="str">
        <f>IFERROR(__xludf.DUMMYFUNCTION("""COMPUTED_VALUE"""),"BLACK")</f>
        <v>BLACK</v>
      </c>
      <c r="G2300" s="20" t="str">
        <f>IFERROR(__xludf.DUMMYFUNCTION("""COMPUTED_VALUE"""),"Tap 6 Clone (10/15/2021)")</f>
        <v>Tap 6 Clone (10/15/2021)</v>
      </c>
      <c r="H2300" s="19"/>
    </row>
    <row r="2301">
      <c r="A2301" s="9"/>
      <c r="B2301" s="15"/>
      <c r="C2301" s="9">
        <f>IFERROR(__xludf.DUMMYFUNCTION("""COMPUTED_VALUE"""),44487.704341412)</f>
        <v>44487.70434</v>
      </c>
      <c r="D2301" s="15">
        <f>IFERROR(__xludf.DUMMYFUNCTION("""COMPUTED_VALUE"""),1.05)</f>
        <v>1.05</v>
      </c>
      <c r="E2301" s="16">
        <f>IFERROR(__xludf.DUMMYFUNCTION("""COMPUTED_VALUE"""),65.0)</f>
        <v>65</v>
      </c>
      <c r="F2301" s="19" t="str">
        <f>IFERROR(__xludf.DUMMYFUNCTION("""COMPUTED_VALUE"""),"BLACK")</f>
        <v>BLACK</v>
      </c>
      <c r="G2301" s="20" t="str">
        <f>IFERROR(__xludf.DUMMYFUNCTION("""COMPUTED_VALUE"""),"Tap 6 Clone (10/15/2021)")</f>
        <v>Tap 6 Clone (10/15/2021)</v>
      </c>
      <c r="H2301" s="19"/>
    </row>
    <row r="2302">
      <c r="A2302" s="9"/>
      <c r="B2302" s="15"/>
      <c r="C2302" s="9">
        <f>IFERROR(__xludf.DUMMYFUNCTION("""COMPUTED_VALUE"""),44487.6939189467)</f>
        <v>44487.69392</v>
      </c>
      <c r="D2302" s="15">
        <f>IFERROR(__xludf.DUMMYFUNCTION("""COMPUTED_VALUE"""),1.051)</f>
        <v>1.051</v>
      </c>
      <c r="E2302" s="16">
        <f>IFERROR(__xludf.DUMMYFUNCTION("""COMPUTED_VALUE"""),65.0)</f>
        <v>65</v>
      </c>
      <c r="F2302" s="19" t="str">
        <f>IFERROR(__xludf.DUMMYFUNCTION("""COMPUTED_VALUE"""),"BLACK")</f>
        <v>BLACK</v>
      </c>
      <c r="G2302" s="20" t="str">
        <f>IFERROR(__xludf.DUMMYFUNCTION("""COMPUTED_VALUE"""),"Tap 6 Clone (10/15/2021)")</f>
        <v>Tap 6 Clone (10/15/2021)</v>
      </c>
      <c r="H2302" s="19"/>
    </row>
    <row r="2303">
      <c r="A2303" s="9"/>
      <c r="B2303" s="15"/>
      <c r="C2303" s="9">
        <f>IFERROR(__xludf.DUMMYFUNCTION("""COMPUTED_VALUE"""),44487.6834971643)</f>
        <v>44487.6835</v>
      </c>
      <c r="D2303" s="15">
        <f>IFERROR(__xludf.DUMMYFUNCTION("""COMPUTED_VALUE"""),1.051)</f>
        <v>1.051</v>
      </c>
      <c r="E2303" s="16">
        <f>IFERROR(__xludf.DUMMYFUNCTION("""COMPUTED_VALUE"""),65.0)</f>
        <v>65</v>
      </c>
      <c r="F2303" s="19" t="str">
        <f>IFERROR(__xludf.DUMMYFUNCTION("""COMPUTED_VALUE"""),"BLACK")</f>
        <v>BLACK</v>
      </c>
      <c r="G2303" s="20" t="str">
        <f>IFERROR(__xludf.DUMMYFUNCTION("""COMPUTED_VALUE"""),"Tap 6 Clone (10/15/2021)")</f>
        <v>Tap 6 Clone (10/15/2021)</v>
      </c>
      <c r="H2303" s="19"/>
    </row>
    <row r="2304">
      <c r="A2304" s="9"/>
      <c r="B2304" s="15"/>
      <c r="C2304" s="9">
        <f>IFERROR(__xludf.DUMMYFUNCTION("""COMPUTED_VALUE"""),44487.673076412)</f>
        <v>44487.67308</v>
      </c>
      <c r="D2304" s="15">
        <f>IFERROR(__xludf.DUMMYFUNCTION("""COMPUTED_VALUE"""),1.051)</f>
        <v>1.051</v>
      </c>
      <c r="E2304" s="16">
        <f>IFERROR(__xludf.DUMMYFUNCTION("""COMPUTED_VALUE"""),64.0)</f>
        <v>64</v>
      </c>
      <c r="F2304" s="19" t="str">
        <f>IFERROR(__xludf.DUMMYFUNCTION("""COMPUTED_VALUE"""),"BLACK")</f>
        <v>BLACK</v>
      </c>
      <c r="G2304" s="20" t="str">
        <f>IFERROR(__xludf.DUMMYFUNCTION("""COMPUTED_VALUE"""),"Tap 6 Clone (10/15/2021)")</f>
        <v>Tap 6 Clone (10/15/2021)</v>
      </c>
      <c r="H2304" s="19"/>
    </row>
    <row r="2305">
      <c r="A2305" s="9"/>
      <c r="B2305" s="15"/>
      <c r="C2305" s="9">
        <f>IFERROR(__xludf.DUMMYFUNCTION("""COMPUTED_VALUE"""),44487.6626541203)</f>
        <v>44487.66265</v>
      </c>
      <c r="D2305" s="15">
        <f>IFERROR(__xludf.DUMMYFUNCTION("""COMPUTED_VALUE"""),1.051)</f>
        <v>1.051</v>
      </c>
      <c r="E2305" s="16">
        <f>IFERROR(__xludf.DUMMYFUNCTION("""COMPUTED_VALUE"""),64.0)</f>
        <v>64</v>
      </c>
      <c r="F2305" s="19" t="str">
        <f>IFERROR(__xludf.DUMMYFUNCTION("""COMPUTED_VALUE"""),"BLACK")</f>
        <v>BLACK</v>
      </c>
      <c r="G2305" s="20" t="str">
        <f>IFERROR(__xludf.DUMMYFUNCTION("""COMPUTED_VALUE"""),"Tap 6 Clone (10/15/2021)")</f>
        <v>Tap 6 Clone (10/15/2021)</v>
      </c>
      <c r="H2305" s="19"/>
    </row>
    <row r="2306">
      <c r="A2306" s="9"/>
      <c r="B2306" s="15"/>
      <c r="C2306" s="9">
        <f>IFERROR(__xludf.DUMMYFUNCTION("""COMPUTED_VALUE"""),44487.6522350925)</f>
        <v>44487.65224</v>
      </c>
      <c r="D2306" s="15">
        <f>IFERROR(__xludf.DUMMYFUNCTION("""COMPUTED_VALUE"""),1.051)</f>
        <v>1.051</v>
      </c>
      <c r="E2306" s="16">
        <f>IFERROR(__xludf.DUMMYFUNCTION("""COMPUTED_VALUE"""),64.0)</f>
        <v>64</v>
      </c>
      <c r="F2306" s="19" t="str">
        <f>IFERROR(__xludf.DUMMYFUNCTION("""COMPUTED_VALUE"""),"BLACK")</f>
        <v>BLACK</v>
      </c>
      <c r="G2306" s="20" t="str">
        <f>IFERROR(__xludf.DUMMYFUNCTION("""COMPUTED_VALUE"""),"Tap 6 Clone (10/15/2021)")</f>
        <v>Tap 6 Clone (10/15/2021)</v>
      </c>
      <c r="H2306" s="19"/>
    </row>
    <row r="2307">
      <c r="A2307" s="9"/>
      <c r="B2307" s="15"/>
      <c r="C2307" s="9">
        <f>IFERROR(__xludf.DUMMYFUNCTION("""COMPUTED_VALUE"""),44487.6418135416)</f>
        <v>44487.64181</v>
      </c>
      <c r="D2307" s="15">
        <f>IFERROR(__xludf.DUMMYFUNCTION("""COMPUTED_VALUE"""),1.051)</f>
        <v>1.051</v>
      </c>
      <c r="E2307" s="16">
        <f>IFERROR(__xludf.DUMMYFUNCTION("""COMPUTED_VALUE"""),64.0)</f>
        <v>64</v>
      </c>
      <c r="F2307" s="19" t="str">
        <f>IFERROR(__xludf.DUMMYFUNCTION("""COMPUTED_VALUE"""),"BLACK")</f>
        <v>BLACK</v>
      </c>
      <c r="G2307" s="20" t="str">
        <f>IFERROR(__xludf.DUMMYFUNCTION("""COMPUTED_VALUE"""),"Tap 6 Clone (10/15/2021)")</f>
        <v>Tap 6 Clone (10/15/2021)</v>
      </c>
      <c r="H2307" s="19"/>
    </row>
    <row r="2308">
      <c r="A2308" s="9"/>
      <c r="B2308" s="15"/>
      <c r="C2308" s="9">
        <f>IFERROR(__xludf.DUMMYFUNCTION("""COMPUTED_VALUE"""),44487.631391493)</f>
        <v>44487.63139</v>
      </c>
      <c r="D2308" s="15">
        <f>IFERROR(__xludf.DUMMYFUNCTION("""COMPUTED_VALUE"""),1.051)</f>
        <v>1.051</v>
      </c>
      <c r="E2308" s="16">
        <f>IFERROR(__xludf.DUMMYFUNCTION("""COMPUTED_VALUE"""),64.0)</f>
        <v>64</v>
      </c>
      <c r="F2308" s="19" t="str">
        <f>IFERROR(__xludf.DUMMYFUNCTION("""COMPUTED_VALUE"""),"BLACK")</f>
        <v>BLACK</v>
      </c>
      <c r="G2308" s="20" t="str">
        <f>IFERROR(__xludf.DUMMYFUNCTION("""COMPUTED_VALUE"""),"Tap 6 Clone (10/15/2021)")</f>
        <v>Tap 6 Clone (10/15/2021)</v>
      </c>
      <c r="H2308" s="19"/>
    </row>
    <row r="2309">
      <c r="A2309" s="9"/>
      <c r="B2309" s="15"/>
      <c r="C2309" s="9">
        <f>IFERROR(__xludf.DUMMYFUNCTION("""COMPUTED_VALUE"""),44487.6209694791)</f>
        <v>44487.62097</v>
      </c>
      <c r="D2309" s="15">
        <f>IFERROR(__xludf.DUMMYFUNCTION("""COMPUTED_VALUE"""),1.051)</f>
        <v>1.051</v>
      </c>
      <c r="E2309" s="16">
        <f>IFERROR(__xludf.DUMMYFUNCTION("""COMPUTED_VALUE"""),64.0)</f>
        <v>64</v>
      </c>
      <c r="F2309" s="19" t="str">
        <f>IFERROR(__xludf.DUMMYFUNCTION("""COMPUTED_VALUE"""),"BLACK")</f>
        <v>BLACK</v>
      </c>
      <c r="G2309" s="20" t="str">
        <f>IFERROR(__xludf.DUMMYFUNCTION("""COMPUTED_VALUE"""),"Tap 6 Clone (10/15/2021)")</f>
        <v>Tap 6 Clone (10/15/2021)</v>
      </c>
      <c r="H2309" s="19"/>
    </row>
    <row r="2310">
      <c r="A2310" s="9"/>
      <c r="B2310" s="15"/>
      <c r="C2310" s="9">
        <f>IFERROR(__xludf.DUMMYFUNCTION("""COMPUTED_VALUE"""),44487.6105348726)</f>
        <v>44487.61053</v>
      </c>
      <c r="D2310" s="15">
        <f>IFERROR(__xludf.DUMMYFUNCTION("""COMPUTED_VALUE"""),1.051)</f>
        <v>1.051</v>
      </c>
      <c r="E2310" s="16">
        <f>IFERROR(__xludf.DUMMYFUNCTION("""COMPUTED_VALUE"""),64.0)</f>
        <v>64</v>
      </c>
      <c r="F2310" s="19" t="str">
        <f>IFERROR(__xludf.DUMMYFUNCTION("""COMPUTED_VALUE"""),"BLACK")</f>
        <v>BLACK</v>
      </c>
      <c r="G2310" s="20" t="str">
        <f>IFERROR(__xludf.DUMMYFUNCTION("""COMPUTED_VALUE"""),"Tap 6 Clone (10/15/2021)")</f>
        <v>Tap 6 Clone (10/15/2021)</v>
      </c>
      <c r="H2310" s="19"/>
    </row>
    <row r="2311">
      <c r="A2311" s="9"/>
      <c r="B2311" s="15"/>
      <c r="C2311" s="9">
        <f>IFERROR(__xludf.DUMMYFUNCTION("""COMPUTED_VALUE"""),44487.600113206)</f>
        <v>44487.60011</v>
      </c>
      <c r="D2311" s="15">
        <f>IFERROR(__xludf.DUMMYFUNCTION("""COMPUTED_VALUE"""),1.052)</f>
        <v>1.052</v>
      </c>
      <c r="E2311" s="16">
        <f>IFERROR(__xludf.DUMMYFUNCTION("""COMPUTED_VALUE"""),64.0)</f>
        <v>64</v>
      </c>
      <c r="F2311" s="19" t="str">
        <f>IFERROR(__xludf.DUMMYFUNCTION("""COMPUTED_VALUE"""),"BLACK")</f>
        <v>BLACK</v>
      </c>
      <c r="G2311" s="20" t="str">
        <f>IFERROR(__xludf.DUMMYFUNCTION("""COMPUTED_VALUE"""),"Tap 6 Clone (10/15/2021)")</f>
        <v>Tap 6 Clone (10/15/2021)</v>
      </c>
      <c r="H2311" s="19"/>
    </row>
    <row r="2312">
      <c r="A2312" s="9"/>
      <c r="B2312" s="15"/>
      <c r="C2312" s="9">
        <f>IFERROR(__xludf.DUMMYFUNCTION("""COMPUTED_VALUE"""),44487.5896912963)</f>
        <v>44487.58969</v>
      </c>
      <c r="D2312" s="15">
        <f>IFERROR(__xludf.DUMMYFUNCTION("""COMPUTED_VALUE"""),1.052)</f>
        <v>1.052</v>
      </c>
      <c r="E2312" s="16">
        <f>IFERROR(__xludf.DUMMYFUNCTION("""COMPUTED_VALUE"""),64.0)</f>
        <v>64</v>
      </c>
      <c r="F2312" s="19" t="str">
        <f>IFERROR(__xludf.DUMMYFUNCTION("""COMPUTED_VALUE"""),"BLACK")</f>
        <v>BLACK</v>
      </c>
      <c r="G2312" s="20" t="str">
        <f>IFERROR(__xludf.DUMMYFUNCTION("""COMPUTED_VALUE"""),"Tap 6 Clone (10/15/2021)")</f>
        <v>Tap 6 Clone (10/15/2021)</v>
      </c>
      <c r="H2312" s="19"/>
    </row>
    <row r="2313">
      <c r="A2313" s="9"/>
      <c r="B2313" s="15"/>
      <c r="C2313" s="9">
        <f>IFERROR(__xludf.DUMMYFUNCTION("""COMPUTED_VALUE"""),44487.5792581944)</f>
        <v>44487.57926</v>
      </c>
      <c r="D2313" s="15">
        <f>IFERROR(__xludf.DUMMYFUNCTION("""COMPUTED_VALUE"""),1.052)</f>
        <v>1.052</v>
      </c>
      <c r="E2313" s="16">
        <f>IFERROR(__xludf.DUMMYFUNCTION("""COMPUTED_VALUE"""),64.0)</f>
        <v>64</v>
      </c>
      <c r="F2313" s="19" t="str">
        <f>IFERROR(__xludf.DUMMYFUNCTION("""COMPUTED_VALUE"""),"BLACK")</f>
        <v>BLACK</v>
      </c>
      <c r="G2313" s="20" t="str">
        <f>IFERROR(__xludf.DUMMYFUNCTION("""COMPUTED_VALUE"""),"Tap 6 Clone (10/15/2021)")</f>
        <v>Tap 6 Clone (10/15/2021)</v>
      </c>
      <c r="H2313" s="19"/>
    </row>
    <row r="2314">
      <c r="A2314" s="9"/>
      <c r="B2314" s="15"/>
      <c r="C2314" s="9">
        <f>IFERROR(__xludf.DUMMYFUNCTION("""COMPUTED_VALUE"""),44487.5688361226)</f>
        <v>44487.56884</v>
      </c>
      <c r="D2314" s="15">
        <f>IFERROR(__xludf.DUMMYFUNCTION("""COMPUTED_VALUE"""),1.052)</f>
        <v>1.052</v>
      </c>
      <c r="E2314" s="16">
        <f>IFERROR(__xludf.DUMMYFUNCTION("""COMPUTED_VALUE"""),64.0)</f>
        <v>64</v>
      </c>
      <c r="F2314" s="19" t="str">
        <f>IFERROR(__xludf.DUMMYFUNCTION("""COMPUTED_VALUE"""),"BLACK")</f>
        <v>BLACK</v>
      </c>
      <c r="G2314" s="20" t="str">
        <f>IFERROR(__xludf.DUMMYFUNCTION("""COMPUTED_VALUE"""),"Tap 6 Clone (10/15/2021)")</f>
        <v>Tap 6 Clone (10/15/2021)</v>
      </c>
      <c r="H2314" s="19"/>
    </row>
    <row r="2315">
      <c r="A2315" s="9"/>
      <c r="B2315" s="15"/>
      <c r="C2315" s="9">
        <f>IFERROR(__xludf.DUMMYFUNCTION("""COMPUTED_VALUE"""),44487.5584146643)</f>
        <v>44487.55841</v>
      </c>
      <c r="D2315" s="15">
        <f>IFERROR(__xludf.DUMMYFUNCTION("""COMPUTED_VALUE"""),1.052)</f>
        <v>1.052</v>
      </c>
      <c r="E2315" s="16">
        <f>IFERROR(__xludf.DUMMYFUNCTION("""COMPUTED_VALUE"""),64.0)</f>
        <v>64</v>
      </c>
      <c r="F2315" s="19" t="str">
        <f>IFERROR(__xludf.DUMMYFUNCTION("""COMPUTED_VALUE"""),"BLACK")</f>
        <v>BLACK</v>
      </c>
      <c r="G2315" s="20" t="str">
        <f>IFERROR(__xludf.DUMMYFUNCTION("""COMPUTED_VALUE"""),"Tap 6 Clone (10/15/2021)")</f>
        <v>Tap 6 Clone (10/15/2021)</v>
      </c>
      <c r="H2315" s="19"/>
    </row>
    <row r="2316">
      <c r="A2316" s="9"/>
      <c r="B2316" s="15"/>
      <c r="C2316" s="9">
        <f>IFERROR(__xludf.DUMMYFUNCTION("""COMPUTED_VALUE"""),44487.5479937963)</f>
        <v>44487.54799</v>
      </c>
      <c r="D2316" s="15">
        <f>IFERROR(__xludf.DUMMYFUNCTION("""COMPUTED_VALUE"""),1.052)</f>
        <v>1.052</v>
      </c>
      <c r="E2316" s="16">
        <f>IFERROR(__xludf.DUMMYFUNCTION("""COMPUTED_VALUE"""),64.0)</f>
        <v>64</v>
      </c>
      <c r="F2316" s="19" t="str">
        <f>IFERROR(__xludf.DUMMYFUNCTION("""COMPUTED_VALUE"""),"BLACK")</f>
        <v>BLACK</v>
      </c>
      <c r="G2316" s="20" t="str">
        <f>IFERROR(__xludf.DUMMYFUNCTION("""COMPUTED_VALUE"""),"Tap 6 Clone (10/15/2021)")</f>
        <v>Tap 6 Clone (10/15/2021)</v>
      </c>
      <c r="H2316" s="19"/>
    </row>
    <row r="2317">
      <c r="A2317" s="9"/>
      <c r="B2317" s="15"/>
      <c r="C2317" s="9">
        <f>IFERROR(__xludf.DUMMYFUNCTION("""COMPUTED_VALUE"""),44487.53757228)</f>
        <v>44487.53757</v>
      </c>
      <c r="D2317" s="15">
        <f>IFERROR(__xludf.DUMMYFUNCTION("""COMPUTED_VALUE"""),1.052)</f>
        <v>1.052</v>
      </c>
      <c r="E2317" s="16">
        <f>IFERROR(__xludf.DUMMYFUNCTION("""COMPUTED_VALUE"""),64.0)</f>
        <v>64</v>
      </c>
      <c r="F2317" s="19" t="str">
        <f>IFERROR(__xludf.DUMMYFUNCTION("""COMPUTED_VALUE"""),"BLACK")</f>
        <v>BLACK</v>
      </c>
      <c r="G2317" s="20" t="str">
        <f>IFERROR(__xludf.DUMMYFUNCTION("""COMPUTED_VALUE"""),"Tap 6 Clone (10/15/2021)")</f>
        <v>Tap 6 Clone (10/15/2021)</v>
      </c>
      <c r="H2317" s="19"/>
    </row>
    <row r="2318">
      <c r="A2318" s="9"/>
      <c r="B2318" s="15"/>
      <c r="C2318" s="9">
        <f>IFERROR(__xludf.DUMMYFUNCTION("""COMPUTED_VALUE"""),44487.5271498379)</f>
        <v>44487.52715</v>
      </c>
      <c r="D2318" s="15">
        <f>IFERROR(__xludf.DUMMYFUNCTION("""COMPUTED_VALUE"""),1.052)</f>
        <v>1.052</v>
      </c>
      <c r="E2318" s="16">
        <f>IFERROR(__xludf.DUMMYFUNCTION("""COMPUTED_VALUE"""),64.0)</f>
        <v>64</v>
      </c>
      <c r="F2318" s="19" t="str">
        <f>IFERROR(__xludf.DUMMYFUNCTION("""COMPUTED_VALUE"""),"BLACK")</f>
        <v>BLACK</v>
      </c>
      <c r="G2318" s="20" t="str">
        <f>IFERROR(__xludf.DUMMYFUNCTION("""COMPUTED_VALUE"""),"Tap 6 Clone (10/15/2021)")</f>
        <v>Tap 6 Clone (10/15/2021)</v>
      </c>
      <c r="H2318" s="19"/>
    </row>
    <row r="2319">
      <c r="A2319" s="9"/>
      <c r="B2319" s="15"/>
      <c r="C2319" s="9">
        <f>IFERROR(__xludf.DUMMYFUNCTION("""COMPUTED_VALUE"""),44487.5167275347)</f>
        <v>44487.51673</v>
      </c>
      <c r="D2319" s="15">
        <f>IFERROR(__xludf.DUMMYFUNCTION("""COMPUTED_VALUE"""),1.052)</f>
        <v>1.052</v>
      </c>
      <c r="E2319" s="16">
        <f>IFERROR(__xludf.DUMMYFUNCTION("""COMPUTED_VALUE"""),64.0)</f>
        <v>64</v>
      </c>
      <c r="F2319" s="19" t="str">
        <f>IFERROR(__xludf.DUMMYFUNCTION("""COMPUTED_VALUE"""),"BLACK")</f>
        <v>BLACK</v>
      </c>
      <c r="G2319" s="20" t="str">
        <f>IFERROR(__xludf.DUMMYFUNCTION("""COMPUTED_VALUE"""),"Tap 6 Clone (10/15/2021)")</f>
        <v>Tap 6 Clone (10/15/2021)</v>
      </c>
      <c r="H2319" s="19"/>
    </row>
    <row r="2320">
      <c r="A2320" s="9"/>
      <c r="B2320" s="15"/>
      <c r="C2320" s="9">
        <f>IFERROR(__xludf.DUMMYFUNCTION("""COMPUTED_VALUE"""),44487.5063047916)</f>
        <v>44487.5063</v>
      </c>
      <c r="D2320" s="15">
        <f>IFERROR(__xludf.DUMMYFUNCTION("""COMPUTED_VALUE"""),1.052)</f>
        <v>1.052</v>
      </c>
      <c r="E2320" s="16">
        <f>IFERROR(__xludf.DUMMYFUNCTION("""COMPUTED_VALUE"""),64.0)</f>
        <v>64</v>
      </c>
      <c r="F2320" s="19" t="str">
        <f>IFERROR(__xludf.DUMMYFUNCTION("""COMPUTED_VALUE"""),"BLACK")</f>
        <v>BLACK</v>
      </c>
      <c r="G2320" s="20" t="str">
        <f>IFERROR(__xludf.DUMMYFUNCTION("""COMPUTED_VALUE"""),"Tap 6 Clone (10/15/2021)")</f>
        <v>Tap 6 Clone (10/15/2021)</v>
      </c>
      <c r="H2320" s="19"/>
    </row>
    <row r="2321">
      <c r="A2321" s="9"/>
      <c r="B2321" s="15"/>
      <c r="C2321" s="9">
        <f>IFERROR(__xludf.DUMMYFUNCTION("""COMPUTED_VALUE"""),44487.4958714351)</f>
        <v>44487.49587</v>
      </c>
      <c r="D2321" s="15">
        <f>IFERROR(__xludf.DUMMYFUNCTION("""COMPUTED_VALUE"""),1.052)</f>
        <v>1.052</v>
      </c>
      <c r="E2321" s="16">
        <f>IFERROR(__xludf.DUMMYFUNCTION("""COMPUTED_VALUE"""),64.0)</f>
        <v>64</v>
      </c>
      <c r="F2321" s="19" t="str">
        <f>IFERROR(__xludf.DUMMYFUNCTION("""COMPUTED_VALUE"""),"BLACK")</f>
        <v>BLACK</v>
      </c>
      <c r="G2321" s="20" t="str">
        <f>IFERROR(__xludf.DUMMYFUNCTION("""COMPUTED_VALUE"""),"Tap 6 Clone (10/15/2021)")</f>
        <v>Tap 6 Clone (10/15/2021)</v>
      </c>
      <c r="H2321" s="19"/>
    </row>
    <row r="2322">
      <c r="A2322" s="9"/>
      <c r="B2322" s="15"/>
      <c r="C2322" s="9">
        <f>IFERROR(__xludf.DUMMYFUNCTION("""COMPUTED_VALUE"""),44487.4854391435)</f>
        <v>44487.48544</v>
      </c>
      <c r="D2322" s="15">
        <f>IFERROR(__xludf.DUMMYFUNCTION("""COMPUTED_VALUE"""),1.052)</f>
        <v>1.052</v>
      </c>
      <c r="E2322" s="16">
        <f>IFERROR(__xludf.DUMMYFUNCTION("""COMPUTED_VALUE"""),64.0)</f>
        <v>64</v>
      </c>
      <c r="F2322" s="19" t="str">
        <f>IFERROR(__xludf.DUMMYFUNCTION("""COMPUTED_VALUE"""),"BLACK")</f>
        <v>BLACK</v>
      </c>
      <c r="G2322" s="20" t="str">
        <f>IFERROR(__xludf.DUMMYFUNCTION("""COMPUTED_VALUE"""),"Tap 6 Clone (10/15/2021)")</f>
        <v>Tap 6 Clone (10/15/2021)</v>
      </c>
      <c r="H2322" s="19"/>
    </row>
    <row r="2323">
      <c r="A2323" s="9"/>
      <c r="B2323" s="15"/>
      <c r="C2323" s="9">
        <f>IFERROR(__xludf.DUMMYFUNCTION("""COMPUTED_VALUE"""),44487.4750166898)</f>
        <v>44487.47502</v>
      </c>
      <c r="D2323" s="15">
        <f>IFERROR(__xludf.DUMMYFUNCTION("""COMPUTED_VALUE"""),1.053)</f>
        <v>1.053</v>
      </c>
      <c r="E2323" s="16">
        <f>IFERROR(__xludf.DUMMYFUNCTION("""COMPUTED_VALUE"""),64.0)</f>
        <v>64</v>
      </c>
      <c r="F2323" s="19" t="str">
        <f>IFERROR(__xludf.DUMMYFUNCTION("""COMPUTED_VALUE"""),"BLACK")</f>
        <v>BLACK</v>
      </c>
      <c r="G2323" s="20" t="str">
        <f>IFERROR(__xludf.DUMMYFUNCTION("""COMPUTED_VALUE"""),"Tap 6 Clone (10/15/2021)")</f>
        <v>Tap 6 Clone (10/15/2021)</v>
      </c>
      <c r="H2323" s="19"/>
    </row>
    <row r="2324">
      <c r="A2324" s="9"/>
      <c r="B2324" s="15"/>
      <c r="C2324" s="9">
        <f>IFERROR(__xludf.DUMMYFUNCTION("""COMPUTED_VALUE"""),44487.4645953703)</f>
        <v>44487.4646</v>
      </c>
      <c r="D2324" s="15">
        <f>IFERROR(__xludf.DUMMYFUNCTION("""COMPUTED_VALUE"""),1.053)</f>
        <v>1.053</v>
      </c>
      <c r="E2324" s="16">
        <f>IFERROR(__xludf.DUMMYFUNCTION("""COMPUTED_VALUE"""),64.0)</f>
        <v>64</v>
      </c>
      <c r="F2324" s="19" t="str">
        <f>IFERROR(__xludf.DUMMYFUNCTION("""COMPUTED_VALUE"""),"BLACK")</f>
        <v>BLACK</v>
      </c>
      <c r="G2324" s="20" t="str">
        <f>IFERROR(__xludf.DUMMYFUNCTION("""COMPUTED_VALUE"""),"Tap 6 Clone (10/15/2021)")</f>
        <v>Tap 6 Clone (10/15/2021)</v>
      </c>
      <c r="H2324" s="19"/>
    </row>
    <row r="2325">
      <c r="A2325" s="9"/>
      <c r="B2325" s="15"/>
      <c r="C2325" s="9">
        <f>IFERROR(__xludf.DUMMYFUNCTION("""COMPUTED_VALUE"""),44487.4541744328)</f>
        <v>44487.45417</v>
      </c>
      <c r="D2325" s="15">
        <f>IFERROR(__xludf.DUMMYFUNCTION("""COMPUTED_VALUE"""),1.053)</f>
        <v>1.053</v>
      </c>
      <c r="E2325" s="16">
        <f>IFERROR(__xludf.DUMMYFUNCTION("""COMPUTED_VALUE"""),64.0)</f>
        <v>64</v>
      </c>
      <c r="F2325" s="19" t="str">
        <f>IFERROR(__xludf.DUMMYFUNCTION("""COMPUTED_VALUE"""),"BLACK")</f>
        <v>BLACK</v>
      </c>
      <c r="G2325" s="20" t="str">
        <f>IFERROR(__xludf.DUMMYFUNCTION("""COMPUTED_VALUE"""),"Tap 6 Clone (10/15/2021)")</f>
        <v>Tap 6 Clone (10/15/2021)</v>
      </c>
      <c r="H2325" s="19"/>
    </row>
    <row r="2326">
      <c r="A2326" s="9"/>
      <c r="B2326" s="15"/>
      <c r="C2326" s="9">
        <f>IFERROR(__xludf.DUMMYFUNCTION("""COMPUTED_VALUE"""),44487.4437513425)</f>
        <v>44487.44375</v>
      </c>
      <c r="D2326" s="15">
        <f>IFERROR(__xludf.DUMMYFUNCTION("""COMPUTED_VALUE"""),1.053)</f>
        <v>1.053</v>
      </c>
      <c r="E2326" s="16">
        <f>IFERROR(__xludf.DUMMYFUNCTION("""COMPUTED_VALUE"""),64.0)</f>
        <v>64</v>
      </c>
      <c r="F2326" s="19" t="str">
        <f>IFERROR(__xludf.DUMMYFUNCTION("""COMPUTED_VALUE"""),"BLACK")</f>
        <v>BLACK</v>
      </c>
      <c r="G2326" s="20" t="str">
        <f>IFERROR(__xludf.DUMMYFUNCTION("""COMPUTED_VALUE"""),"Tap 6 Clone (10/15/2021)")</f>
        <v>Tap 6 Clone (10/15/2021)</v>
      </c>
      <c r="H2326" s="19"/>
    </row>
    <row r="2327">
      <c r="A2327" s="9"/>
      <c r="B2327" s="15"/>
      <c r="C2327" s="9">
        <f>IFERROR(__xludf.DUMMYFUNCTION("""COMPUTED_VALUE"""),44487.4333315509)</f>
        <v>44487.43333</v>
      </c>
      <c r="D2327" s="15">
        <f>IFERROR(__xludf.DUMMYFUNCTION("""COMPUTED_VALUE"""),1.053)</f>
        <v>1.053</v>
      </c>
      <c r="E2327" s="16">
        <f>IFERROR(__xludf.DUMMYFUNCTION("""COMPUTED_VALUE"""),64.0)</f>
        <v>64</v>
      </c>
      <c r="F2327" s="19" t="str">
        <f>IFERROR(__xludf.DUMMYFUNCTION("""COMPUTED_VALUE"""),"BLACK")</f>
        <v>BLACK</v>
      </c>
      <c r="G2327" s="20" t="str">
        <f>IFERROR(__xludf.DUMMYFUNCTION("""COMPUTED_VALUE"""),"Tap 6 Clone (10/15/2021)")</f>
        <v>Tap 6 Clone (10/15/2021)</v>
      </c>
      <c r="H2327" s="19"/>
    </row>
    <row r="2328">
      <c r="A2328" s="9"/>
      <c r="B2328" s="15"/>
      <c r="C2328" s="9">
        <f>IFERROR(__xludf.DUMMYFUNCTION("""COMPUTED_VALUE"""),44487.4229105555)</f>
        <v>44487.42291</v>
      </c>
      <c r="D2328" s="15">
        <f>IFERROR(__xludf.DUMMYFUNCTION("""COMPUTED_VALUE"""),1.053)</f>
        <v>1.053</v>
      </c>
      <c r="E2328" s="16">
        <f>IFERROR(__xludf.DUMMYFUNCTION("""COMPUTED_VALUE"""),64.0)</f>
        <v>64</v>
      </c>
      <c r="F2328" s="19" t="str">
        <f>IFERROR(__xludf.DUMMYFUNCTION("""COMPUTED_VALUE"""),"BLACK")</f>
        <v>BLACK</v>
      </c>
      <c r="G2328" s="20" t="str">
        <f>IFERROR(__xludf.DUMMYFUNCTION("""COMPUTED_VALUE"""),"Tap 6 Clone (10/15/2021)")</f>
        <v>Tap 6 Clone (10/15/2021)</v>
      </c>
      <c r="H2328" s="19"/>
    </row>
    <row r="2329">
      <c r="A2329" s="9"/>
      <c r="B2329" s="15"/>
      <c r="C2329" s="9">
        <f>IFERROR(__xludf.DUMMYFUNCTION("""COMPUTED_VALUE"""),44487.4124904861)</f>
        <v>44487.41249</v>
      </c>
      <c r="D2329" s="15">
        <f>IFERROR(__xludf.DUMMYFUNCTION("""COMPUTED_VALUE"""),1.053)</f>
        <v>1.053</v>
      </c>
      <c r="E2329" s="16">
        <f>IFERROR(__xludf.DUMMYFUNCTION("""COMPUTED_VALUE"""),64.0)</f>
        <v>64</v>
      </c>
      <c r="F2329" s="19" t="str">
        <f>IFERROR(__xludf.DUMMYFUNCTION("""COMPUTED_VALUE"""),"BLACK")</f>
        <v>BLACK</v>
      </c>
      <c r="G2329" s="20" t="str">
        <f>IFERROR(__xludf.DUMMYFUNCTION("""COMPUTED_VALUE"""),"Tap 6 Clone (10/15/2021)")</f>
        <v>Tap 6 Clone (10/15/2021)</v>
      </c>
      <c r="H2329" s="19"/>
    </row>
    <row r="2330">
      <c r="A2330" s="9"/>
      <c r="B2330" s="15"/>
      <c r="C2330" s="9">
        <f>IFERROR(__xludf.DUMMYFUNCTION("""COMPUTED_VALUE"""),44487.4020572685)</f>
        <v>44487.40206</v>
      </c>
      <c r="D2330" s="15">
        <f>IFERROR(__xludf.DUMMYFUNCTION("""COMPUTED_VALUE"""),1.053)</f>
        <v>1.053</v>
      </c>
      <c r="E2330" s="16">
        <f>IFERROR(__xludf.DUMMYFUNCTION("""COMPUTED_VALUE"""),64.0)</f>
        <v>64</v>
      </c>
      <c r="F2330" s="19" t="str">
        <f>IFERROR(__xludf.DUMMYFUNCTION("""COMPUTED_VALUE"""),"BLACK")</f>
        <v>BLACK</v>
      </c>
      <c r="G2330" s="20" t="str">
        <f>IFERROR(__xludf.DUMMYFUNCTION("""COMPUTED_VALUE"""),"Tap 6 Clone (10/15/2021)")</f>
        <v>Tap 6 Clone (10/15/2021)</v>
      </c>
      <c r="H2330" s="19"/>
    </row>
    <row r="2331">
      <c r="A2331" s="9"/>
      <c r="B2331" s="15"/>
      <c r="C2331" s="9">
        <f>IFERROR(__xludf.DUMMYFUNCTION("""COMPUTED_VALUE"""),44487.3916249421)</f>
        <v>44487.39162</v>
      </c>
      <c r="D2331" s="15">
        <f>IFERROR(__xludf.DUMMYFUNCTION("""COMPUTED_VALUE"""),1.053)</f>
        <v>1.053</v>
      </c>
      <c r="E2331" s="16">
        <f>IFERROR(__xludf.DUMMYFUNCTION("""COMPUTED_VALUE"""),64.0)</f>
        <v>64</v>
      </c>
      <c r="F2331" s="19" t="str">
        <f>IFERROR(__xludf.DUMMYFUNCTION("""COMPUTED_VALUE"""),"BLACK")</f>
        <v>BLACK</v>
      </c>
      <c r="G2331" s="20" t="str">
        <f>IFERROR(__xludf.DUMMYFUNCTION("""COMPUTED_VALUE"""),"Tap 6 Clone (10/15/2021)")</f>
        <v>Tap 6 Clone (10/15/2021)</v>
      </c>
      <c r="H2331" s="19"/>
    </row>
    <row r="2332">
      <c r="A2332" s="9"/>
      <c r="B2332" s="15"/>
      <c r="C2332" s="9">
        <f>IFERROR(__xludf.DUMMYFUNCTION("""COMPUTED_VALUE"""),44487.3812027777)</f>
        <v>44487.3812</v>
      </c>
      <c r="D2332" s="15">
        <f>IFERROR(__xludf.DUMMYFUNCTION("""COMPUTED_VALUE"""),1.053)</f>
        <v>1.053</v>
      </c>
      <c r="E2332" s="16">
        <f>IFERROR(__xludf.DUMMYFUNCTION("""COMPUTED_VALUE"""),63.0)</f>
        <v>63</v>
      </c>
      <c r="F2332" s="19" t="str">
        <f>IFERROR(__xludf.DUMMYFUNCTION("""COMPUTED_VALUE"""),"BLACK")</f>
        <v>BLACK</v>
      </c>
      <c r="G2332" s="20" t="str">
        <f>IFERROR(__xludf.DUMMYFUNCTION("""COMPUTED_VALUE"""),"Tap 6 Clone (10/15/2021)")</f>
        <v>Tap 6 Clone (10/15/2021)</v>
      </c>
      <c r="H2332" s="19"/>
    </row>
    <row r="2333">
      <c r="A2333" s="9"/>
      <c r="B2333" s="15"/>
      <c r="C2333" s="9">
        <f>IFERROR(__xludf.DUMMYFUNCTION("""COMPUTED_VALUE"""),44487.3707811574)</f>
        <v>44487.37078</v>
      </c>
      <c r="D2333" s="15">
        <f>IFERROR(__xludf.DUMMYFUNCTION("""COMPUTED_VALUE"""),1.053)</f>
        <v>1.053</v>
      </c>
      <c r="E2333" s="16">
        <f>IFERROR(__xludf.DUMMYFUNCTION("""COMPUTED_VALUE"""),63.0)</f>
        <v>63</v>
      </c>
      <c r="F2333" s="19" t="str">
        <f>IFERROR(__xludf.DUMMYFUNCTION("""COMPUTED_VALUE"""),"BLACK")</f>
        <v>BLACK</v>
      </c>
      <c r="G2333" s="20" t="str">
        <f>IFERROR(__xludf.DUMMYFUNCTION("""COMPUTED_VALUE"""),"Tap 6 Clone (10/15/2021)")</f>
        <v>Tap 6 Clone (10/15/2021)</v>
      </c>
      <c r="H2333" s="19"/>
    </row>
    <row r="2334">
      <c r="A2334" s="9"/>
      <c r="B2334" s="15"/>
      <c r="C2334" s="9">
        <f>IFERROR(__xludf.DUMMYFUNCTION("""COMPUTED_VALUE"""),44487.3603604398)</f>
        <v>44487.36036</v>
      </c>
      <c r="D2334" s="15">
        <f>IFERROR(__xludf.DUMMYFUNCTION("""COMPUTED_VALUE"""),1.053)</f>
        <v>1.053</v>
      </c>
      <c r="E2334" s="16">
        <f>IFERROR(__xludf.DUMMYFUNCTION("""COMPUTED_VALUE"""),64.0)</f>
        <v>64</v>
      </c>
      <c r="F2334" s="19" t="str">
        <f>IFERROR(__xludf.DUMMYFUNCTION("""COMPUTED_VALUE"""),"BLACK")</f>
        <v>BLACK</v>
      </c>
      <c r="G2334" s="20" t="str">
        <f>IFERROR(__xludf.DUMMYFUNCTION("""COMPUTED_VALUE"""),"Tap 6 Clone (10/15/2021)")</f>
        <v>Tap 6 Clone (10/15/2021)</v>
      </c>
      <c r="H2334" s="19"/>
    </row>
    <row r="2335">
      <c r="A2335" s="9"/>
      <c r="B2335" s="15"/>
      <c r="C2335" s="9">
        <f>IFERROR(__xludf.DUMMYFUNCTION("""COMPUTED_VALUE"""),44487.349939074)</f>
        <v>44487.34994</v>
      </c>
      <c r="D2335" s="15">
        <f>IFERROR(__xludf.DUMMYFUNCTION("""COMPUTED_VALUE"""),1.053)</f>
        <v>1.053</v>
      </c>
      <c r="E2335" s="16">
        <f>IFERROR(__xludf.DUMMYFUNCTION("""COMPUTED_VALUE"""),63.0)</f>
        <v>63</v>
      </c>
      <c r="F2335" s="19" t="str">
        <f>IFERROR(__xludf.DUMMYFUNCTION("""COMPUTED_VALUE"""),"BLACK")</f>
        <v>BLACK</v>
      </c>
      <c r="G2335" s="20" t="str">
        <f>IFERROR(__xludf.DUMMYFUNCTION("""COMPUTED_VALUE"""),"Tap 6 Clone (10/15/2021)")</f>
        <v>Tap 6 Clone (10/15/2021)</v>
      </c>
      <c r="H2335" s="19"/>
    </row>
    <row r="2336">
      <c r="A2336" s="9"/>
      <c r="B2336" s="15"/>
      <c r="C2336" s="9">
        <f>IFERROR(__xludf.DUMMYFUNCTION("""COMPUTED_VALUE"""),44487.3395180208)</f>
        <v>44487.33952</v>
      </c>
      <c r="D2336" s="15">
        <f>IFERROR(__xludf.DUMMYFUNCTION("""COMPUTED_VALUE"""),1.053)</f>
        <v>1.053</v>
      </c>
      <c r="E2336" s="16">
        <f>IFERROR(__xludf.DUMMYFUNCTION("""COMPUTED_VALUE"""),63.0)</f>
        <v>63</v>
      </c>
      <c r="F2336" s="19" t="str">
        <f>IFERROR(__xludf.DUMMYFUNCTION("""COMPUTED_VALUE"""),"BLACK")</f>
        <v>BLACK</v>
      </c>
      <c r="G2336" s="20" t="str">
        <f>IFERROR(__xludf.DUMMYFUNCTION("""COMPUTED_VALUE"""),"Tap 6 Clone (10/15/2021)")</f>
        <v>Tap 6 Clone (10/15/2021)</v>
      </c>
      <c r="H2336" s="19"/>
    </row>
    <row r="2337">
      <c r="A2337" s="9"/>
      <c r="B2337" s="15"/>
      <c r="C2337" s="9">
        <f>IFERROR(__xludf.DUMMYFUNCTION("""COMPUTED_VALUE"""),44487.3290964699)</f>
        <v>44487.3291</v>
      </c>
      <c r="D2337" s="15">
        <f>IFERROR(__xludf.DUMMYFUNCTION("""COMPUTED_VALUE"""),1.053)</f>
        <v>1.053</v>
      </c>
      <c r="E2337" s="16">
        <f>IFERROR(__xludf.DUMMYFUNCTION("""COMPUTED_VALUE"""),63.0)</f>
        <v>63</v>
      </c>
      <c r="F2337" s="19" t="str">
        <f>IFERROR(__xludf.DUMMYFUNCTION("""COMPUTED_VALUE"""),"BLACK")</f>
        <v>BLACK</v>
      </c>
      <c r="G2337" s="20" t="str">
        <f>IFERROR(__xludf.DUMMYFUNCTION("""COMPUTED_VALUE"""),"Tap 6 Clone (10/15/2021)")</f>
        <v>Tap 6 Clone (10/15/2021)</v>
      </c>
      <c r="H2337" s="19"/>
    </row>
    <row r="2338">
      <c r="A2338" s="9"/>
      <c r="B2338" s="15"/>
      <c r="C2338" s="9">
        <f>IFERROR(__xludf.DUMMYFUNCTION("""COMPUTED_VALUE"""),44487.3186411458)</f>
        <v>44487.31864</v>
      </c>
      <c r="D2338" s="15">
        <f>IFERROR(__xludf.DUMMYFUNCTION("""COMPUTED_VALUE"""),1.053)</f>
        <v>1.053</v>
      </c>
      <c r="E2338" s="16">
        <f>IFERROR(__xludf.DUMMYFUNCTION("""COMPUTED_VALUE"""),63.0)</f>
        <v>63</v>
      </c>
      <c r="F2338" s="19" t="str">
        <f>IFERROR(__xludf.DUMMYFUNCTION("""COMPUTED_VALUE"""),"BLACK")</f>
        <v>BLACK</v>
      </c>
      <c r="G2338" s="20" t="str">
        <f>IFERROR(__xludf.DUMMYFUNCTION("""COMPUTED_VALUE"""),"Tap 6 Clone (10/15/2021)")</f>
        <v>Tap 6 Clone (10/15/2021)</v>
      </c>
      <c r="H2338" s="19"/>
    </row>
    <row r="2339">
      <c r="A2339" s="9"/>
      <c r="B2339" s="15"/>
      <c r="C2339" s="9">
        <f>IFERROR(__xludf.DUMMYFUNCTION("""COMPUTED_VALUE"""),44487.3082209375)</f>
        <v>44487.30822</v>
      </c>
      <c r="D2339" s="15">
        <f>IFERROR(__xludf.DUMMYFUNCTION("""COMPUTED_VALUE"""),1.053)</f>
        <v>1.053</v>
      </c>
      <c r="E2339" s="16">
        <f>IFERROR(__xludf.DUMMYFUNCTION("""COMPUTED_VALUE"""),63.0)</f>
        <v>63</v>
      </c>
      <c r="F2339" s="19" t="str">
        <f>IFERROR(__xludf.DUMMYFUNCTION("""COMPUTED_VALUE"""),"BLACK")</f>
        <v>BLACK</v>
      </c>
      <c r="G2339" s="20" t="str">
        <f>IFERROR(__xludf.DUMMYFUNCTION("""COMPUTED_VALUE"""),"Tap 6 Clone (10/15/2021)")</f>
        <v>Tap 6 Clone (10/15/2021)</v>
      </c>
      <c r="H2339" s="19"/>
    </row>
    <row r="2340">
      <c r="A2340" s="9"/>
      <c r="B2340" s="15"/>
      <c r="C2340" s="9">
        <f>IFERROR(__xludf.DUMMYFUNCTION("""COMPUTED_VALUE"""),44487.2977987615)</f>
        <v>44487.2978</v>
      </c>
      <c r="D2340" s="15">
        <f>IFERROR(__xludf.DUMMYFUNCTION("""COMPUTED_VALUE"""),1.053)</f>
        <v>1.053</v>
      </c>
      <c r="E2340" s="16">
        <f>IFERROR(__xludf.DUMMYFUNCTION("""COMPUTED_VALUE"""),63.0)</f>
        <v>63</v>
      </c>
      <c r="F2340" s="19" t="str">
        <f>IFERROR(__xludf.DUMMYFUNCTION("""COMPUTED_VALUE"""),"BLACK")</f>
        <v>BLACK</v>
      </c>
      <c r="G2340" s="20" t="str">
        <f>IFERROR(__xludf.DUMMYFUNCTION("""COMPUTED_VALUE"""),"Tap 6 Clone (10/15/2021)")</f>
        <v>Tap 6 Clone (10/15/2021)</v>
      </c>
      <c r="H2340" s="19"/>
    </row>
    <row r="2341">
      <c r="A2341" s="9"/>
      <c r="B2341" s="15"/>
      <c r="C2341" s="9">
        <f>IFERROR(__xludf.DUMMYFUNCTION("""COMPUTED_VALUE"""),44487.2873772453)</f>
        <v>44487.28738</v>
      </c>
      <c r="D2341" s="15">
        <f>IFERROR(__xludf.DUMMYFUNCTION("""COMPUTED_VALUE"""),1.053)</f>
        <v>1.053</v>
      </c>
      <c r="E2341" s="16">
        <f>IFERROR(__xludf.DUMMYFUNCTION("""COMPUTED_VALUE"""),63.0)</f>
        <v>63</v>
      </c>
      <c r="F2341" s="19" t="str">
        <f>IFERROR(__xludf.DUMMYFUNCTION("""COMPUTED_VALUE"""),"BLACK")</f>
        <v>BLACK</v>
      </c>
      <c r="G2341" s="20" t="str">
        <f>IFERROR(__xludf.DUMMYFUNCTION("""COMPUTED_VALUE"""),"Tap 6 Clone (10/15/2021)")</f>
        <v>Tap 6 Clone (10/15/2021)</v>
      </c>
      <c r="H2341" s="19"/>
    </row>
    <row r="2342">
      <c r="A2342" s="9"/>
      <c r="B2342" s="15"/>
      <c r="C2342" s="9">
        <f>IFERROR(__xludf.DUMMYFUNCTION("""COMPUTED_VALUE"""),44487.2769572685)</f>
        <v>44487.27696</v>
      </c>
      <c r="D2342" s="15">
        <f>IFERROR(__xludf.DUMMYFUNCTION("""COMPUTED_VALUE"""),1.053)</f>
        <v>1.053</v>
      </c>
      <c r="E2342" s="16">
        <f>IFERROR(__xludf.DUMMYFUNCTION("""COMPUTED_VALUE"""),63.0)</f>
        <v>63</v>
      </c>
      <c r="F2342" s="19" t="str">
        <f>IFERROR(__xludf.DUMMYFUNCTION("""COMPUTED_VALUE"""),"BLACK")</f>
        <v>BLACK</v>
      </c>
      <c r="G2342" s="20" t="str">
        <f>IFERROR(__xludf.DUMMYFUNCTION("""COMPUTED_VALUE"""),"Tap 6 Clone (10/15/2021)")</f>
        <v>Tap 6 Clone (10/15/2021)</v>
      </c>
      <c r="H2342" s="19"/>
    </row>
    <row r="2343">
      <c r="A2343" s="9"/>
      <c r="B2343" s="15"/>
      <c r="C2343" s="9">
        <f>IFERROR(__xludf.DUMMYFUNCTION("""COMPUTED_VALUE"""),44487.2665359375)</f>
        <v>44487.26654</v>
      </c>
      <c r="D2343" s="15">
        <f>IFERROR(__xludf.DUMMYFUNCTION("""COMPUTED_VALUE"""),1.053)</f>
        <v>1.053</v>
      </c>
      <c r="E2343" s="16">
        <f>IFERROR(__xludf.DUMMYFUNCTION("""COMPUTED_VALUE"""),63.0)</f>
        <v>63</v>
      </c>
      <c r="F2343" s="19" t="str">
        <f>IFERROR(__xludf.DUMMYFUNCTION("""COMPUTED_VALUE"""),"BLACK")</f>
        <v>BLACK</v>
      </c>
      <c r="G2343" s="20" t="str">
        <f>IFERROR(__xludf.DUMMYFUNCTION("""COMPUTED_VALUE"""),"Tap 6 Clone (10/15/2021)")</f>
        <v>Tap 6 Clone (10/15/2021)</v>
      </c>
      <c r="H2343" s="19"/>
    </row>
    <row r="2344">
      <c r="A2344" s="9"/>
      <c r="B2344" s="15"/>
      <c r="C2344" s="9">
        <f>IFERROR(__xludf.DUMMYFUNCTION("""COMPUTED_VALUE"""),44487.2561165856)</f>
        <v>44487.25612</v>
      </c>
      <c r="D2344" s="15">
        <f>IFERROR(__xludf.DUMMYFUNCTION("""COMPUTED_VALUE"""),1.053)</f>
        <v>1.053</v>
      </c>
      <c r="E2344" s="16">
        <f>IFERROR(__xludf.DUMMYFUNCTION("""COMPUTED_VALUE"""),63.0)</f>
        <v>63</v>
      </c>
      <c r="F2344" s="19" t="str">
        <f>IFERROR(__xludf.DUMMYFUNCTION("""COMPUTED_VALUE"""),"BLACK")</f>
        <v>BLACK</v>
      </c>
      <c r="G2344" s="20" t="str">
        <f>IFERROR(__xludf.DUMMYFUNCTION("""COMPUTED_VALUE"""),"Tap 6 Clone (10/15/2021)")</f>
        <v>Tap 6 Clone (10/15/2021)</v>
      </c>
      <c r="H2344" s="19"/>
    </row>
    <row r="2345">
      <c r="A2345" s="9"/>
      <c r="B2345" s="15"/>
      <c r="C2345" s="9">
        <f>IFERROR(__xludf.DUMMYFUNCTION("""COMPUTED_VALUE"""),44487.2456930902)</f>
        <v>44487.24569</v>
      </c>
      <c r="D2345" s="15">
        <f>IFERROR(__xludf.DUMMYFUNCTION("""COMPUTED_VALUE"""),1.053)</f>
        <v>1.053</v>
      </c>
      <c r="E2345" s="16">
        <f>IFERROR(__xludf.DUMMYFUNCTION("""COMPUTED_VALUE"""),63.0)</f>
        <v>63</v>
      </c>
      <c r="F2345" s="19" t="str">
        <f>IFERROR(__xludf.DUMMYFUNCTION("""COMPUTED_VALUE"""),"BLACK")</f>
        <v>BLACK</v>
      </c>
      <c r="G2345" s="20" t="str">
        <f>IFERROR(__xludf.DUMMYFUNCTION("""COMPUTED_VALUE"""),"Tap 6 Clone (10/15/2021)")</f>
        <v>Tap 6 Clone (10/15/2021)</v>
      </c>
      <c r="H2345" s="19"/>
    </row>
    <row r="2346">
      <c r="A2346" s="9"/>
      <c r="B2346" s="15"/>
      <c r="C2346" s="9">
        <f>IFERROR(__xludf.DUMMYFUNCTION("""COMPUTED_VALUE"""),44487.2352607986)</f>
        <v>44487.23526</v>
      </c>
      <c r="D2346" s="15">
        <f>IFERROR(__xludf.DUMMYFUNCTION("""COMPUTED_VALUE"""),1.053)</f>
        <v>1.053</v>
      </c>
      <c r="E2346" s="16">
        <f>IFERROR(__xludf.DUMMYFUNCTION("""COMPUTED_VALUE"""),63.0)</f>
        <v>63</v>
      </c>
      <c r="F2346" s="19" t="str">
        <f>IFERROR(__xludf.DUMMYFUNCTION("""COMPUTED_VALUE"""),"BLACK")</f>
        <v>BLACK</v>
      </c>
      <c r="G2346" s="20" t="str">
        <f>IFERROR(__xludf.DUMMYFUNCTION("""COMPUTED_VALUE"""),"Tap 6 Clone (10/15/2021)")</f>
        <v>Tap 6 Clone (10/15/2021)</v>
      </c>
      <c r="H2346" s="19"/>
    </row>
    <row r="2347">
      <c r="A2347" s="9"/>
      <c r="B2347" s="15"/>
      <c r="C2347" s="9">
        <f>IFERROR(__xludf.DUMMYFUNCTION("""COMPUTED_VALUE"""),44487.2248402777)</f>
        <v>44487.22484</v>
      </c>
      <c r="D2347" s="15">
        <f>IFERROR(__xludf.DUMMYFUNCTION("""COMPUTED_VALUE"""),1.053)</f>
        <v>1.053</v>
      </c>
      <c r="E2347" s="16">
        <f>IFERROR(__xludf.DUMMYFUNCTION("""COMPUTED_VALUE"""),63.0)</f>
        <v>63</v>
      </c>
      <c r="F2347" s="19" t="str">
        <f>IFERROR(__xludf.DUMMYFUNCTION("""COMPUTED_VALUE"""),"BLACK")</f>
        <v>BLACK</v>
      </c>
      <c r="G2347" s="20" t="str">
        <f>IFERROR(__xludf.DUMMYFUNCTION("""COMPUTED_VALUE"""),"Tap 6 Clone (10/15/2021)")</f>
        <v>Tap 6 Clone (10/15/2021)</v>
      </c>
      <c r="H2347" s="19"/>
    </row>
    <row r="2348">
      <c r="A2348" s="9"/>
      <c r="B2348" s="15"/>
      <c r="C2348" s="9">
        <f>IFERROR(__xludf.DUMMYFUNCTION("""COMPUTED_VALUE"""),44487.2144180555)</f>
        <v>44487.21442</v>
      </c>
      <c r="D2348" s="15">
        <f>IFERROR(__xludf.DUMMYFUNCTION("""COMPUTED_VALUE"""),1.053)</f>
        <v>1.053</v>
      </c>
      <c r="E2348" s="16">
        <f>IFERROR(__xludf.DUMMYFUNCTION("""COMPUTED_VALUE"""),63.0)</f>
        <v>63</v>
      </c>
      <c r="F2348" s="19" t="str">
        <f>IFERROR(__xludf.DUMMYFUNCTION("""COMPUTED_VALUE"""),"BLACK")</f>
        <v>BLACK</v>
      </c>
      <c r="G2348" s="20" t="str">
        <f>IFERROR(__xludf.DUMMYFUNCTION("""COMPUTED_VALUE"""),"Tap 6 Clone (10/15/2021)")</f>
        <v>Tap 6 Clone (10/15/2021)</v>
      </c>
      <c r="H2348" s="19"/>
    </row>
    <row r="2349">
      <c r="A2349" s="9"/>
      <c r="B2349" s="15"/>
      <c r="C2349" s="9">
        <f>IFERROR(__xludf.DUMMYFUNCTION("""COMPUTED_VALUE"""),44487.2039966203)</f>
        <v>44487.204</v>
      </c>
      <c r="D2349" s="15">
        <f>IFERROR(__xludf.DUMMYFUNCTION("""COMPUTED_VALUE"""),1.053)</f>
        <v>1.053</v>
      </c>
      <c r="E2349" s="16">
        <f>IFERROR(__xludf.DUMMYFUNCTION("""COMPUTED_VALUE"""),63.0)</f>
        <v>63</v>
      </c>
      <c r="F2349" s="19" t="str">
        <f>IFERROR(__xludf.DUMMYFUNCTION("""COMPUTED_VALUE"""),"BLACK")</f>
        <v>BLACK</v>
      </c>
      <c r="G2349" s="20" t="str">
        <f>IFERROR(__xludf.DUMMYFUNCTION("""COMPUTED_VALUE"""),"Tap 6 Clone (10/15/2021)")</f>
        <v>Tap 6 Clone (10/15/2021)</v>
      </c>
      <c r="H2349" s="19"/>
    </row>
    <row r="2350">
      <c r="A2350" s="9"/>
      <c r="B2350" s="15"/>
      <c r="C2350" s="9">
        <f>IFERROR(__xludf.DUMMYFUNCTION("""COMPUTED_VALUE"""),44487.1935744444)</f>
        <v>44487.19357</v>
      </c>
      <c r="D2350" s="15">
        <f>IFERROR(__xludf.DUMMYFUNCTION("""COMPUTED_VALUE"""),1.053)</f>
        <v>1.053</v>
      </c>
      <c r="E2350" s="16">
        <f>IFERROR(__xludf.DUMMYFUNCTION("""COMPUTED_VALUE"""),63.0)</f>
        <v>63</v>
      </c>
      <c r="F2350" s="19" t="str">
        <f>IFERROR(__xludf.DUMMYFUNCTION("""COMPUTED_VALUE"""),"BLACK")</f>
        <v>BLACK</v>
      </c>
      <c r="G2350" s="20" t="str">
        <f>IFERROR(__xludf.DUMMYFUNCTION("""COMPUTED_VALUE"""),"Tap 6 Clone (10/15/2021)")</f>
        <v>Tap 6 Clone (10/15/2021)</v>
      </c>
      <c r="H2350" s="19"/>
    </row>
    <row r="2351">
      <c r="A2351" s="9"/>
      <c r="B2351" s="15"/>
      <c r="C2351" s="9">
        <f>IFERROR(__xludf.DUMMYFUNCTION("""COMPUTED_VALUE"""),44487.1831526504)</f>
        <v>44487.18315</v>
      </c>
      <c r="D2351" s="15">
        <f>IFERROR(__xludf.DUMMYFUNCTION("""COMPUTED_VALUE"""),1.053)</f>
        <v>1.053</v>
      </c>
      <c r="E2351" s="16">
        <f>IFERROR(__xludf.DUMMYFUNCTION("""COMPUTED_VALUE"""),63.0)</f>
        <v>63</v>
      </c>
      <c r="F2351" s="19" t="str">
        <f>IFERROR(__xludf.DUMMYFUNCTION("""COMPUTED_VALUE"""),"BLACK")</f>
        <v>BLACK</v>
      </c>
      <c r="G2351" s="20" t="str">
        <f>IFERROR(__xludf.DUMMYFUNCTION("""COMPUTED_VALUE"""),"Tap 6 Clone (10/15/2021)")</f>
        <v>Tap 6 Clone (10/15/2021)</v>
      </c>
      <c r="H2351" s="19"/>
    </row>
    <row r="2352">
      <c r="A2352" s="9"/>
      <c r="B2352" s="15"/>
      <c r="C2352" s="9">
        <f>IFERROR(__xludf.DUMMYFUNCTION("""COMPUTED_VALUE"""),44487.1727310995)</f>
        <v>44487.17273</v>
      </c>
      <c r="D2352" s="15">
        <f>IFERROR(__xludf.DUMMYFUNCTION("""COMPUTED_VALUE"""),1.053)</f>
        <v>1.053</v>
      </c>
      <c r="E2352" s="16">
        <f>IFERROR(__xludf.DUMMYFUNCTION("""COMPUTED_VALUE"""),63.0)</f>
        <v>63</v>
      </c>
      <c r="F2352" s="19" t="str">
        <f>IFERROR(__xludf.DUMMYFUNCTION("""COMPUTED_VALUE"""),"BLACK")</f>
        <v>BLACK</v>
      </c>
      <c r="G2352" s="20" t="str">
        <f>IFERROR(__xludf.DUMMYFUNCTION("""COMPUTED_VALUE"""),"Tap 6 Clone (10/15/2021)")</f>
        <v>Tap 6 Clone (10/15/2021)</v>
      </c>
      <c r="H2352" s="19"/>
    </row>
    <row r="2353">
      <c r="A2353" s="9"/>
      <c r="B2353" s="15"/>
      <c r="C2353" s="9">
        <f>IFERROR(__xludf.DUMMYFUNCTION("""COMPUTED_VALUE"""),44487.1623113657)</f>
        <v>44487.16231</v>
      </c>
      <c r="D2353" s="15">
        <f>IFERROR(__xludf.DUMMYFUNCTION("""COMPUTED_VALUE"""),1.053)</f>
        <v>1.053</v>
      </c>
      <c r="E2353" s="16">
        <f>IFERROR(__xludf.DUMMYFUNCTION("""COMPUTED_VALUE"""),63.0)</f>
        <v>63</v>
      </c>
      <c r="F2353" s="19" t="str">
        <f>IFERROR(__xludf.DUMMYFUNCTION("""COMPUTED_VALUE"""),"BLACK")</f>
        <v>BLACK</v>
      </c>
      <c r="G2353" s="20" t="str">
        <f>IFERROR(__xludf.DUMMYFUNCTION("""COMPUTED_VALUE"""),"Tap 6 Clone (10/15/2021)")</f>
        <v>Tap 6 Clone (10/15/2021)</v>
      </c>
      <c r="H2353" s="19"/>
    </row>
    <row r="2354">
      <c r="A2354" s="9"/>
      <c r="B2354" s="15"/>
      <c r="C2354" s="9">
        <f>IFERROR(__xludf.DUMMYFUNCTION("""COMPUTED_VALUE"""),44487.1518782986)</f>
        <v>44487.15188</v>
      </c>
      <c r="D2354" s="15">
        <f>IFERROR(__xludf.DUMMYFUNCTION("""COMPUTED_VALUE"""),1.053)</f>
        <v>1.053</v>
      </c>
      <c r="E2354" s="16">
        <f>IFERROR(__xludf.DUMMYFUNCTION("""COMPUTED_VALUE"""),63.0)</f>
        <v>63</v>
      </c>
      <c r="F2354" s="19" t="str">
        <f>IFERROR(__xludf.DUMMYFUNCTION("""COMPUTED_VALUE"""),"BLACK")</f>
        <v>BLACK</v>
      </c>
      <c r="G2354" s="20" t="str">
        <f>IFERROR(__xludf.DUMMYFUNCTION("""COMPUTED_VALUE"""),"Tap 6 Clone (10/15/2021)")</f>
        <v>Tap 6 Clone (10/15/2021)</v>
      </c>
      <c r="H2354" s="19"/>
    </row>
    <row r="2355">
      <c r="A2355" s="9"/>
      <c r="B2355" s="15"/>
      <c r="C2355" s="9">
        <f>IFERROR(__xludf.DUMMYFUNCTION("""COMPUTED_VALUE"""),44487.14145728)</f>
        <v>44487.14146</v>
      </c>
      <c r="D2355" s="15">
        <f>IFERROR(__xludf.DUMMYFUNCTION("""COMPUTED_VALUE"""),1.053)</f>
        <v>1.053</v>
      </c>
      <c r="E2355" s="16">
        <f>IFERROR(__xludf.DUMMYFUNCTION("""COMPUTED_VALUE"""),63.0)</f>
        <v>63</v>
      </c>
      <c r="F2355" s="19" t="str">
        <f>IFERROR(__xludf.DUMMYFUNCTION("""COMPUTED_VALUE"""),"BLACK")</f>
        <v>BLACK</v>
      </c>
      <c r="G2355" s="20" t="str">
        <f>IFERROR(__xludf.DUMMYFUNCTION("""COMPUTED_VALUE"""),"Tap 6 Clone (10/15/2021)")</f>
        <v>Tap 6 Clone (10/15/2021)</v>
      </c>
      <c r="H2355" s="19"/>
    </row>
    <row r="2356">
      <c r="A2356" s="9"/>
      <c r="B2356" s="15"/>
      <c r="C2356" s="9">
        <f>IFERROR(__xludf.DUMMYFUNCTION("""COMPUTED_VALUE"""),44487.131023993)</f>
        <v>44487.13102</v>
      </c>
      <c r="D2356" s="15">
        <f>IFERROR(__xludf.DUMMYFUNCTION("""COMPUTED_VALUE"""),1.053)</f>
        <v>1.053</v>
      </c>
      <c r="E2356" s="16">
        <f>IFERROR(__xludf.DUMMYFUNCTION("""COMPUTED_VALUE"""),63.0)</f>
        <v>63</v>
      </c>
      <c r="F2356" s="19" t="str">
        <f>IFERROR(__xludf.DUMMYFUNCTION("""COMPUTED_VALUE"""),"BLACK")</f>
        <v>BLACK</v>
      </c>
      <c r="G2356" s="20" t="str">
        <f>IFERROR(__xludf.DUMMYFUNCTION("""COMPUTED_VALUE"""),"Tap 6 Clone (10/15/2021)")</f>
        <v>Tap 6 Clone (10/15/2021)</v>
      </c>
      <c r="H2356" s="19"/>
    </row>
    <row r="2357">
      <c r="A2357" s="9"/>
      <c r="B2357" s="15"/>
      <c r="C2357" s="9">
        <f>IFERROR(__xludf.DUMMYFUNCTION("""COMPUTED_VALUE"""),44487.1205789351)</f>
        <v>44487.12058</v>
      </c>
      <c r="D2357" s="15">
        <f>IFERROR(__xludf.DUMMYFUNCTION("""COMPUTED_VALUE"""),1.053)</f>
        <v>1.053</v>
      </c>
      <c r="E2357" s="16">
        <f>IFERROR(__xludf.DUMMYFUNCTION("""COMPUTED_VALUE"""),63.0)</f>
        <v>63</v>
      </c>
      <c r="F2357" s="19" t="str">
        <f>IFERROR(__xludf.DUMMYFUNCTION("""COMPUTED_VALUE"""),"BLACK")</f>
        <v>BLACK</v>
      </c>
      <c r="G2357" s="20" t="str">
        <f>IFERROR(__xludf.DUMMYFUNCTION("""COMPUTED_VALUE"""),"Tap 6 Clone (10/15/2021)")</f>
        <v>Tap 6 Clone (10/15/2021)</v>
      </c>
      <c r="H2357" s="19"/>
    </row>
    <row r="2358">
      <c r="A2358" s="9"/>
      <c r="B2358" s="15"/>
      <c r="C2358" s="9">
        <f>IFERROR(__xludf.DUMMYFUNCTION("""COMPUTED_VALUE"""),44487.1101566435)</f>
        <v>44487.11016</v>
      </c>
      <c r="D2358" s="15">
        <f>IFERROR(__xludf.DUMMYFUNCTION("""COMPUTED_VALUE"""),1.053)</f>
        <v>1.053</v>
      </c>
      <c r="E2358" s="16">
        <f>IFERROR(__xludf.DUMMYFUNCTION("""COMPUTED_VALUE"""),63.0)</f>
        <v>63</v>
      </c>
      <c r="F2358" s="19" t="str">
        <f>IFERROR(__xludf.DUMMYFUNCTION("""COMPUTED_VALUE"""),"BLACK")</f>
        <v>BLACK</v>
      </c>
      <c r="G2358" s="20" t="str">
        <f>IFERROR(__xludf.DUMMYFUNCTION("""COMPUTED_VALUE"""),"Tap 6 Clone (10/15/2021)")</f>
        <v>Tap 6 Clone (10/15/2021)</v>
      </c>
      <c r="H2358" s="19"/>
    </row>
    <row r="2359">
      <c r="A2359" s="9"/>
      <c r="B2359" s="15"/>
      <c r="C2359" s="9">
        <f>IFERROR(__xludf.DUMMYFUNCTION("""COMPUTED_VALUE"""),44487.0997341782)</f>
        <v>44487.09973</v>
      </c>
      <c r="D2359" s="15">
        <f>IFERROR(__xludf.DUMMYFUNCTION("""COMPUTED_VALUE"""),1.053)</f>
        <v>1.053</v>
      </c>
      <c r="E2359" s="16">
        <f>IFERROR(__xludf.DUMMYFUNCTION("""COMPUTED_VALUE"""),63.0)</f>
        <v>63</v>
      </c>
      <c r="F2359" s="19" t="str">
        <f>IFERROR(__xludf.DUMMYFUNCTION("""COMPUTED_VALUE"""),"BLACK")</f>
        <v>BLACK</v>
      </c>
      <c r="G2359" s="20" t="str">
        <f>IFERROR(__xludf.DUMMYFUNCTION("""COMPUTED_VALUE"""),"Tap 6 Clone (10/15/2021)")</f>
        <v>Tap 6 Clone (10/15/2021)</v>
      </c>
      <c r="H2359" s="19"/>
    </row>
    <row r="2360">
      <c r="A2360" s="9"/>
      <c r="B2360" s="15"/>
      <c r="C2360" s="9">
        <f>IFERROR(__xludf.DUMMYFUNCTION("""COMPUTED_VALUE"""),44487.0892916319)</f>
        <v>44487.08929</v>
      </c>
      <c r="D2360" s="15">
        <f>IFERROR(__xludf.DUMMYFUNCTION("""COMPUTED_VALUE"""),1.053)</f>
        <v>1.053</v>
      </c>
      <c r="E2360" s="16">
        <f>IFERROR(__xludf.DUMMYFUNCTION("""COMPUTED_VALUE"""),63.0)</f>
        <v>63</v>
      </c>
      <c r="F2360" s="19" t="str">
        <f>IFERROR(__xludf.DUMMYFUNCTION("""COMPUTED_VALUE"""),"BLACK")</f>
        <v>BLACK</v>
      </c>
      <c r="G2360" s="20" t="str">
        <f>IFERROR(__xludf.DUMMYFUNCTION("""COMPUTED_VALUE"""),"Tap 6 Clone (10/15/2021)")</f>
        <v>Tap 6 Clone (10/15/2021)</v>
      </c>
      <c r="H2360" s="19"/>
    </row>
    <row r="2361">
      <c r="A2361" s="9"/>
      <c r="B2361" s="15"/>
      <c r="C2361" s="9">
        <f>IFERROR(__xludf.DUMMYFUNCTION("""COMPUTED_VALUE"""),44487.0788699768)</f>
        <v>44487.07887</v>
      </c>
      <c r="D2361" s="15">
        <f>IFERROR(__xludf.DUMMYFUNCTION("""COMPUTED_VALUE"""),1.053)</f>
        <v>1.053</v>
      </c>
      <c r="E2361" s="16">
        <f>IFERROR(__xludf.DUMMYFUNCTION("""COMPUTED_VALUE"""),63.0)</f>
        <v>63</v>
      </c>
      <c r="F2361" s="19" t="str">
        <f>IFERROR(__xludf.DUMMYFUNCTION("""COMPUTED_VALUE"""),"BLACK")</f>
        <v>BLACK</v>
      </c>
      <c r="G2361" s="20" t="str">
        <f>IFERROR(__xludf.DUMMYFUNCTION("""COMPUTED_VALUE"""),"Tap 6 Clone (10/15/2021)")</f>
        <v>Tap 6 Clone (10/15/2021)</v>
      </c>
      <c r="H2361" s="19"/>
    </row>
    <row r="2362">
      <c r="A2362" s="9"/>
      <c r="B2362" s="15"/>
      <c r="C2362" s="9">
        <f>IFERROR(__xludf.DUMMYFUNCTION("""COMPUTED_VALUE"""),44487.0684373148)</f>
        <v>44487.06844</v>
      </c>
      <c r="D2362" s="15">
        <f>IFERROR(__xludf.DUMMYFUNCTION("""COMPUTED_VALUE"""),1.053)</f>
        <v>1.053</v>
      </c>
      <c r="E2362" s="16">
        <f>IFERROR(__xludf.DUMMYFUNCTION("""COMPUTED_VALUE"""),63.0)</f>
        <v>63</v>
      </c>
      <c r="F2362" s="19" t="str">
        <f>IFERROR(__xludf.DUMMYFUNCTION("""COMPUTED_VALUE"""),"BLACK")</f>
        <v>BLACK</v>
      </c>
      <c r="G2362" s="20" t="str">
        <f>IFERROR(__xludf.DUMMYFUNCTION("""COMPUTED_VALUE"""),"Tap 6 Clone (10/15/2021)")</f>
        <v>Tap 6 Clone (10/15/2021)</v>
      </c>
      <c r="H2362" s="19"/>
    </row>
    <row r="2363">
      <c r="A2363" s="9"/>
      <c r="B2363" s="15"/>
      <c r="C2363" s="9">
        <f>IFERROR(__xludf.DUMMYFUNCTION("""COMPUTED_VALUE"""),44487.0580168634)</f>
        <v>44487.05802</v>
      </c>
      <c r="D2363" s="15">
        <f>IFERROR(__xludf.DUMMYFUNCTION("""COMPUTED_VALUE"""),1.053)</f>
        <v>1.053</v>
      </c>
      <c r="E2363" s="16">
        <f>IFERROR(__xludf.DUMMYFUNCTION("""COMPUTED_VALUE"""),63.0)</f>
        <v>63</v>
      </c>
      <c r="F2363" s="19" t="str">
        <f>IFERROR(__xludf.DUMMYFUNCTION("""COMPUTED_VALUE"""),"BLACK")</f>
        <v>BLACK</v>
      </c>
      <c r="G2363" s="20" t="str">
        <f>IFERROR(__xludf.DUMMYFUNCTION("""COMPUTED_VALUE"""),"Tap 6 Clone (10/15/2021)")</f>
        <v>Tap 6 Clone (10/15/2021)</v>
      </c>
      <c r="H2363" s="19"/>
    </row>
    <row r="2364">
      <c r="A2364" s="9"/>
      <c r="B2364" s="15"/>
      <c r="C2364" s="9">
        <f>IFERROR(__xludf.DUMMYFUNCTION("""COMPUTED_VALUE"""),44487.0475943634)</f>
        <v>44487.04759</v>
      </c>
      <c r="D2364" s="15">
        <f>IFERROR(__xludf.DUMMYFUNCTION("""COMPUTED_VALUE"""),1.054)</f>
        <v>1.054</v>
      </c>
      <c r="E2364" s="16">
        <f>IFERROR(__xludf.DUMMYFUNCTION("""COMPUTED_VALUE"""),63.0)</f>
        <v>63</v>
      </c>
      <c r="F2364" s="19" t="str">
        <f>IFERROR(__xludf.DUMMYFUNCTION("""COMPUTED_VALUE"""),"BLACK")</f>
        <v>BLACK</v>
      </c>
      <c r="G2364" s="20" t="str">
        <f>IFERROR(__xludf.DUMMYFUNCTION("""COMPUTED_VALUE"""),"Tap 6 Clone (10/15/2021)")</f>
        <v>Tap 6 Clone (10/15/2021)</v>
      </c>
      <c r="H2364" s="19"/>
    </row>
    <row r="2365">
      <c r="A2365" s="9"/>
      <c r="B2365" s="15"/>
      <c r="C2365" s="9">
        <f>IFERROR(__xludf.DUMMYFUNCTION("""COMPUTED_VALUE"""),44487.0371754629)</f>
        <v>44487.03718</v>
      </c>
      <c r="D2365" s="15">
        <f>IFERROR(__xludf.DUMMYFUNCTION("""COMPUTED_VALUE"""),1.053)</f>
        <v>1.053</v>
      </c>
      <c r="E2365" s="16">
        <f>IFERROR(__xludf.DUMMYFUNCTION("""COMPUTED_VALUE"""),63.0)</f>
        <v>63</v>
      </c>
      <c r="F2365" s="19" t="str">
        <f>IFERROR(__xludf.DUMMYFUNCTION("""COMPUTED_VALUE"""),"BLACK")</f>
        <v>BLACK</v>
      </c>
      <c r="G2365" s="20" t="str">
        <f>IFERROR(__xludf.DUMMYFUNCTION("""COMPUTED_VALUE"""),"Tap 6 Clone (10/15/2021)")</f>
        <v>Tap 6 Clone (10/15/2021)</v>
      </c>
      <c r="H2365" s="19"/>
    </row>
    <row r="2366">
      <c r="A2366" s="9"/>
      <c r="B2366" s="15"/>
      <c r="C2366" s="9">
        <f>IFERROR(__xludf.DUMMYFUNCTION("""COMPUTED_VALUE"""),44487.0267430555)</f>
        <v>44487.02674</v>
      </c>
      <c r="D2366" s="15">
        <f>IFERROR(__xludf.DUMMYFUNCTION("""COMPUTED_VALUE"""),1.054)</f>
        <v>1.054</v>
      </c>
      <c r="E2366" s="16">
        <f>IFERROR(__xludf.DUMMYFUNCTION("""COMPUTED_VALUE"""),63.0)</f>
        <v>63</v>
      </c>
      <c r="F2366" s="19" t="str">
        <f>IFERROR(__xludf.DUMMYFUNCTION("""COMPUTED_VALUE"""),"BLACK")</f>
        <v>BLACK</v>
      </c>
      <c r="G2366" s="20" t="str">
        <f>IFERROR(__xludf.DUMMYFUNCTION("""COMPUTED_VALUE"""),"Tap 6 Clone (10/15/2021)")</f>
        <v>Tap 6 Clone (10/15/2021)</v>
      </c>
      <c r="H2366" s="19"/>
    </row>
    <row r="2367">
      <c r="A2367" s="9"/>
      <c r="B2367" s="15"/>
      <c r="C2367" s="9">
        <f>IFERROR(__xludf.DUMMYFUNCTION("""COMPUTED_VALUE"""),44487.0163210069)</f>
        <v>44487.01632</v>
      </c>
      <c r="D2367" s="15">
        <f>IFERROR(__xludf.DUMMYFUNCTION("""COMPUTED_VALUE"""),1.054)</f>
        <v>1.054</v>
      </c>
      <c r="E2367" s="16">
        <f>IFERROR(__xludf.DUMMYFUNCTION("""COMPUTED_VALUE"""),63.0)</f>
        <v>63</v>
      </c>
      <c r="F2367" s="19" t="str">
        <f>IFERROR(__xludf.DUMMYFUNCTION("""COMPUTED_VALUE"""),"BLACK")</f>
        <v>BLACK</v>
      </c>
      <c r="G2367" s="20" t="str">
        <f>IFERROR(__xludf.DUMMYFUNCTION("""COMPUTED_VALUE"""),"Tap 6 Clone (10/15/2021)")</f>
        <v>Tap 6 Clone (10/15/2021)</v>
      </c>
      <c r="H2367" s="19"/>
    </row>
    <row r="2368">
      <c r="A2368" s="9"/>
      <c r="B2368" s="15"/>
      <c r="C2368" s="9">
        <f>IFERROR(__xludf.DUMMYFUNCTION("""COMPUTED_VALUE"""),44487.0058990972)</f>
        <v>44487.0059</v>
      </c>
      <c r="D2368" s="15">
        <f>IFERROR(__xludf.DUMMYFUNCTION("""COMPUTED_VALUE"""),1.054)</f>
        <v>1.054</v>
      </c>
      <c r="E2368" s="16">
        <f>IFERROR(__xludf.DUMMYFUNCTION("""COMPUTED_VALUE"""),63.0)</f>
        <v>63</v>
      </c>
      <c r="F2368" s="19" t="str">
        <f>IFERROR(__xludf.DUMMYFUNCTION("""COMPUTED_VALUE"""),"BLACK")</f>
        <v>BLACK</v>
      </c>
      <c r="G2368" s="20" t="str">
        <f>IFERROR(__xludf.DUMMYFUNCTION("""COMPUTED_VALUE"""),"Tap 6 Clone (10/15/2021)")</f>
        <v>Tap 6 Clone (10/15/2021)</v>
      </c>
      <c r="H2368" s="19"/>
    </row>
    <row r="2369">
      <c r="A2369" s="9"/>
      <c r="B2369" s="15"/>
      <c r="C2369" s="9">
        <f>IFERROR(__xludf.DUMMYFUNCTION("""COMPUTED_VALUE"""),44486.9954768634)</f>
        <v>44486.99548</v>
      </c>
      <c r="D2369" s="15">
        <f>IFERROR(__xludf.DUMMYFUNCTION("""COMPUTED_VALUE"""),1.053)</f>
        <v>1.053</v>
      </c>
      <c r="E2369" s="16">
        <f>IFERROR(__xludf.DUMMYFUNCTION("""COMPUTED_VALUE"""),62.0)</f>
        <v>62</v>
      </c>
      <c r="F2369" s="19" t="str">
        <f>IFERROR(__xludf.DUMMYFUNCTION("""COMPUTED_VALUE"""),"BLACK")</f>
        <v>BLACK</v>
      </c>
      <c r="G2369" s="20" t="str">
        <f>IFERROR(__xludf.DUMMYFUNCTION("""COMPUTED_VALUE"""),"Tap 6 Clone (10/15/2021)")</f>
        <v>Tap 6 Clone (10/15/2021)</v>
      </c>
      <c r="H2369" s="19"/>
    </row>
    <row r="2370">
      <c r="A2370" s="9"/>
      <c r="B2370" s="15"/>
      <c r="C2370" s="9">
        <f>IFERROR(__xludf.DUMMYFUNCTION("""COMPUTED_VALUE"""),44486.9850551273)</f>
        <v>44486.98506</v>
      </c>
      <c r="D2370" s="15">
        <f>IFERROR(__xludf.DUMMYFUNCTION("""COMPUTED_VALUE"""),1.054)</f>
        <v>1.054</v>
      </c>
      <c r="E2370" s="16">
        <f>IFERROR(__xludf.DUMMYFUNCTION("""COMPUTED_VALUE"""),62.0)</f>
        <v>62</v>
      </c>
      <c r="F2370" s="19" t="str">
        <f>IFERROR(__xludf.DUMMYFUNCTION("""COMPUTED_VALUE"""),"BLACK")</f>
        <v>BLACK</v>
      </c>
      <c r="G2370" s="20" t="str">
        <f>IFERROR(__xludf.DUMMYFUNCTION("""COMPUTED_VALUE"""),"Tap 6 Clone (10/15/2021)")</f>
        <v>Tap 6 Clone (10/15/2021)</v>
      </c>
      <c r="H2370" s="19"/>
    </row>
    <row r="2371">
      <c r="A2371" s="9"/>
      <c r="B2371" s="15"/>
      <c r="C2371" s="9">
        <f>IFERROR(__xludf.DUMMYFUNCTION("""COMPUTED_VALUE"""),44486.9746326851)</f>
        <v>44486.97463</v>
      </c>
      <c r="D2371" s="15">
        <f>IFERROR(__xludf.DUMMYFUNCTION("""COMPUTED_VALUE"""),1.054)</f>
        <v>1.054</v>
      </c>
      <c r="E2371" s="16">
        <f>IFERROR(__xludf.DUMMYFUNCTION("""COMPUTED_VALUE"""),62.0)</f>
        <v>62</v>
      </c>
      <c r="F2371" s="19" t="str">
        <f>IFERROR(__xludf.DUMMYFUNCTION("""COMPUTED_VALUE"""),"BLACK")</f>
        <v>BLACK</v>
      </c>
      <c r="G2371" s="20" t="str">
        <f>IFERROR(__xludf.DUMMYFUNCTION("""COMPUTED_VALUE"""),"Tap 6 Clone (10/15/2021)")</f>
        <v>Tap 6 Clone (10/15/2021)</v>
      </c>
      <c r="H2371" s="19"/>
    </row>
    <row r="2372">
      <c r="A2372" s="9"/>
      <c r="B2372" s="15"/>
      <c r="C2372" s="9">
        <f>IFERROR(__xludf.DUMMYFUNCTION("""COMPUTED_VALUE"""),44486.9642129398)</f>
        <v>44486.96421</v>
      </c>
      <c r="D2372" s="15">
        <f>IFERROR(__xludf.DUMMYFUNCTION("""COMPUTED_VALUE"""),1.054)</f>
        <v>1.054</v>
      </c>
      <c r="E2372" s="16">
        <f>IFERROR(__xludf.DUMMYFUNCTION("""COMPUTED_VALUE"""),62.0)</f>
        <v>62</v>
      </c>
      <c r="F2372" s="19" t="str">
        <f>IFERROR(__xludf.DUMMYFUNCTION("""COMPUTED_VALUE"""),"BLACK")</f>
        <v>BLACK</v>
      </c>
      <c r="G2372" s="20" t="str">
        <f>IFERROR(__xludf.DUMMYFUNCTION("""COMPUTED_VALUE"""),"Tap 6 Clone (10/15/2021)")</f>
        <v>Tap 6 Clone (10/15/2021)</v>
      </c>
      <c r="H2372" s="19"/>
    </row>
    <row r="2373">
      <c r="A2373" s="9"/>
      <c r="B2373" s="15"/>
      <c r="C2373" s="9">
        <f>IFERROR(__xludf.DUMMYFUNCTION("""COMPUTED_VALUE"""),44486.9537913888)</f>
        <v>44486.95379</v>
      </c>
      <c r="D2373" s="15">
        <f>IFERROR(__xludf.DUMMYFUNCTION("""COMPUTED_VALUE"""),1.054)</f>
        <v>1.054</v>
      </c>
      <c r="E2373" s="16">
        <f>IFERROR(__xludf.DUMMYFUNCTION("""COMPUTED_VALUE"""),62.0)</f>
        <v>62</v>
      </c>
      <c r="F2373" s="19" t="str">
        <f>IFERROR(__xludf.DUMMYFUNCTION("""COMPUTED_VALUE"""),"BLACK")</f>
        <v>BLACK</v>
      </c>
      <c r="G2373" s="20" t="str">
        <f>IFERROR(__xludf.DUMMYFUNCTION("""COMPUTED_VALUE"""),"Tap 6 Clone (10/15/2021)")</f>
        <v>Tap 6 Clone (10/15/2021)</v>
      </c>
      <c r="H2373" s="19"/>
    </row>
    <row r="2374">
      <c r="A2374" s="9"/>
      <c r="B2374" s="15"/>
      <c r="C2374" s="9">
        <f>IFERROR(__xludf.DUMMYFUNCTION("""COMPUTED_VALUE"""),44486.9433702314)</f>
        <v>44486.94337</v>
      </c>
      <c r="D2374" s="15">
        <f>IFERROR(__xludf.DUMMYFUNCTION("""COMPUTED_VALUE"""),1.054)</f>
        <v>1.054</v>
      </c>
      <c r="E2374" s="16">
        <f>IFERROR(__xludf.DUMMYFUNCTION("""COMPUTED_VALUE"""),62.0)</f>
        <v>62</v>
      </c>
      <c r="F2374" s="19" t="str">
        <f>IFERROR(__xludf.DUMMYFUNCTION("""COMPUTED_VALUE"""),"BLACK")</f>
        <v>BLACK</v>
      </c>
      <c r="G2374" s="20" t="str">
        <f>IFERROR(__xludf.DUMMYFUNCTION("""COMPUTED_VALUE"""),"Tap 6 Clone (10/15/2021)")</f>
        <v>Tap 6 Clone (10/15/2021)</v>
      </c>
      <c r="H2374" s="19"/>
    </row>
    <row r="2375">
      <c r="A2375" s="9"/>
      <c r="B2375" s="15"/>
      <c r="C2375" s="9">
        <f>IFERROR(__xludf.DUMMYFUNCTION("""COMPUTED_VALUE"""),44486.9329481134)</f>
        <v>44486.93295</v>
      </c>
      <c r="D2375" s="15">
        <f>IFERROR(__xludf.DUMMYFUNCTION("""COMPUTED_VALUE"""),1.054)</f>
        <v>1.054</v>
      </c>
      <c r="E2375" s="16">
        <f>IFERROR(__xludf.DUMMYFUNCTION("""COMPUTED_VALUE"""),62.0)</f>
        <v>62</v>
      </c>
      <c r="F2375" s="19" t="str">
        <f>IFERROR(__xludf.DUMMYFUNCTION("""COMPUTED_VALUE"""),"BLACK")</f>
        <v>BLACK</v>
      </c>
      <c r="G2375" s="20" t="str">
        <f>IFERROR(__xludf.DUMMYFUNCTION("""COMPUTED_VALUE"""),"Tap 6 Clone (10/15/2021)")</f>
        <v>Tap 6 Clone (10/15/2021)</v>
      </c>
      <c r="H2375" s="19"/>
    </row>
    <row r="2376">
      <c r="A2376" s="9"/>
      <c r="B2376" s="15"/>
      <c r="C2376" s="9">
        <f>IFERROR(__xludf.DUMMYFUNCTION("""COMPUTED_VALUE"""),44486.9225148148)</f>
        <v>44486.92251</v>
      </c>
      <c r="D2376" s="15">
        <f>IFERROR(__xludf.DUMMYFUNCTION("""COMPUTED_VALUE"""),1.054)</f>
        <v>1.054</v>
      </c>
      <c r="E2376" s="16">
        <f>IFERROR(__xludf.DUMMYFUNCTION("""COMPUTED_VALUE"""),62.0)</f>
        <v>62</v>
      </c>
      <c r="F2376" s="19" t="str">
        <f>IFERROR(__xludf.DUMMYFUNCTION("""COMPUTED_VALUE"""),"BLACK")</f>
        <v>BLACK</v>
      </c>
      <c r="G2376" s="20" t="str">
        <f>IFERROR(__xludf.DUMMYFUNCTION("""COMPUTED_VALUE"""),"Tap 6 Clone (10/15/2021)")</f>
        <v>Tap 6 Clone (10/15/2021)</v>
      </c>
      <c r="H2376" s="19"/>
    </row>
    <row r="2377">
      <c r="A2377" s="9"/>
      <c r="B2377" s="15"/>
      <c r="C2377" s="9">
        <f>IFERROR(__xludf.DUMMYFUNCTION("""COMPUTED_VALUE"""),44486.9120823495)</f>
        <v>44486.91208</v>
      </c>
      <c r="D2377" s="15">
        <f>IFERROR(__xludf.DUMMYFUNCTION("""COMPUTED_VALUE"""),1.054)</f>
        <v>1.054</v>
      </c>
      <c r="E2377" s="16">
        <f>IFERROR(__xludf.DUMMYFUNCTION("""COMPUTED_VALUE"""),62.0)</f>
        <v>62</v>
      </c>
      <c r="F2377" s="19" t="str">
        <f>IFERROR(__xludf.DUMMYFUNCTION("""COMPUTED_VALUE"""),"BLACK")</f>
        <v>BLACK</v>
      </c>
      <c r="G2377" s="20" t="str">
        <f>IFERROR(__xludf.DUMMYFUNCTION("""COMPUTED_VALUE"""),"Tap 6 Clone (10/15/2021)")</f>
        <v>Tap 6 Clone (10/15/2021)</v>
      </c>
      <c r="H2377" s="19"/>
    </row>
    <row r="2378">
      <c r="A2378" s="9"/>
      <c r="B2378" s="15"/>
      <c r="C2378" s="9">
        <f>IFERROR(__xludf.DUMMYFUNCTION("""COMPUTED_VALUE"""),44486.9016611458)</f>
        <v>44486.90166</v>
      </c>
      <c r="D2378" s="15">
        <f>IFERROR(__xludf.DUMMYFUNCTION("""COMPUTED_VALUE"""),1.054)</f>
        <v>1.054</v>
      </c>
      <c r="E2378" s="16">
        <f>IFERROR(__xludf.DUMMYFUNCTION("""COMPUTED_VALUE"""),62.0)</f>
        <v>62</v>
      </c>
      <c r="F2378" s="19" t="str">
        <f>IFERROR(__xludf.DUMMYFUNCTION("""COMPUTED_VALUE"""),"BLACK")</f>
        <v>BLACK</v>
      </c>
      <c r="G2378" s="20" t="str">
        <f>IFERROR(__xludf.DUMMYFUNCTION("""COMPUTED_VALUE"""),"Tap 6 Clone (10/15/2021)")</f>
        <v>Tap 6 Clone (10/15/2021)</v>
      </c>
      <c r="H2378" s="19"/>
    </row>
    <row r="2379">
      <c r="A2379" s="9"/>
      <c r="B2379" s="15"/>
      <c r="C2379" s="9">
        <f>IFERROR(__xludf.DUMMYFUNCTION("""COMPUTED_VALUE"""),44486.8912407754)</f>
        <v>44486.89124</v>
      </c>
      <c r="D2379" s="15">
        <f>IFERROR(__xludf.DUMMYFUNCTION("""COMPUTED_VALUE"""),1.054)</f>
        <v>1.054</v>
      </c>
      <c r="E2379" s="16">
        <f>IFERROR(__xludf.DUMMYFUNCTION("""COMPUTED_VALUE"""),62.0)</f>
        <v>62</v>
      </c>
      <c r="F2379" s="19" t="str">
        <f>IFERROR(__xludf.DUMMYFUNCTION("""COMPUTED_VALUE"""),"BLACK")</f>
        <v>BLACK</v>
      </c>
      <c r="G2379" s="20" t="str">
        <f>IFERROR(__xludf.DUMMYFUNCTION("""COMPUTED_VALUE"""),"Tap 6 Clone (10/15/2021)")</f>
        <v>Tap 6 Clone (10/15/2021)</v>
      </c>
      <c r="H2379" s="19"/>
    </row>
    <row r="2380">
      <c r="A2380" s="9"/>
      <c r="B2380" s="15"/>
      <c r="C2380" s="9">
        <f>IFERROR(__xludf.DUMMYFUNCTION("""COMPUTED_VALUE"""),44486.8808090625)</f>
        <v>44486.88081</v>
      </c>
      <c r="D2380" s="15">
        <f>IFERROR(__xludf.DUMMYFUNCTION("""COMPUTED_VALUE"""),1.054)</f>
        <v>1.054</v>
      </c>
      <c r="E2380" s="16">
        <f>IFERROR(__xludf.DUMMYFUNCTION("""COMPUTED_VALUE"""),62.0)</f>
        <v>62</v>
      </c>
      <c r="F2380" s="19" t="str">
        <f>IFERROR(__xludf.DUMMYFUNCTION("""COMPUTED_VALUE"""),"BLACK")</f>
        <v>BLACK</v>
      </c>
      <c r="G2380" s="20" t="str">
        <f>IFERROR(__xludf.DUMMYFUNCTION("""COMPUTED_VALUE"""),"Tap 6 Clone (10/15/2021)")</f>
        <v>Tap 6 Clone (10/15/2021)</v>
      </c>
      <c r="H2380" s="19"/>
    </row>
    <row r="2381">
      <c r="A2381" s="9"/>
      <c r="B2381" s="15"/>
      <c r="C2381" s="9">
        <f>IFERROR(__xludf.DUMMYFUNCTION("""COMPUTED_VALUE"""),44486.8703884259)</f>
        <v>44486.87039</v>
      </c>
      <c r="D2381" s="15">
        <f>IFERROR(__xludf.DUMMYFUNCTION("""COMPUTED_VALUE"""),1.054)</f>
        <v>1.054</v>
      </c>
      <c r="E2381" s="16">
        <f>IFERROR(__xludf.DUMMYFUNCTION("""COMPUTED_VALUE"""),62.0)</f>
        <v>62</v>
      </c>
      <c r="F2381" s="19" t="str">
        <f>IFERROR(__xludf.DUMMYFUNCTION("""COMPUTED_VALUE"""),"BLACK")</f>
        <v>BLACK</v>
      </c>
      <c r="G2381" s="20" t="str">
        <f>IFERROR(__xludf.DUMMYFUNCTION("""COMPUTED_VALUE"""),"Tap 6 Clone (10/15/2021)")</f>
        <v>Tap 6 Clone (10/15/2021)</v>
      </c>
      <c r="H2381" s="19"/>
    </row>
    <row r="2382">
      <c r="A2382" s="9"/>
      <c r="B2382" s="15"/>
      <c r="C2382" s="9">
        <f>IFERROR(__xludf.DUMMYFUNCTION("""COMPUTED_VALUE"""),44486.8599692939)</f>
        <v>44486.85997</v>
      </c>
      <c r="D2382" s="15">
        <f>IFERROR(__xludf.DUMMYFUNCTION("""COMPUTED_VALUE"""),1.054)</f>
        <v>1.054</v>
      </c>
      <c r="E2382" s="16">
        <f>IFERROR(__xludf.DUMMYFUNCTION("""COMPUTED_VALUE"""),62.0)</f>
        <v>62</v>
      </c>
      <c r="F2382" s="19" t="str">
        <f>IFERROR(__xludf.DUMMYFUNCTION("""COMPUTED_VALUE"""),"BLACK")</f>
        <v>BLACK</v>
      </c>
      <c r="G2382" s="20" t="str">
        <f>IFERROR(__xludf.DUMMYFUNCTION("""COMPUTED_VALUE"""),"Tap 6 Clone (10/15/2021)")</f>
        <v>Tap 6 Clone (10/15/2021)</v>
      </c>
      <c r="H2382" s="19"/>
    </row>
    <row r="2383">
      <c r="A2383" s="9"/>
      <c r="B2383" s="15"/>
      <c r="C2383" s="9">
        <f>IFERROR(__xludf.DUMMYFUNCTION("""COMPUTED_VALUE"""),44486.8495247338)</f>
        <v>44486.84952</v>
      </c>
      <c r="D2383" s="15">
        <f>IFERROR(__xludf.DUMMYFUNCTION("""COMPUTED_VALUE"""),1.054)</f>
        <v>1.054</v>
      </c>
      <c r="E2383" s="16">
        <f>IFERROR(__xludf.DUMMYFUNCTION("""COMPUTED_VALUE"""),62.0)</f>
        <v>62</v>
      </c>
      <c r="F2383" s="19" t="str">
        <f>IFERROR(__xludf.DUMMYFUNCTION("""COMPUTED_VALUE"""),"BLACK")</f>
        <v>BLACK</v>
      </c>
      <c r="G2383" s="20" t="str">
        <f>IFERROR(__xludf.DUMMYFUNCTION("""COMPUTED_VALUE"""),"Tap 6 Clone (10/15/2021)")</f>
        <v>Tap 6 Clone (10/15/2021)</v>
      </c>
      <c r="H2383" s="19"/>
    </row>
    <row r="2384">
      <c r="A2384" s="9"/>
      <c r="B2384" s="15"/>
      <c r="C2384" s="9">
        <f>IFERROR(__xludf.DUMMYFUNCTION("""COMPUTED_VALUE"""),44486.8391030092)</f>
        <v>44486.8391</v>
      </c>
      <c r="D2384" s="15">
        <f>IFERROR(__xludf.DUMMYFUNCTION("""COMPUTED_VALUE"""),1.054)</f>
        <v>1.054</v>
      </c>
      <c r="E2384" s="16">
        <f>IFERROR(__xludf.DUMMYFUNCTION("""COMPUTED_VALUE"""),62.0)</f>
        <v>62</v>
      </c>
      <c r="F2384" s="19" t="str">
        <f>IFERROR(__xludf.DUMMYFUNCTION("""COMPUTED_VALUE"""),"BLACK")</f>
        <v>BLACK</v>
      </c>
      <c r="G2384" s="20" t="str">
        <f>IFERROR(__xludf.DUMMYFUNCTION("""COMPUTED_VALUE"""),"Tap 6 Clone (10/15/2021)")</f>
        <v>Tap 6 Clone (10/15/2021)</v>
      </c>
      <c r="H2384" s="19"/>
    </row>
    <row r="2385">
      <c r="A2385" s="9"/>
      <c r="B2385" s="15"/>
      <c r="C2385" s="9">
        <f>IFERROR(__xludf.DUMMYFUNCTION("""COMPUTED_VALUE"""),44486.8286810995)</f>
        <v>44486.82868</v>
      </c>
      <c r="D2385" s="15">
        <f>IFERROR(__xludf.DUMMYFUNCTION("""COMPUTED_VALUE"""),1.054)</f>
        <v>1.054</v>
      </c>
      <c r="E2385" s="16">
        <f>IFERROR(__xludf.DUMMYFUNCTION("""COMPUTED_VALUE"""),62.0)</f>
        <v>62</v>
      </c>
      <c r="F2385" s="19" t="str">
        <f>IFERROR(__xludf.DUMMYFUNCTION("""COMPUTED_VALUE"""),"BLACK")</f>
        <v>BLACK</v>
      </c>
      <c r="G2385" s="20" t="str">
        <f>IFERROR(__xludf.DUMMYFUNCTION("""COMPUTED_VALUE"""),"Tap 6 Clone (10/15/2021)")</f>
        <v>Tap 6 Clone (10/15/2021)</v>
      </c>
      <c r="H2385" s="19"/>
    </row>
    <row r="2386">
      <c r="A2386" s="9"/>
      <c r="B2386" s="15"/>
      <c r="C2386" s="9">
        <f>IFERROR(__xludf.DUMMYFUNCTION("""COMPUTED_VALUE"""),44486.818260243)</f>
        <v>44486.81826</v>
      </c>
      <c r="D2386" s="15">
        <f>IFERROR(__xludf.DUMMYFUNCTION("""COMPUTED_VALUE"""),1.054)</f>
        <v>1.054</v>
      </c>
      <c r="E2386" s="16">
        <f>IFERROR(__xludf.DUMMYFUNCTION("""COMPUTED_VALUE"""),62.0)</f>
        <v>62</v>
      </c>
      <c r="F2386" s="19" t="str">
        <f>IFERROR(__xludf.DUMMYFUNCTION("""COMPUTED_VALUE"""),"BLACK")</f>
        <v>BLACK</v>
      </c>
      <c r="G2386" s="20" t="str">
        <f>IFERROR(__xludf.DUMMYFUNCTION("""COMPUTED_VALUE"""),"Tap 6 Clone (10/15/2021)")</f>
        <v>Tap 6 Clone (10/15/2021)</v>
      </c>
      <c r="H2386" s="19"/>
    </row>
    <row r="2387">
      <c r="A2387" s="9"/>
      <c r="B2387" s="15"/>
      <c r="C2387" s="9">
        <f>IFERROR(__xludf.DUMMYFUNCTION("""COMPUTED_VALUE"""),44486.8078146412)</f>
        <v>44486.80781</v>
      </c>
      <c r="D2387" s="15">
        <f>IFERROR(__xludf.DUMMYFUNCTION("""COMPUTED_VALUE"""),1.054)</f>
        <v>1.054</v>
      </c>
      <c r="E2387" s="16">
        <f>IFERROR(__xludf.DUMMYFUNCTION("""COMPUTED_VALUE"""),62.0)</f>
        <v>62</v>
      </c>
      <c r="F2387" s="19" t="str">
        <f>IFERROR(__xludf.DUMMYFUNCTION("""COMPUTED_VALUE"""),"BLACK")</f>
        <v>BLACK</v>
      </c>
      <c r="G2387" s="20" t="str">
        <f>IFERROR(__xludf.DUMMYFUNCTION("""COMPUTED_VALUE"""),"Tap 6 Clone (10/15/2021)")</f>
        <v>Tap 6 Clone (10/15/2021)</v>
      </c>
      <c r="H2387" s="19"/>
    </row>
    <row r="2388">
      <c r="A2388" s="9"/>
      <c r="B2388" s="15"/>
      <c r="C2388" s="9">
        <f>IFERROR(__xludf.DUMMYFUNCTION("""COMPUTED_VALUE"""),44486.7973939583)</f>
        <v>44486.79739</v>
      </c>
      <c r="D2388" s="15">
        <f>IFERROR(__xludf.DUMMYFUNCTION("""COMPUTED_VALUE"""),1.054)</f>
        <v>1.054</v>
      </c>
      <c r="E2388" s="16">
        <f>IFERROR(__xludf.DUMMYFUNCTION("""COMPUTED_VALUE"""),62.0)</f>
        <v>62</v>
      </c>
      <c r="F2388" s="19" t="str">
        <f>IFERROR(__xludf.DUMMYFUNCTION("""COMPUTED_VALUE"""),"BLACK")</f>
        <v>BLACK</v>
      </c>
      <c r="G2388" s="20" t="str">
        <f>IFERROR(__xludf.DUMMYFUNCTION("""COMPUTED_VALUE"""),"Tap 6 Clone (10/15/2021)")</f>
        <v>Tap 6 Clone (10/15/2021)</v>
      </c>
      <c r="H2388" s="19"/>
    </row>
    <row r="2389">
      <c r="A2389" s="9"/>
      <c r="B2389" s="15"/>
      <c r="C2389" s="9">
        <f>IFERROR(__xludf.DUMMYFUNCTION("""COMPUTED_VALUE"""),44486.78696125)</f>
        <v>44486.78696</v>
      </c>
      <c r="D2389" s="15">
        <f>IFERROR(__xludf.DUMMYFUNCTION("""COMPUTED_VALUE"""),1.054)</f>
        <v>1.054</v>
      </c>
      <c r="E2389" s="16">
        <f>IFERROR(__xludf.DUMMYFUNCTION("""COMPUTED_VALUE"""),62.0)</f>
        <v>62</v>
      </c>
      <c r="F2389" s="19" t="str">
        <f>IFERROR(__xludf.DUMMYFUNCTION("""COMPUTED_VALUE"""),"BLACK")</f>
        <v>BLACK</v>
      </c>
      <c r="G2389" s="20" t="str">
        <f>IFERROR(__xludf.DUMMYFUNCTION("""COMPUTED_VALUE"""),"Tap 6 Clone (10/15/2021)")</f>
        <v>Tap 6 Clone (10/15/2021)</v>
      </c>
      <c r="H2389" s="19"/>
    </row>
    <row r="2390">
      <c r="A2390" s="9"/>
      <c r="B2390" s="15"/>
      <c r="C2390" s="9">
        <f>IFERROR(__xludf.DUMMYFUNCTION("""COMPUTED_VALUE"""),44486.776541574)</f>
        <v>44486.77654</v>
      </c>
      <c r="D2390" s="15">
        <f>IFERROR(__xludf.DUMMYFUNCTION("""COMPUTED_VALUE"""),1.054)</f>
        <v>1.054</v>
      </c>
      <c r="E2390" s="16">
        <f>IFERROR(__xludf.DUMMYFUNCTION("""COMPUTED_VALUE"""),62.0)</f>
        <v>62</v>
      </c>
      <c r="F2390" s="19" t="str">
        <f>IFERROR(__xludf.DUMMYFUNCTION("""COMPUTED_VALUE"""),"BLACK")</f>
        <v>BLACK</v>
      </c>
      <c r="G2390" s="20" t="str">
        <f>IFERROR(__xludf.DUMMYFUNCTION("""COMPUTED_VALUE"""),"Tap 6 Clone (10/15/2021)")</f>
        <v>Tap 6 Clone (10/15/2021)</v>
      </c>
      <c r="H2390" s="19"/>
    </row>
    <row r="2391">
      <c r="A2391" s="9"/>
      <c r="B2391" s="15"/>
      <c r="C2391" s="9">
        <f>IFERROR(__xludf.DUMMYFUNCTION("""COMPUTED_VALUE"""),44486.7661223263)</f>
        <v>44486.76612</v>
      </c>
      <c r="D2391" s="15">
        <f>IFERROR(__xludf.DUMMYFUNCTION("""COMPUTED_VALUE"""),1.054)</f>
        <v>1.054</v>
      </c>
      <c r="E2391" s="16">
        <f>IFERROR(__xludf.DUMMYFUNCTION("""COMPUTED_VALUE"""),62.0)</f>
        <v>62</v>
      </c>
      <c r="F2391" s="19" t="str">
        <f>IFERROR(__xludf.DUMMYFUNCTION("""COMPUTED_VALUE"""),"BLACK")</f>
        <v>BLACK</v>
      </c>
      <c r="G2391" s="20" t="str">
        <f>IFERROR(__xludf.DUMMYFUNCTION("""COMPUTED_VALUE"""),"Tap 6 Clone (10/15/2021)")</f>
        <v>Tap 6 Clone (10/15/2021)</v>
      </c>
      <c r="H2391" s="19"/>
    </row>
    <row r="2392">
      <c r="A2392" s="9"/>
      <c r="B2392" s="15"/>
      <c r="C2392" s="9">
        <f>IFERROR(__xludf.DUMMYFUNCTION("""COMPUTED_VALUE"""),44486.7556882407)</f>
        <v>44486.75569</v>
      </c>
      <c r="D2392" s="15">
        <f>IFERROR(__xludf.DUMMYFUNCTION("""COMPUTED_VALUE"""),1.054)</f>
        <v>1.054</v>
      </c>
      <c r="E2392" s="16">
        <f>IFERROR(__xludf.DUMMYFUNCTION("""COMPUTED_VALUE"""),62.0)</f>
        <v>62</v>
      </c>
      <c r="F2392" s="19" t="str">
        <f>IFERROR(__xludf.DUMMYFUNCTION("""COMPUTED_VALUE"""),"BLACK")</f>
        <v>BLACK</v>
      </c>
      <c r="G2392" s="20" t="str">
        <f>IFERROR(__xludf.DUMMYFUNCTION("""COMPUTED_VALUE"""),"Tap 6 Clone (10/15/2021)")</f>
        <v>Tap 6 Clone (10/15/2021)</v>
      </c>
      <c r="H2392" s="19"/>
    </row>
    <row r="2393">
      <c r="A2393" s="9"/>
      <c r="B2393" s="15"/>
      <c r="C2393" s="9">
        <f>IFERROR(__xludf.DUMMYFUNCTION("""COMPUTED_VALUE"""),44486.7452674884)</f>
        <v>44486.74527</v>
      </c>
      <c r="D2393" s="15">
        <f>IFERROR(__xludf.DUMMYFUNCTION("""COMPUTED_VALUE"""),1.054)</f>
        <v>1.054</v>
      </c>
      <c r="E2393" s="16">
        <f>IFERROR(__xludf.DUMMYFUNCTION("""COMPUTED_VALUE"""),62.0)</f>
        <v>62</v>
      </c>
      <c r="F2393" s="19" t="str">
        <f>IFERROR(__xludf.DUMMYFUNCTION("""COMPUTED_VALUE"""),"BLACK")</f>
        <v>BLACK</v>
      </c>
      <c r="G2393" s="20" t="str">
        <f>IFERROR(__xludf.DUMMYFUNCTION("""COMPUTED_VALUE"""),"Tap 6 Clone (10/15/2021)")</f>
        <v>Tap 6 Clone (10/15/2021)</v>
      </c>
      <c r="H2393" s="19"/>
    </row>
    <row r="2394">
      <c r="A2394" s="9"/>
      <c r="B2394" s="15"/>
      <c r="C2394" s="9">
        <f>IFERROR(__xludf.DUMMYFUNCTION("""COMPUTED_VALUE"""),44486.7348467824)</f>
        <v>44486.73485</v>
      </c>
      <c r="D2394" s="15">
        <f>IFERROR(__xludf.DUMMYFUNCTION("""COMPUTED_VALUE"""),1.054)</f>
        <v>1.054</v>
      </c>
      <c r="E2394" s="16">
        <f>IFERROR(__xludf.DUMMYFUNCTION("""COMPUTED_VALUE"""),62.0)</f>
        <v>62</v>
      </c>
      <c r="F2394" s="19" t="str">
        <f>IFERROR(__xludf.DUMMYFUNCTION("""COMPUTED_VALUE"""),"BLACK")</f>
        <v>BLACK</v>
      </c>
      <c r="G2394" s="20" t="str">
        <f>IFERROR(__xludf.DUMMYFUNCTION("""COMPUTED_VALUE"""),"Tap 6 Clone (10/15/2021)")</f>
        <v>Tap 6 Clone (10/15/2021)</v>
      </c>
      <c r="H2394" s="19"/>
    </row>
    <row r="2395">
      <c r="A2395" s="9"/>
      <c r="B2395" s="15"/>
      <c r="C2395" s="9">
        <f>IFERROR(__xludf.DUMMYFUNCTION("""COMPUTED_VALUE"""),44486.7244248611)</f>
        <v>44486.72442</v>
      </c>
      <c r="D2395" s="15">
        <f>IFERROR(__xludf.DUMMYFUNCTION("""COMPUTED_VALUE"""),1.054)</f>
        <v>1.054</v>
      </c>
      <c r="E2395" s="16">
        <f>IFERROR(__xludf.DUMMYFUNCTION("""COMPUTED_VALUE"""),62.0)</f>
        <v>62</v>
      </c>
      <c r="F2395" s="19" t="str">
        <f>IFERROR(__xludf.DUMMYFUNCTION("""COMPUTED_VALUE"""),"BLACK")</f>
        <v>BLACK</v>
      </c>
      <c r="G2395" s="20" t="str">
        <f>IFERROR(__xludf.DUMMYFUNCTION("""COMPUTED_VALUE"""),"Tap 6 Clone (10/15/2021)")</f>
        <v>Tap 6 Clone (10/15/2021)</v>
      </c>
      <c r="H2395" s="19"/>
    </row>
    <row r="2396">
      <c r="A2396" s="9"/>
      <c r="B2396" s="15"/>
      <c r="C2396" s="9">
        <f>IFERROR(__xludf.DUMMYFUNCTION("""COMPUTED_VALUE"""),44486.7140020601)</f>
        <v>44486.714</v>
      </c>
      <c r="D2396" s="15">
        <f>IFERROR(__xludf.DUMMYFUNCTION("""COMPUTED_VALUE"""),1.054)</f>
        <v>1.054</v>
      </c>
      <c r="E2396" s="16">
        <f>IFERROR(__xludf.DUMMYFUNCTION("""COMPUTED_VALUE"""),62.0)</f>
        <v>62</v>
      </c>
      <c r="F2396" s="19" t="str">
        <f>IFERROR(__xludf.DUMMYFUNCTION("""COMPUTED_VALUE"""),"BLACK")</f>
        <v>BLACK</v>
      </c>
      <c r="G2396" s="20" t="str">
        <f>IFERROR(__xludf.DUMMYFUNCTION("""COMPUTED_VALUE"""),"Tap 6 Clone (10/15/2021)")</f>
        <v>Tap 6 Clone (10/15/2021)</v>
      </c>
      <c r="H2396" s="19"/>
    </row>
    <row r="2397">
      <c r="A2397" s="9"/>
      <c r="B2397" s="15"/>
      <c r="C2397" s="9">
        <f>IFERROR(__xludf.DUMMYFUNCTION("""COMPUTED_VALUE"""),44486.7035811805)</f>
        <v>44486.70358</v>
      </c>
      <c r="D2397" s="15">
        <f>IFERROR(__xludf.DUMMYFUNCTION("""COMPUTED_VALUE"""),1.054)</f>
        <v>1.054</v>
      </c>
      <c r="E2397" s="16">
        <f>IFERROR(__xludf.DUMMYFUNCTION("""COMPUTED_VALUE"""),62.0)</f>
        <v>62</v>
      </c>
      <c r="F2397" s="19" t="str">
        <f>IFERROR(__xludf.DUMMYFUNCTION("""COMPUTED_VALUE"""),"BLACK")</f>
        <v>BLACK</v>
      </c>
      <c r="G2397" s="20" t="str">
        <f>IFERROR(__xludf.DUMMYFUNCTION("""COMPUTED_VALUE"""),"Tap 6 Clone (10/15/2021)")</f>
        <v>Tap 6 Clone (10/15/2021)</v>
      </c>
      <c r="H2397" s="19"/>
    </row>
    <row r="2398">
      <c r="A2398" s="9"/>
      <c r="B2398" s="15"/>
      <c r="C2398" s="9">
        <f>IFERROR(__xludf.DUMMYFUNCTION("""COMPUTED_VALUE"""),44486.6931602314)</f>
        <v>44486.69316</v>
      </c>
      <c r="D2398" s="15">
        <f>IFERROR(__xludf.DUMMYFUNCTION("""COMPUTED_VALUE"""),1.054)</f>
        <v>1.054</v>
      </c>
      <c r="E2398" s="16">
        <f>IFERROR(__xludf.DUMMYFUNCTION("""COMPUTED_VALUE"""),62.0)</f>
        <v>62</v>
      </c>
      <c r="F2398" s="19" t="str">
        <f>IFERROR(__xludf.DUMMYFUNCTION("""COMPUTED_VALUE"""),"BLACK")</f>
        <v>BLACK</v>
      </c>
      <c r="G2398" s="20" t="str">
        <f>IFERROR(__xludf.DUMMYFUNCTION("""COMPUTED_VALUE"""),"Tap 6 Clone (10/15/2021)")</f>
        <v>Tap 6 Clone (10/15/2021)</v>
      </c>
      <c r="H2398" s="19"/>
    </row>
    <row r="2399">
      <c r="A2399" s="9"/>
      <c r="B2399" s="15"/>
      <c r="C2399" s="9">
        <f>IFERROR(__xludf.DUMMYFUNCTION("""COMPUTED_VALUE"""),44486.682738449)</f>
        <v>44486.68274</v>
      </c>
      <c r="D2399" s="15">
        <f>IFERROR(__xludf.DUMMYFUNCTION("""COMPUTED_VALUE"""),1.054)</f>
        <v>1.054</v>
      </c>
      <c r="E2399" s="16">
        <f>IFERROR(__xludf.DUMMYFUNCTION("""COMPUTED_VALUE"""),62.0)</f>
        <v>62</v>
      </c>
      <c r="F2399" s="19" t="str">
        <f>IFERROR(__xludf.DUMMYFUNCTION("""COMPUTED_VALUE"""),"BLACK")</f>
        <v>BLACK</v>
      </c>
      <c r="G2399" s="20" t="str">
        <f>IFERROR(__xludf.DUMMYFUNCTION("""COMPUTED_VALUE"""),"Tap 6 Clone (10/15/2021)")</f>
        <v>Tap 6 Clone (10/15/2021)</v>
      </c>
      <c r="H2399" s="19"/>
    </row>
    <row r="2400">
      <c r="A2400" s="9"/>
      <c r="B2400" s="15"/>
      <c r="C2400" s="9">
        <f>IFERROR(__xludf.DUMMYFUNCTION("""COMPUTED_VALUE"""),44486.6723186226)</f>
        <v>44486.67232</v>
      </c>
      <c r="D2400" s="15">
        <f>IFERROR(__xludf.DUMMYFUNCTION("""COMPUTED_VALUE"""),1.054)</f>
        <v>1.054</v>
      </c>
      <c r="E2400" s="16">
        <f>IFERROR(__xludf.DUMMYFUNCTION("""COMPUTED_VALUE"""),62.0)</f>
        <v>62</v>
      </c>
      <c r="F2400" s="19" t="str">
        <f>IFERROR(__xludf.DUMMYFUNCTION("""COMPUTED_VALUE"""),"BLACK")</f>
        <v>BLACK</v>
      </c>
      <c r="G2400" s="20" t="str">
        <f>IFERROR(__xludf.DUMMYFUNCTION("""COMPUTED_VALUE"""),"Tap 6 Clone (10/15/2021)")</f>
        <v>Tap 6 Clone (10/15/2021)</v>
      </c>
      <c r="H2400" s="19"/>
    </row>
    <row r="2401">
      <c r="A2401" s="9"/>
      <c r="B2401" s="15"/>
      <c r="C2401" s="9">
        <f>IFERROR(__xludf.DUMMYFUNCTION("""COMPUTED_VALUE"""),44486.6618988426)</f>
        <v>44486.6619</v>
      </c>
      <c r="D2401" s="15">
        <f>IFERROR(__xludf.DUMMYFUNCTION("""COMPUTED_VALUE"""),1.054)</f>
        <v>1.054</v>
      </c>
      <c r="E2401" s="16">
        <f>IFERROR(__xludf.DUMMYFUNCTION("""COMPUTED_VALUE"""),62.0)</f>
        <v>62</v>
      </c>
      <c r="F2401" s="19" t="str">
        <f>IFERROR(__xludf.DUMMYFUNCTION("""COMPUTED_VALUE"""),"BLACK")</f>
        <v>BLACK</v>
      </c>
      <c r="G2401" s="20" t="str">
        <f>IFERROR(__xludf.DUMMYFUNCTION("""COMPUTED_VALUE"""),"Tap 6 Clone (10/15/2021)")</f>
        <v>Tap 6 Clone (10/15/2021)</v>
      </c>
      <c r="H2401" s="19"/>
    </row>
    <row r="2402">
      <c r="A2402" s="9"/>
      <c r="B2402" s="15"/>
      <c r="C2402" s="9">
        <f>IFERROR(__xludf.DUMMYFUNCTION("""COMPUTED_VALUE"""),44486.6514654976)</f>
        <v>44486.65147</v>
      </c>
      <c r="D2402" s="15">
        <f>IFERROR(__xludf.DUMMYFUNCTION("""COMPUTED_VALUE"""),1.054)</f>
        <v>1.054</v>
      </c>
      <c r="E2402" s="16">
        <f>IFERROR(__xludf.DUMMYFUNCTION("""COMPUTED_VALUE"""),62.0)</f>
        <v>62</v>
      </c>
      <c r="F2402" s="19" t="str">
        <f>IFERROR(__xludf.DUMMYFUNCTION("""COMPUTED_VALUE"""),"BLACK")</f>
        <v>BLACK</v>
      </c>
      <c r="G2402" s="20" t="str">
        <f>IFERROR(__xludf.DUMMYFUNCTION("""COMPUTED_VALUE"""),"Tap 6 Clone (10/15/2021)")</f>
        <v>Tap 6 Clone (10/15/2021)</v>
      </c>
      <c r="H2402" s="19"/>
    </row>
    <row r="2403">
      <c r="A2403" s="9"/>
      <c r="B2403" s="15"/>
      <c r="C2403" s="9">
        <f>IFERROR(__xludf.DUMMYFUNCTION("""COMPUTED_VALUE"""),44486.641044699)</f>
        <v>44486.64104</v>
      </c>
      <c r="D2403" s="15">
        <f>IFERROR(__xludf.DUMMYFUNCTION("""COMPUTED_VALUE"""),1.054)</f>
        <v>1.054</v>
      </c>
      <c r="E2403" s="16">
        <f>IFERROR(__xludf.DUMMYFUNCTION("""COMPUTED_VALUE"""),62.0)</f>
        <v>62</v>
      </c>
      <c r="F2403" s="19" t="str">
        <f>IFERROR(__xludf.DUMMYFUNCTION("""COMPUTED_VALUE"""),"BLACK")</f>
        <v>BLACK</v>
      </c>
      <c r="G2403" s="20" t="str">
        <f>IFERROR(__xludf.DUMMYFUNCTION("""COMPUTED_VALUE"""),"Tap 6 Clone (10/15/2021)")</f>
        <v>Tap 6 Clone (10/15/2021)</v>
      </c>
      <c r="H2403" s="19"/>
    </row>
    <row r="2404">
      <c r="A2404" s="9"/>
      <c r="B2404" s="15"/>
      <c r="C2404" s="9">
        <f>IFERROR(__xludf.DUMMYFUNCTION("""COMPUTED_VALUE"""),44486.6306234722)</f>
        <v>44486.63062</v>
      </c>
      <c r="D2404" s="15">
        <f>IFERROR(__xludf.DUMMYFUNCTION("""COMPUTED_VALUE"""),1.054)</f>
        <v>1.054</v>
      </c>
      <c r="E2404" s="16">
        <f>IFERROR(__xludf.DUMMYFUNCTION("""COMPUTED_VALUE"""),61.0)</f>
        <v>61</v>
      </c>
      <c r="F2404" s="19" t="str">
        <f>IFERROR(__xludf.DUMMYFUNCTION("""COMPUTED_VALUE"""),"BLACK")</f>
        <v>BLACK</v>
      </c>
      <c r="G2404" s="20" t="str">
        <f>IFERROR(__xludf.DUMMYFUNCTION("""COMPUTED_VALUE"""),"Tap 6 Clone (10/15/2021)")</f>
        <v>Tap 6 Clone (10/15/2021)</v>
      </c>
      <c r="H2404" s="19"/>
    </row>
    <row r="2405">
      <c r="A2405" s="9"/>
      <c r="B2405" s="15"/>
      <c r="C2405" s="9">
        <f>IFERROR(__xludf.DUMMYFUNCTION("""COMPUTED_VALUE"""),44486.6201919328)</f>
        <v>44486.62019</v>
      </c>
      <c r="D2405" s="15">
        <f>IFERROR(__xludf.DUMMYFUNCTION("""COMPUTED_VALUE"""),1.054)</f>
        <v>1.054</v>
      </c>
      <c r="E2405" s="16">
        <f>IFERROR(__xludf.DUMMYFUNCTION("""COMPUTED_VALUE"""),61.0)</f>
        <v>61</v>
      </c>
      <c r="F2405" s="19" t="str">
        <f>IFERROR(__xludf.DUMMYFUNCTION("""COMPUTED_VALUE"""),"BLACK")</f>
        <v>BLACK</v>
      </c>
      <c r="G2405" s="20" t="str">
        <f>IFERROR(__xludf.DUMMYFUNCTION("""COMPUTED_VALUE"""),"Tap 6 Clone (10/15/2021)")</f>
        <v>Tap 6 Clone (10/15/2021)</v>
      </c>
      <c r="H2405" s="19"/>
    </row>
    <row r="2406">
      <c r="A2406" s="9"/>
      <c r="B2406" s="15"/>
      <c r="C2406" s="9">
        <f>IFERROR(__xludf.DUMMYFUNCTION("""COMPUTED_VALUE"""),44486.609770949)</f>
        <v>44486.60977</v>
      </c>
      <c r="D2406" s="15">
        <f>IFERROR(__xludf.DUMMYFUNCTION("""COMPUTED_VALUE"""),1.054)</f>
        <v>1.054</v>
      </c>
      <c r="E2406" s="16">
        <f>IFERROR(__xludf.DUMMYFUNCTION("""COMPUTED_VALUE"""),61.0)</f>
        <v>61</v>
      </c>
      <c r="F2406" s="19" t="str">
        <f>IFERROR(__xludf.DUMMYFUNCTION("""COMPUTED_VALUE"""),"BLACK")</f>
        <v>BLACK</v>
      </c>
      <c r="G2406" s="20" t="str">
        <f>IFERROR(__xludf.DUMMYFUNCTION("""COMPUTED_VALUE"""),"Tap 6 Clone (10/15/2021)")</f>
        <v>Tap 6 Clone (10/15/2021)</v>
      </c>
      <c r="H2406" s="19"/>
    </row>
    <row r="2407">
      <c r="A2407" s="9"/>
      <c r="B2407" s="15"/>
      <c r="C2407" s="9">
        <f>IFERROR(__xludf.DUMMYFUNCTION("""COMPUTED_VALUE"""),44486.5993500347)</f>
        <v>44486.59935</v>
      </c>
      <c r="D2407" s="15">
        <f>IFERROR(__xludf.DUMMYFUNCTION("""COMPUTED_VALUE"""),1.054)</f>
        <v>1.054</v>
      </c>
      <c r="E2407" s="16">
        <f>IFERROR(__xludf.DUMMYFUNCTION("""COMPUTED_VALUE"""),61.0)</f>
        <v>61</v>
      </c>
      <c r="F2407" s="19" t="str">
        <f>IFERROR(__xludf.DUMMYFUNCTION("""COMPUTED_VALUE"""),"BLACK")</f>
        <v>BLACK</v>
      </c>
      <c r="G2407" s="20" t="str">
        <f>IFERROR(__xludf.DUMMYFUNCTION("""COMPUTED_VALUE"""),"Tap 6 Clone (10/15/2021)")</f>
        <v>Tap 6 Clone (10/15/2021)</v>
      </c>
      <c r="H2407" s="19"/>
    </row>
    <row r="2408">
      <c r="A2408" s="9"/>
      <c r="B2408" s="15"/>
      <c r="C2408" s="9">
        <f>IFERROR(__xludf.DUMMYFUNCTION("""COMPUTED_VALUE"""),44486.5889289004)</f>
        <v>44486.58893</v>
      </c>
      <c r="D2408" s="15">
        <f>IFERROR(__xludf.DUMMYFUNCTION("""COMPUTED_VALUE"""),1.054)</f>
        <v>1.054</v>
      </c>
      <c r="E2408" s="16">
        <f>IFERROR(__xludf.DUMMYFUNCTION("""COMPUTED_VALUE"""),62.0)</f>
        <v>62</v>
      </c>
      <c r="F2408" s="19" t="str">
        <f>IFERROR(__xludf.DUMMYFUNCTION("""COMPUTED_VALUE"""),"BLACK")</f>
        <v>BLACK</v>
      </c>
      <c r="G2408" s="20" t="str">
        <f>IFERROR(__xludf.DUMMYFUNCTION("""COMPUTED_VALUE"""),"Tap 6 Clone (10/15/2021)")</f>
        <v>Tap 6 Clone (10/15/2021)</v>
      </c>
      <c r="H2408" s="19"/>
    </row>
    <row r="2409">
      <c r="A2409" s="9"/>
      <c r="B2409" s="15"/>
      <c r="C2409" s="9">
        <f>IFERROR(__xludf.DUMMYFUNCTION("""COMPUTED_VALUE"""),44486.5785070833)</f>
        <v>44486.57851</v>
      </c>
      <c r="D2409" s="15">
        <f>IFERROR(__xludf.DUMMYFUNCTION("""COMPUTED_VALUE"""),1.054)</f>
        <v>1.054</v>
      </c>
      <c r="E2409" s="16">
        <f>IFERROR(__xludf.DUMMYFUNCTION("""COMPUTED_VALUE"""),63.0)</f>
        <v>63</v>
      </c>
      <c r="F2409" s="19" t="str">
        <f>IFERROR(__xludf.DUMMYFUNCTION("""COMPUTED_VALUE"""),"BLACK")</f>
        <v>BLACK</v>
      </c>
      <c r="G2409" s="20" t="str">
        <f>IFERROR(__xludf.DUMMYFUNCTION("""COMPUTED_VALUE"""),"Tap 6 Clone (10/15/2021)")</f>
        <v>Tap 6 Clone (10/15/2021)</v>
      </c>
      <c r="H2409" s="19"/>
    </row>
    <row r="2410">
      <c r="A2410" s="9"/>
      <c r="B2410" s="15"/>
      <c r="C2410" s="9">
        <f>IFERROR(__xludf.DUMMYFUNCTION("""COMPUTED_VALUE"""),44486.5680853356)</f>
        <v>44486.56809</v>
      </c>
      <c r="D2410" s="15">
        <f>IFERROR(__xludf.DUMMYFUNCTION("""COMPUTED_VALUE"""),1.054)</f>
        <v>1.054</v>
      </c>
      <c r="E2410" s="16">
        <f>IFERROR(__xludf.DUMMYFUNCTION("""COMPUTED_VALUE"""),65.0)</f>
        <v>65</v>
      </c>
      <c r="F2410" s="19" t="str">
        <f>IFERROR(__xludf.DUMMYFUNCTION("""COMPUTED_VALUE"""),"BLACK")</f>
        <v>BLACK</v>
      </c>
      <c r="G2410" s="20" t="str">
        <f>IFERROR(__xludf.DUMMYFUNCTION("""COMPUTED_VALUE"""),"Tap 6 Clone (10/15/2021)")</f>
        <v>Tap 6 Clone (10/15/2021)</v>
      </c>
      <c r="H2410" s="19"/>
    </row>
    <row r="2411">
      <c r="A2411" s="9"/>
      <c r="B2411" s="15"/>
      <c r="C2411" s="9">
        <f>IFERROR(__xludf.DUMMYFUNCTION("""COMPUTED_VALUE"""),44486.5576511574)</f>
        <v>44486.55765</v>
      </c>
      <c r="D2411" s="15">
        <f>IFERROR(__xludf.DUMMYFUNCTION("""COMPUTED_VALUE"""),1.054)</f>
        <v>1.054</v>
      </c>
      <c r="E2411" s="16">
        <f>IFERROR(__xludf.DUMMYFUNCTION("""COMPUTED_VALUE"""),66.0)</f>
        <v>66</v>
      </c>
      <c r="F2411" s="19" t="str">
        <f>IFERROR(__xludf.DUMMYFUNCTION("""COMPUTED_VALUE"""),"BLACK")</f>
        <v>BLACK</v>
      </c>
      <c r="G2411" s="20" t="str">
        <f>IFERROR(__xludf.DUMMYFUNCTION("""COMPUTED_VALUE"""),"Tap 6 Clone (10/15/2021)")</f>
        <v>Tap 6 Clone (10/15/2021)</v>
      </c>
      <c r="H2411" s="19"/>
    </row>
    <row r="2412">
      <c r="A2412" s="9"/>
      <c r="B2412" s="15"/>
      <c r="C2412" s="9">
        <f>IFERROR(__xludf.DUMMYFUNCTION("""COMPUTED_VALUE"""),44486.5472294097)</f>
        <v>44486.54723</v>
      </c>
      <c r="D2412" s="15">
        <f>IFERROR(__xludf.DUMMYFUNCTION("""COMPUTED_VALUE"""),1.054)</f>
        <v>1.054</v>
      </c>
      <c r="E2412" s="16">
        <f>IFERROR(__xludf.DUMMYFUNCTION("""COMPUTED_VALUE"""),66.0)</f>
        <v>66</v>
      </c>
      <c r="F2412" s="19" t="str">
        <f>IFERROR(__xludf.DUMMYFUNCTION("""COMPUTED_VALUE"""),"BLACK")</f>
        <v>BLACK</v>
      </c>
      <c r="G2412" s="20" t="str">
        <f>IFERROR(__xludf.DUMMYFUNCTION("""COMPUTED_VALUE"""),"Tap 6 Clone (10/15/2021)")</f>
        <v>Tap 6 Clone (10/15/2021)</v>
      </c>
      <c r="H2412" s="19"/>
    </row>
    <row r="2413">
      <c r="A2413" s="9"/>
      <c r="B2413" s="15"/>
      <c r="C2413" s="9">
        <f>IFERROR(__xludf.DUMMYFUNCTION("""COMPUTED_VALUE"""),44486.5368086805)</f>
        <v>44486.53681</v>
      </c>
      <c r="D2413" s="15">
        <f>IFERROR(__xludf.DUMMYFUNCTION("""COMPUTED_VALUE"""),1.054)</f>
        <v>1.054</v>
      </c>
      <c r="E2413" s="16">
        <f>IFERROR(__xludf.DUMMYFUNCTION("""COMPUTED_VALUE"""),66.0)</f>
        <v>66</v>
      </c>
      <c r="F2413" s="19" t="str">
        <f>IFERROR(__xludf.DUMMYFUNCTION("""COMPUTED_VALUE"""),"BLACK")</f>
        <v>BLACK</v>
      </c>
      <c r="G2413" s="20" t="str">
        <f>IFERROR(__xludf.DUMMYFUNCTION("""COMPUTED_VALUE"""),"Tap 6 Clone (10/15/2021)")</f>
        <v>Tap 6 Clone (10/15/2021)</v>
      </c>
      <c r="H2413" s="19"/>
    </row>
    <row r="2414">
      <c r="A2414" s="9"/>
      <c r="B2414" s="15"/>
      <c r="C2414" s="9">
        <f>IFERROR(__xludf.DUMMYFUNCTION("""COMPUTED_VALUE"""),44486.5263873495)</f>
        <v>44486.52639</v>
      </c>
      <c r="D2414" s="15">
        <f>IFERROR(__xludf.DUMMYFUNCTION("""COMPUTED_VALUE"""),1.054)</f>
        <v>1.054</v>
      </c>
      <c r="E2414" s="16">
        <f>IFERROR(__xludf.DUMMYFUNCTION("""COMPUTED_VALUE"""),66.0)</f>
        <v>66</v>
      </c>
      <c r="F2414" s="19" t="str">
        <f>IFERROR(__xludf.DUMMYFUNCTION("""COMPUTED_VALUE"""),"BLACK")</f>
        <v>BLACK</v>
      </c>
      <c r="G2414" s="20" t="str">
        <f>IFERROR(__xludf.DUMMYFUNCTION("""COMPUTED_VALUE"""),"Tap 6 Clone (10/15/2021)")</f>
        <v>Tap 6 Clone (10/15/2021)</v>
      </c>
      <c r="H2414" s="19"/>
    </row>
    <row r="2415">
      <c r="A2415" s="9"/>
      <c r="B2415" s="15"/>
      <c r="C2415" s="9">
        <f>IFERROR(__xludf.DUMMYFUNCTION("""COMPUTED_VALUE"""),44486.515966574)</f>
        <v>44486.51597</v>
      </c>
      <c r="D2415" s="15">
        <f>IFERROR(__xludf.DUMMYFUNCTION("""COMPUTED_VALUE"""),1.054)</f>
        <v>1.054</v>
      </c>
      <c r="E2415" s="16">
        <f>IFERROR(__xludf.DUMMYFUNCTION("""COMPUTED_VALUE"""),66.0)</f>
        <v>66</v>
      </c>
      <c r="F2415" s="19" t="str">
        <f>IFERROR(__xludf.DUMMYFUNCTION("""COMPUTED_VALUE"""),"BLACK")</f>
        <v>BLACK</v>
      </c>
      <c r="G2415" s="20" t="str">
        <f>IFERROR(__xludf.DUMMYFUNCTION("""COMPUTED_VALUE"""),"Tap 6 Clone (10/15/2021)")</f>
        <v>Tap 6 Clone (10/15/2021)</v>
      </c>
      <c r="H2415" s="19"/>
    </row>
    <row r="2416">
      <c r="A2416" s="9"/>
      <c r="B2416" s="15"/>
      <c r="C2416" s="9">
        <f>IFERROR(__xludf.DUMMYFUNCTION("""COMPUTED_VALUE"""),44486.5055447338)</f>
        <v>44486.50554</v>
      </c>
      <c r="D2416" s="15">
        <f>IFERROR(__xludf.DUMMYFUNCTION("""COMPUTED_VALUE"""),1.054)</f>
        <v>1.054</v>
      </c>
      <c r="E2416" s="16">
        <f>IFERROR(__xludf.DUMMYFUNCTION("""COMPUTED_VALUE"""),66.0)</f>
        <v>66</v>
      </c>
      <c r="F2416" s="19" t="str">
        <f>IFERROR(__xludf.DUMMYFUNCTION("""COMPUTED_VALUE"""),"BLACK")</f>
        <v>BLACK</v>
      </c>
      <c r="G2416" s="20" t="str">
        <f>IFERROR(__xludf.DUMMYFUNCTION("""COMPUTED_VALUE"""),"Tap 6 Clone (10/15/2021)")</f>
        <v>Tap 6 Clone (10/15/2021)</v>
      </c>
      <c r="H2416" s="19"/>
    </row>
    <row r="2417">
      <c r="A2417" s="9"/>
      <c r="B2417" s="15"/>
      <c r="C2417" s="9">
        <f>IFERROR(__xludf.DUMMYFUNCTION("""COMPUTED_VALUE"""),44486.495124537)</f>
        <v>44486.49512</v>
      </c>
      <c r="D2417" s="15">
        <f>IFERROR(__xludf.DUMMYFUNCTION("""COMPUTED_VALUE"""),1.054)</f>
        <v>1.054</v>
      </c>
      <c r="E2417" s="16">
        <f>IFERROR(__xludf.DUMMYFUNCTION("""COMPUTED_VALUE"""),66.0)</f>
        <v>66</v>
      </c>
      <c r="F2417" s="19" t="str">
        <f>IFERROR(__xludf.DUMMYFUNCTION("""COMPUTED_VALUE"""),"BLACK")</f>
        <v>BLACK</v>
      </c>
      <c r="G2417" s="20" t="str">
        <f>IFERROR(__xludf.DUMMYFUNCTION("""COMPUTED_VALUE"""),"Tap 6 Clone (10/15/2021)")</f>
        <v>Tap 6 Clone (10/15/2021)</v>
      </c>
      <c r="H2417" s="19"/>
    </row>
    <row r="2418">
      <c r="A2418" s="9"/>
      <c r="B2418" s="15"/>
      <c r="C2418" s="9">
        <f>IFERROR(__xludf.DUMMYFUNCTION("""COMPUTED_VALUE"""),44486.4846908796)</f>
        <v>44486.48469</v>
      </c>
      <c r="D2418" s="15">
        <f>IFERROR(__xludf.DUMMYFUNCTION("""COMPUTED_VALUE"""),1.054)</f>
        <v>1.054</v>
      </c>
      <c r="E2418" s="16">
        <f>IFERROR(__xludf.DUMMYFUNCTION("""COMPUTED_VALUE"""),66.0)</f>
        <v>66</v>
      </c>
      <c r="F2418" s="19" t="str">
        <f>IFERROR(__xludf.DUMMYFUNCTION("""COMPUTED_VALUE"""),"BLACK")</f>
        <v>BLACK</v>
      </c>
      <c r="G2418" s="20" t="str">
        <f>IFERROR(__xludf.DUMMYFUNCTION("""COMPUTED_VALUE"""),"Tap 6 Clone (10/15/2021)")</f>
        <v>Tap 6 Clone (10/15/2021)</v>
      </c>
      <c r="H2418" s="19"/>
    </row>
    <row r="2419">
      <c r="A2419" s="9"/>
      <c r="B2419" s="15"/>
      <c r="C2419" s="9">
        <f>IFERROR(__xludf.DUMMYFUNCTION("""COMPUTED_VALUE"""),44486.4742694444)</f>
        <v>44486.47427</v>
      </c>
      <c r="D2419" s="15">
        <f>IFERROR(__xludf.DUMMYFUNCTION("""COMPUTED_VALUE"""),1.054)</f>
        <v>1.054</v>
      </c>
      <c r="E2419" s="16">
        <f>IFERROR(__xludf.DUMMYFUNCTION("""COMPUTED_VALUE"""),66.0)</f>
        <v>66</v>
      </c>
      <c r="F2419" s="19" t="str">
        <f>IFERROR(__xludf.DUMMYFUNCTION("""COMPUTED_VALUE"""),"BLACK")</f>
        <v>BLACK</v>
      </c>
      <c r="G2419" s="20" t="str">
        <f>IFERROR(__xludf.DUMMYFUNCTION("""COMPUTED_VALUE"""),"Tap 6 Clone (10/15/2021)")</f>
        <v>Tap 6 Clone (10/15/2021)</v>
      </c>
      <c r="H2419" s="19"/>
    </row>
    <row r="2420">
      <c r="A2420" s="9"/>
      <c r="B2420" s="15"/>
      <c r="C2420" s="9">
        <f>IFERROR(__xludf.DUMMYFUNCTION("""COMPUTED_VALUE"""),44486.4638356828)</f>
        <v>44486.46384</v>
      </c>
      <c r="D2420" s="15">
        <f>IFERROR(__xludf.DUMMYFUNCTION("""COMPUTED_VALUE"""),1.054)</f>
        <v>1.054</v>
      </c>
      <c r="E2420" s="16">
        <f>IFERROR(__xludf.DUMMYFUNCTION("""COMPUTED_VALUE"""),66.0)</f>
        <v>66</v>
      </c>
      <c r="F2420" s="19" t="str">
        <f>IFERROR(__xludf.DUMMYFUNCTION("""COMPUTED_VALUE"""),"BLACK")</f>
        <v>BLACK</v>
      </c>
      <c r="G2420" s="20" t="str">
        <f>IFERROR(__xludf.DUMMYFUNCTION("""COMPUTED_VALUE"""),"Tap 6 Clone (10/15/2021)")</f>
        <v>Tap 6 Clone (10/15/2021)</v>
      </c>
      <c r="H2420" s="19"/>
    </row>
    <row r="2421">
      <c r="A2421" s="9"/>
      <c r="B2421" s="15"/>
      <c r="C2421" s="9">
        <f>IFERROR(__xludf.DUMMYFUNCTION("""COMPUTED_VALUE"""),44486.4534143634)</f>
        <v>44486.45341</v>
      </c>
      <c r="D2421" s="15">
        <f>IFERROR(__xludf.DUMMYFUNCTION("""COMPUTED_VALUE"""),1.054)</f>
        <v>1.054</v>
      </c>
      <c r="E2421" s="16">
        <f>IFERROR(__xludf.DUMMYFUNCTION("""COMPUTED_VALUE"""),66.0)</f>
        <v>66</v>
      </c>
      <c r="F2421" s="19" t="str">
        <f>IFERROR(__xludf.DUMMYFUNCTION("""COMPUTED_VALUE"""),"BLACK")</f>
        <v>BLACK</v>
      </c>
      <c r="G2421" s="20" t="str">
        <f>IFERROR(__xludf.DUMMYFUNCTION("""COMPUTED_VALUE"""),"Tap 6 Clone (10/15/2021)")</f>
        <v>Tap 6 Clone (10/15/2021)</v>
      </c>
      <c r="H2421" s="19"/>
    </row>
    <row r="2422">
      <c r="A2422" s="9"/>
      <c r="B2422" s="15"/>
      <c r="C2422" s="9">
        <f>IFERROR(__xludf.DUMMYFUNCTION("""COMPUTED_VALUE"""),44486.4429920833)</f>
        <v>44486.44299</v>
      </c>
      <c r="D2422" s="15">
        <f>IFERROR(__xludf.DUMMYFUNCTION("""COMPUTED_VALUE"""),1.054)</f>
        <v>1.054</v>
      </c>
      <c r="E2422" s="16">
        <f>IFERROR(__xludf.DUMMYFUNCTION("""COMPUTED_VALUE"""),66.0)</f>
        <v>66</v>
      </c>
      <c r="F2422" s="19" t="str">
        <f>IFERROR(__xludf.DUMMYFUNCTION("""COMPUTED_VALUE"""),"BLACK")</f>
        <v>BLACK</v>
      </c>
      <c r="G2422" s="20" t="str">
        <f>IFERROR(__xludf.DUMMYFUNCTION("""COMPUTED_VALUE"""),"Tap 6 Clone (10/15/2021)")</f>
        <v>Tap 6 Clone (10/15/2021)</v>
      </c>
      <c r="H2422" s="19"/>
    </row>
    <row r="2423">
      <c r="A2423" s="9"/>
      <c r="B2423" s="15"/>
      <c r="C2423" s="9">
        <f>IFERROR(__xludf.DUMMYFUNCTION("""COMPUTED_VALUE"""),44486.4325695138)</f>
        <v>44486.43257</v>
      </c>
      <c r="D2423" s="15">
        <f>IFERROR(__xludf.DUMMYFUNCTION("""COMPUTED_VALUE"""),1.054)</f>
        <v>1.054</v>
      </c>
      <c r="E2423" s="16">
        <f>IFERROR(__xludf.DUMMYFUNCTION("""COMPUTED_VALUE"""),66.0)</f>
        <v>66</v>
      </c>
      <c r="F2423" s="19" t="str">
        <f>IFERROR(__xludf.DUMMYFUNCTION("""COMPUTED_VALUE"""),"BLACK")</f>
        <v>BLACK</v>
      </c>
      <c r="G2423" s="20" t="str">
        <f>IFERROR(__xludf.DUMMYFUNCTION("""COMPUTED_VALUE"""),"Tap 6 Clone (10/15/2021)")</f>
        <v>Tap 6 Clone (10/15/2021)</v>
      </c>
      <c r="H2423" s="19"/>
    </row>
    <row r="2424">
      <c r="A2424" s="9"/>
      <c r="B2424" s="15"/>
      <c r="C2424" s="9">
        <f>IFERROR(__xludf.DUMMYFUNCTION("""COMPUTED_VALUE"""),44486.4221489351)</f>
        <v>44486.42215</v>
      </c>
      <c r="D2424" s="15">
        <f>IFERROR(__xludf.DUMMYFUNCTION("""COMPUTED_VALUE"""),1.054)</f>
        <v>1.054</v>
      </c>
      <c r="E2424" s="16">
        <f>IFERROR(__xludf.DUMMYFUNCTION("""COMPUTED_VALUE"""),66.0)</f>
        <v>66</v>
      </c>
      <c r="F2424" s="19" t="str">
        <f>IFERROR(__xludf.DUMMYFUNCTION("""COMPUTED_VALUE"""),"BLACK")</f>
        <v>BLACK</v>
      </c>
      <c r="G2424" s="20" t="str">
        <f>IFERROR(__xludf.DUMMYFUNCTION("""COMPUTED_VALUE"""),"Tap 6 Clone (10/15/2021)")</f>
        <v>Tap 6 Clone (10/15/2021)</v>
      </c>
      <c r="H2424" s="19"/>
    </row>
    <row r="2425">
      <c r="A2425" s="9"/>
      <c r="B2425" s="15"/>
      <c r="C2425" s="9">
        <f>IFERROR(__xludf.DUMMYFUNCTION("""COMPUTED_VALUE"""),44486.41172853)</f>
        <v>44486.41173</v>
      </c>
      <c r="D2425" s="15">
        <f>IFERROR(__xludf.DUMMYFUNCTION("""COMPUTED_VALUE"""),1.054)</f>
        <v>1.054</v>
      </c>
      <c r="E2425" s="16">
        <f>IFERROR(__xludf.DUMMYFUNCTION("""COMPUTED_VALUE"""),66.0)</f>
        <v>66</v>
      </c>
      <c r="F2425" s="19" t="str">
        <f>IFERROR(__xludf.DUMMYFUNCTION("""COMPUTED_VALUE"""),"BLACK")</f>
        <v>BLACK</v>
      </c>
      <c r="G2425" s="20" t="str">
        <f>IFERROR(__xludf.DUMMYFUNCTION("""COMPUTED_VALUE"""),"Tap 6 Clone (10/15/2021)")</f>
        <v>Tap 6 Clone (10/15/2021)</v>
      </c>
      <c r="H2425" s="19"/>
    </row>
    <row r="2426">
      <c r="A2426" s="9"/>
      <c r="B2426" s="15"/>
      <c r="C2426" s="9">
        <f>IFERROR(__xludf.DUMMYFUNCTION("""COMPUTED_VALUE"""),44486.4013055324)</f>
        <v>44486.40131</v>
      </c>
      <c r="D2426" s="15">
        <f>IFERROR(__xludf.DUMMYFUNCTION("""COMPUTED_VALUE"""),1.054)</f>
        <v>1.054</v>
      </c>
      <c r="E2426" s="16">
        <f>IFERROR(__xludf.DUMMYFUNCTION("""COMPUTED_VALUE"""),66.0)</f>
        <v>66</v>
      </c>
      <c r="F2426" s="19" t="str">
        <f>IFERROR(__xludf.DUMMYFUNCTION("""COMPUTED_VALUE"""),"BLACK")</f>
        <v>BLACK</v>
      </c>
      <c r="G2426" s="20" t="str">
        <f>IFERROR(__xludf.DUMMYFUNCTION("""COMPUTED_VALUE"""),"Tap 6 Clone (10/15/2021)")</f>
        <v>Tap 6 Clone (10/15/2021)</v>
      </c>
      <c r="H2426" s="19"/>
    </row>
    <row r="2427">
      <c r="A2427" s="9"/>
      <c r="B2427" s="15"/>
      <c r="C2427" s="9">
        <f>IFERROR(__xludf.DUMMYFUNCTION("""COMPUTED_VALUE"""),44486.3908829976)</f>
        <v>44486.39088</v>
      </c>
      <c r="D2427" s="15">
        <f>IFERROR(__xludf.DUMMYFUNCTION("""COMPUTED_VALUE"""),1.054)</f>
        <v>1.054</v>
      </c>
      <c r="E2427" s="16">
        <f>IFERROR(__xludf.DUMMYFUNCTION("""COMPUTED_VALUE"""),66.0)</f>
        <v>66</v>
      </c>
      <c r="F2427" s="19" t="str">
        <f>IFERROR(__xludf.DUMMYFUNCTION("""COMPUTED_VALUE"""),"BLACK")</f>
        <v>BLACK</v>
      </c>
      <c r="G2427" s="20" t="str">
        <f>IFERROR(__xludf.DUMMYFUNCTION("""COMPUTED_VALUE"""),"Tap 6 Clone (10/15/2021)")</f>
        <v>Tap 6 Clone (10/15/2021)</v>
      </c>
      <c r="H2427" s="19"/>
    </row>
    <row r="2428">
      <c r="A2428" s="9"/>
      <c r="B2428" s="15"/>
      <c r="C2428" s="9">
        <f>IFERROR(__xludf.DUMMYFUNCTION("""COMPUTED_VALUE"""),44486.380461493)</f>
        <v>44486.38046</v>
      </c>
      <c r="D2428" s="15">
        <f>IFERROR(__xludf.DUMMYFUNCTION("""COMPUTED_VALUE"""),1.054)</f>
        <v>1.054</v>
      </c>
      <c r="E2428" s="16">
        <f>IFERROR(__xludf.DUMMYFUNCTION("""COMPUTED_VALUE"""),66.0)</f>
        <v>66</v>
      </c>
      <c r="F2428" s="19" t="str">
        <f>IFERROR(__xludf.DUMMYFUNCTION("""COMPUTED_VALUE"""),"BLACK")</f>
        <v>BLACK</v>
      </c>
      <c r="G2428" s="20" t="str">
        <f>IFERROR(__xludf.DUMMYFUNCTION("""COMPUTED_VALUE"""),"Tap 6 Clone (10/15/2021)")</f>
        <v>Tap 6 Clone (10/15/2021)</v>
      </c>
      <c r="H2428" s="19"/>
    </row>
    <row r="2429">
      <c r="A2429" s="9"/>
      <c r="B2429" s="15"/>
      <c r="C2429" s="9">
        <f>IFERROR(__xludf.DUMMYFUNCTION("""COMPUTED_VALUE"""),44486.3700276041)</f>
        <v>44486.37003</v>
      </c>
      <c r="D2429" s="15">
        <f>IFERROR(__xludf.DUMMYFUNCTION("""COMPUTED_VALUE"""),1.054)</f>
        <v>1.054</v>
      </c>
      <c r="E2429" s="16">
        <f>IFERROR(__xludf.DUMMYFUNCTION("""COMPUTED_VALUE"""),66.0)</f>
        <v>66</v>
      </c>
      <c r="F2429" s="19" t="str">
        <f>IFERROR(__xludf.DUMMYFUNCTION("""COMPUTED_VALUE"""),"BLACK")</f>
        <v>BLACK</v>
      </c>
      <c r="G2429" s="20" t="str">
        <f>IFERROR(__xludf.DUMMYFUNCTION("""COMPUTED_VALUE"""),"Tap 6 Clone (10/15/2021)")</f>
        <v>Tap 6 Clone (10/15/2021)</v>
      </c>
      <c r="H2429" s="19"/>
    </row>
    <row r="2430">
      <c r="A2430" s="9"/>
      <c r="B2430" s="15"/>
      <c r="C2430" s="9">
        <f>IFERROR(__xludf.DUMMYFUNCTION("""COMPUTED_VALUE"""),44486.3608158449)</f>
        <v>44486.36082</v>
      </c>
      <c r="D2430" s="15">
        <f>IFERROR(__xludf.DUMMYFUNCTION("""COMPUTED_VALUE"""),1.054)</f>
        <v>1.054</v>
      </c>
      <c r="E2430" s="16">
        <f>IFERROR(__xludf.DUMMYFUNCTION("""COMPUTED_VALUE"""),66.0)</f>
        <v>66</v>
      </c>
      <c r="F2430" s="19" t="str">
        <f>IFERROR(__xludf.DUMMYFUNCTION("""COMPUTED_VALUE"""),"BLACK")</f>
        <v>BLACK</v>
      </c>
      <c r="G2430" s="20" t="str">
        <f>IFERROR(__xludf.DUMMYFUNCTION("""COMPUTED_VALUE"""),"Tap 6 Clone (10/15/2021)")</f>
        <v>Tap 6 Clone (10/15/2021)</v>
      </c>
      <c r="H2430" s="19"/>
    </row>
    <row r="2431">
      <c r="A2431" s="9"/>
      <c r="B2431" s="15"/>
      <c r="C2431" s="9">
        <f>IFERROR(__xludf.DUMMYFUNCTION("""COMPUTED_VALUE"""),44486.3503960069)</f>
        <v>44486.3504</v>
      </c>
      <c r="D2431" s="15">
        <f>IFERROR(__xludf.DUMMYFUNCTION("""COMPUTED_VALUE"""),1.054)</f>
        <v>1.054</v>
      </c>
      <c r="E2431" s="16">
        <f>IFERROR(__xludf.DUMMYFUNCTION("""COMPUTED_VALUE"""),66.0)</f>
        <v>66</v>
      </c>
      <c r="F2431" s="19" t="str">
        <f>IFERROR(__xludf.DUMMYFUNCTION("""COMPUTED_VALUE"""),"BLACK")</f>
        <v>BLACK</v>
      </c>
      <c r="G2431" s="20" t="str">
        <f>IFERROR(__xludf.DUMMYFUNCTION("""COMPUTED_VALUE"""),"Tap 6 Clone (10/15/2021)")</f>
        <v>Tap 6 Clone (10/15/2021)</v>
      </c>
      <c r="H2431" s="19"/>
    </row>
    <row r="2432">
      <c r="A2432" s="9"/>
      <c r="B2432" s="15"/>
      <c r="C2432" s="9">
        <f>IFERROR(__xludf.DUMMYFUNCTION("""COMPUTED_VALUE"""),44486.3399761805)</f>
        <v>44486.33998</v>
      </c>
      <c r="D2432" s="15">
        <f>IFERROR(__xludf.DUMMYFUNCTION("""COMPUTED_VALUE"""),1.054)</f>
        <v>1.054</v>
      </c>
      <c r="E2432" s="16">
        <f>IFERROR(__xludf.DUMMYFUNCTION("""COMPUTED_VALUE"""),66.0)</f>
        <v>66</v>
      </c>
      <c r="F2432" s="19" t="str">
        <f>IFERROR(__xludf.DUMMYFUNCTION("""COMPUTED_VALUE"""),"BLACK")</f>
        <v>BLACK</v>
      </c>
      <c r="G2432" s="20" t="str">
        <f>IFERROR(__xludf.DUMMYFUNCTION("""COMPUTED_VALUE"""),"Tap 6 Clone (10/15/2021)")</f>
        <v>Tap 6 Clone (10/15/2021)</v>
      </c>
      <c r="H2432" s="19"/>
    </row>
    <row r="2433">
      <c r="A2433" s="9"/>
      <c r="B2433" s="15"/>
      <c r="C2433" s="9">
        <f>IFERROR(__xludf.DUMMYFUNCTION("""COMPUTED_VALUE"""),44486.3295538657)</f>
        <v>44486.32955</v>
      </c>
      <c r="D2433" s="15">
        <f>IFERROR(__xludf.DUMMYFUNCTION("""COMPUTED_VALUE"""),1.054)</f>
        <v>1.054</v>
      </c>
      <c r="E2433" s="16">
        <f>IFERROR(__xludf.DUMMYFUNCTION("""COMPUTED_VALUE"""),66.0)</f>
        <v>66</v>
      </c>
      <c r="F2433" s="19" t="str">
        <f>IFERROR(__xludf.DUMMYFUNCTION("""COMPUTED_VALUE"""),"BLACK")</f>
        <v>BLACK</v>
      </c>
      <c r="G2433" s="20" t="str">
        <f>IFERROR(__xludf.DUMMYFUNCTION("""COMPUTED_VALUE"""),"Tap 6 Clone (10/15/2021)")</f>
        <v>Tap 6 Clone (10/15/2021)</v>
      </c>
      <c r="H2433" s="19"/>
    </row>
    <row r="2434">
      <c r="A2434" s="9"/>
      <c r="B2434" s="15"/>
      <c r="C2434" s="9">
        <f>IFERROR(__xludf.DUMMYFUNCTION("""COMPUTED_VALUE"""),44486.3191217361)</f>
        <v>44486.31912</v>
      </c>
      <c r="D2434" s="15">
        <f>IFERROR(__xludf.DUMMYFUNCTION("""COMPUTED_VALUE"""),1.054)</f>
        <v>1.054</v>
      </c>
      <c r="E2434" s="16">
        <f>IFERROR(__xludf.DUMMYFUNCTION("""COMPUTED_VALUE"""),66.0)</f>
        <v>66</v>
      </c>
      <c r="F2434" s="19" t="str">
        <f>IFERROR(__xludf.DUMMYFUNCTION("""COMPUTED_VALUE"""),"BLACK")</f>
        <v>BLACK</v>
      </c>
      <c r="G2434" s="20" t="str">
        <f>IFERROR(__xludf.DUMMYFUNCTION("""COMPUTED_VALUE"""),"Tap 6 Clone (10/15/2021)")</f>
        <v>Tap 6 Clone (10/15/2021)</v>
      </c>
      <c r="H2434" s="19"/>
    </row>
    <row r="2435">
      <c r="A2435" s="9"/>
      <c r="B2435" s="15"/>
      <c r="C2435" s="9">
        <f>IFERROR(__xludf.DUMMYFUNCTION("""COMPUTED_VALUE"""),44486.3087012615)</f>
        <v>44486.3087</v>
      </c>
      <c r="D2435" s="15">
        <f>IFERROR(__xludf.DUMMYFUNCTION("""COMPUTED_VALUE"""),1.054)</f>
        <v>1.054</v>
      </c>
      <c r="E2435" s="16">
        <f>IFERROR(__xludf.DUMMYFUNCTION("""COMPUTED_VALUE"""),66.0)</f>
        <v>66</v>
      </c>
      <c r="F2435" s="19" t="str">
        <f>IFERROR(__xludf.DUMMYFUNCTION("""COMPUTED_VALUE"""),"BLACK")</f>
        <v>BLACK</v>
      </c>
      <c r="G2435" s="20" t="str">
        <f>IFERROR(__xludf.DUMMYFUNCTION("""COMPUTED_VALUE"""),"Tap 6 Clone (10/15/2021)")</f>
        <v>Tap 6 Clone (10/15/2021)</v>
      </c>
      <c r="H2435" s="19"/>
    </row>
    <row r="2436">
      <c r="A2436" s="9"/>
      <c r="B2436" s="15"/>
      <c r="C2436" s="9">
        <f>IFERROR(__xludf.DUMMYFUNCTION("""COMPUTED_VALUE"""),44486.2982788194)</f>
        <v>44486.29828</v>
      </c>
      <c r="D2436" s="15">
        <f>IFERROR(__xludf.DUMMYFUNCTION("""COMPUTED_VALUE"""),1.054)</f>
        <v>1.054</v>
      </c>
      <c r="E2436" s="16">
        <f>IFERROR(__xludf.DUMMYFUNCTION("""COMPUTED_VALUE"""),66.0)</f>
        <v>66</v>
      </c>
      <c r="F2436" s="19" t="str">
        <f>IFERROR(__xludf.DUMMYFUNCTION("""COMPUTED_VALUE"""),"BLACK")</f>
        <v>BLACK</v>
      </c>
      <c r="G2436" s="20" t="str">
        <f>IFERROR(__xludf.DUMMYFUNCTION("""COMPUTED_VALUE"""),"Tap 6 Clone (10/15/2021)")</f>
        <v>Tap 6 Clone (10/15/2021)</v>
      </c>
      <c r="H2436" s="19"/>
    </row>
    <row r="2437">
      <c r="A2437" s="9"/>
      <c r="B2437" s="15"/>
      <c r="C2437" s="9">
        <f>IFERROR(__xludf.DUMMYFUNCTION("""COMPUTED_VALUE"""),44486.2878589004)</f>
        <v>44486.28786</v>
      </c>
      <c r="D2437" s="15">
        <f>IFERROR(__xludf.DUMMYFUNCTION("""COMPUTED_VALUE"""),1.054)</f>
        <v>1.054</v>
      </c>
      <c r="E2437" s="16">
        <f>IFERROR(__xludf.DUMMYFUNCTION("""COMPUTED_VALUE"""),66.0)</f>
        <v>66</v>
      </c>
      <c r="F2437" s="19" t="str">
        <f>IFERROR(__xludf.DUMMYFUNCTION("""COMPUTED_VALUE"""),"BLACK")</f>
        <v>BLACK</v>
      </c>
      <c r="G2437" s="20" t="str">
        <f>IFERROR(__xludf.DUMMYFUNCTION("""COMPUTED_VALUE"""),"Tap 6 Clone (10/15/2021)")</f>
        <v>Tap 6 Clone (10/15/2021)</v>
      </c>
      <c r="H2437" s="19"/>
    </row>
    <row r="2438">
      <c r="A2438" s="9"/>
      <c r="B2438" s="15"/>
      <c r="C2438" s="9">
        <f>IFERROR(__xludf.DUMMYFUNCTION("""COMPUTED_VALUE"""),44486.2774355324)</f>
        <v>44486.27744</v>
      </c>
      <c r="D2438" s="15">
        <f>IFERROR(__xludf.DUMMYFUNCTION("""COMPUTED_VALUE"""),1.054)</f>
        <v>1.054</v>
      </c>
      <c r="E2438" s="16">
        <f>IFERROR(__xludf.DUMMYFUNCTION("""COMPUTED_VALUE"""),66.0)</f>
        <v>66</v>
      </c>
      <c r="F2438" s="19" t="str">
        <f>IFERROR(__xludf.DUMMYFUNCTION("""COMPUTED_VALUE"""),"BLACK")</f>
        <v>BLACK</v>
      </c>
      <c r="G2438" s="20" t="str">
        <f>IFERROR(__xludf.DUMMYFUNCTION("""COMPUTED_VALUE"""),"Tap 6 Clone (10/15/2021)")</f>
        <v>Tap 6 Clone (10/15/2021)</v>
      </c>
      <c r="H2438" s="19"/>
    </row>
    <row r="2439">
      <c r="A2439" s="9"/>
      <c r="B2439" s="15"/>
      <c r="C2439" s="9">
        <f>IFERROR(__xludf.DUMMYFUNCTION("""COMPUTED_VALUE"""),44486.2670131944)</f>
        <v>44486.26701</v>
      </c>
      <c r="D2439" s="15">
        <f>IFERROR(__xludf.DUMMYFUNCTION("""COMPUTED_VALUE"""),1.054)</f>
        <v>1.054</v>
      </c>
      <c r="E2439" s="16">
        <f>IFERROR(__xludf.DUMMYFUNCTION("""COMPUTED_VALUE"""),66.0)</f>
        <v>66</v>
      </c>
      <c r="F2439" s="19" t="str">
        <f>IFERROR(__xludf.DUMMYFUNCTION("""COMPUTED_VALUE"""),"BLACK")</f>
        <v>BLACK</v>
      </c>
      <c r="G2439" s="20" t="str">
        <f>IFERROR(__xludf.DUMMYFUNCTION("""COMPUTED_VALUE"""),"Tap 6 Clone (10/15/2021)")</f>
        <v>Tap 6 Clone (10/15/2021)</v>
      </c>
      <c r="H2439" s="19"/>
    </row>
    <row r="2440">
      <c r="A2440" s="9"/>
      <c r="B2440" s="15"/>
      <c r="C2440" s="9">
        <f>IFERROR(__xludf.DUMMYFUNCTION("""COMPUTED_VALUE"""),44486.256594456)</f>
        <v>44486.25659</v>
      </c>
      <c r="D2440" s="15">
        <f>IFERROR(__xludf.DUMMYFUNCTION("""COMPUTED_VALUE"""),1.054)</f>
        <v>1.054</v>
      </c>
      <c r="E2440" s="16">
        <f>IFERROR(__xludf.DUMMYFUNCTION("""COMPUTED_VALUE"""),66.0)</f>
        <v>66</v>
      </c>
      <c r="F2440" s="19" t="str">
        <f>IFERROR(__xludf.DUMMYFUNCTION("""COMPUTED_VALUE"""),"BLACK")</f>
        <v>BLACK</v>
      </c>
      <c r="G2440" s="20" t="str">
        <f>IFERROR(__xludf.DUMMYFUNCTION("""COMPUTED_VALUE"""),"Tap 6 Clone (10/15/2021)")</f>
        <v>Tap 6 Clone (10/15/2021)</v>
      </c>
      <c r="H2440" s="19"/>
    </row>
    <row r="2441">
      <c r="A2441" s="9"/>
      <c r="B2441" s="15"/>
      <c r="C2441" s="9">
        <f>IFERROR(__xludf.DUMMYFUNCTION("""COMPUTED_VALUE"""),44486.2461723958)</f>
        <v>44486.24617</v>
      </c>
      <c r="D2441" s="15">
        <f>IFERROR(__xludf.DUMMYFUNCTION("""COMPUTED_VALUE"""),1.054)</f>
        <v>1.054</v>
      </c>
      <c r="E2441" s="16">
        <f>IFERROR(__xludf.DUMMYFUNCTION("""COMPUTED_VALUE"""),66.0)</f>
        <v>66</v>
      </c>
      <c r="F2441" s="19" t="str">
        <f>IFERROR(__xludf.DUMMYFUNCTION("""COMPUTED_VALUE"""),"BLACK")</f>
        <v>BLACK</v>
      </c>
      <c r="G2441" s="20" t="str">
        <f>IFERROR(__xludf.DUMMYFUNCTION("""COMPUTED_VALUE"""),"Tap 6 Clone (10/15/2021)")</f>
        <v>Tap 6 Clone (10/15/2021)</v>
      </c>
      <c r="H2441" s="19"/>
    </row>
    <row r="2442">
      <c r="A2442" s="9"/>
      <c r="B2442" s="15"/>
      <c r="C2442" s="9">
        <f>IFERROR(__xludf.DUMMYFUNCTION("""COMPUTED_VALUE"""),44486.2357522106)</f>
        <v>44486.23575</v>
      </c>
      <c r="D2442" s="15">
        <f>IFERROR(__xludf.DUMMYFUNCTION("""COMPUTED_VALUE"""),1.054)</f>
        <v>1.054</v>
      </c>
      <c r="E2442" s="16">
        <f>IFERROR(__xludf.DUMMYFUNCTION("""COMPUTED_VALUE"""),66.0)</f>
        <v>66</v>
      </c>
      <c r="F2442" s="19" t="str">
        <f>IFERROR(__xludf.DUMMYFUNCTION("""COMPUTED_VALUE"""),"BLACK")</f>
        <v>BLACK</v>
      </c>
      <c r="G2442" s="20" t="str">
        <f>IFERROR(__xludf.DUMMYFUNCTION("""COMPUTED_VALUE"""),"Tap 6 Clone (10/15/2021)")</f>
        <v>Tap 6 Clone (10/15/2021)</v>
      </c>
      <c r="H2442" s="19"/>
    </row>
    <row r="2443">
      <c r="A2443" s="9"/>
      <c r="B2443" s="15"/>
      <c r="C2443" s="9">
        <f>IFERROR(__xludf.DUMMYFUNCTION("""COMPUTED_VALUE"""),44486.2253315393)</f>
        <v>44486.22533</v>
      </c>
      <c r="D2443" s="15">
        <f>IFERROR(__xludf.DUMMYFUNCTION("""COMPUTED_VALUE"""),1.054)</f>
        <v>1.054</v>
      </c>
      <c r="E2443" s="16">
        <f>IFERROR(__xludf.DUMMYFUNCTION("""COMPUTED_VALUE"""),66.0)</f>
        <v>66</v>
      </c>
      <c r="F2443" s="19" t="str">
        <f>IFERROR(__xludf.DUMMYFUNCTION("""COMPUTED_VALUE"""),"BLACK")</f>
        <v>BLACK</v>
      </c>
      <c r="G2443" s="20" t="str">
        <f>IFERROR(__xludf.DUMMYFUNCTION("""COMPUTED_VALUE"""),"Tap 6 Clone (10/15/2021)")</f>
        <v>Tap 6 Clone (10/15/2021)</v>
      </c>
      <c r="H2443" s="19"/>
    </row>
    <row r="2444">
      <c r="A2444" s="9"/>
      <c r="B2444" s="15"/>
      <c r="C2444" s="9">
        <f>IFERROR(__xludf.DUMMYFUNCTION("""COMPUTED_VALUE"""),44486.2149105324)</f>
        <v>44486.21491</v>
      </c>
      <c r="D2444" s="15">
        <f>IFERROR(__xludf.DUMMYFUNCTION("""COMPUTED_VALUE"""),1.054)</f>
        <v>1.054</v>
      </c>
      <c r="E2444" s="16">
        <f>IFERROR(__xludf.DUMMYFUNCTION("""COMPUTED_VALUE"""),66.0)</f>
        <v>66</v>
      </c>
      <c r="F2444" s="19" t="str">
        <f>IFERROR(__xludf.DUMMYFUNCTION("""COMPUTED_VALUE"""),"BLACK")</f>
        <v>BLACK</v>
      </c>
      <c r="G2444" s="20" t="str">
        <f>IFERROR(__xludf.DUMMYFUNCTION("""COMPUTED_VALUE"""),"Tap 6 Clone (10/15/2021)")</f>
        <v>Tap 6 Clone (10/15/2021)</v>
      </c>
      <c r="H2444" s="19"/>
    </row>
    <row r="2445">
      <c r="A2445" s="9"/>
      <c r="B2445" s="15"/>
      <c r="C2445" s="9">
        <f>IFERROR(__xludf.DUMMYFUNCTION("""COMPUTED_VALUE"""),44486.2044784838)</f>
        <v>44486.20448</v>
      </c>
      <c r="D2445" s="15">
        <f>IFERROR(__xludf.DUMMYFUNCTION("""COMPUTED_VALUE"""),1.054)</f>
        <v>1.054</v>
      </c>
      <c r="E2445" s="16">
        <f>IFERROR(__xludf.DUMMYFUNCTION("""COMPUTED_VALUE"""),66.0)</f>
        <v>66</v>
      </c>
      <c r="F2445" s="19" t="str">
        <f>IFERROR(__xludf.DUMMYFUNCTION("""COMPUTED_VALUE"""),"BLACK")</f>
        <v>BLACK</v>
      </c>
      <c r="G2445" s="20" t="str">
        <f>IFERROR(__xludf.DUMMYFUNCTION("""COMPUTED_VALUE"""),"Tap 6 Clone (10/15/2021)")</f>
        <v>Tap 6 Clone (10/15/2021)</v>
      </c>
      <c r="H2445" s="19"/>
    </row>
    <row r="2446">
      <c r="A2446" s="9"/>
      <c r="B2446" s="15"/>
      <c r="C2446" s="9">
        <f>IFERROR(__xludf.DUMMYFUNCTION("""COMPUTED_VALUE"""),44486.1940557523)</f>
        <v>44486.19406</v>
      </c>
      <c r="D2446" s="15">
        <f>IFERROR(__xludf.DUMMYFUNCTION("""COMPUTED_VALUE"""),1.054)</f>
        <v>1.054</v>
      </c>
      <c r="E2446" s="16">
        <f>IFERROR(__xludf.DUMMYFUNCTION("""COMPUTED_VALUE"""),66.0)</f>
        <v>66</v>
      </c>
      <c r="F2446" s="19" t="str">
        <f>IFERROR(__xludf.DUMMYFUNCTION("""COMPUTED_VALUE"""),"BLACK")</f>
        <v>BLACK</v>
      </c>
      <c r="G2446" s="20" t="str">
        <f>IFERROR(__xludf.DUMMYFUNCTION("""COMPUTED_VALUE"""),"Tap 6 Clone (10/15/2021)")</f>
        <v>Tap 6 Clone (10/15/2021)</v>
      </c>
      <c r="H2446" s="19"/>
    </row>
    <row r="2447">
      <c r="A2447" s="9"/>
      <c r="B2447" s="15"/>
      <c r="C2447" s="9">
        <f>IFERROR(__xludf.DUMMYFUNCTION("""COMPUTED_VALUE"""),44486.1836233564)</f>
        <v>44486.18362</v>
      </c>
      <c r="D2447" s="15">
        <f>IFERROR(__xludf.DUMMYFUNCTION("""COMPUTED_VALUE"""),1.054)</f>
        <v>1.054</v>
      </c>
      <c r="E2447" s="16">
        <f>IFERROR(__xludf.DUMMYFUNCTION("""COMPUTED_VALUE"""),66.0)</f>
        <v>66</v>
      </c>
      <c r="F2447" s="19" t="str">
        <f>IFERROR(__xludf.DUMMYFUNCTION("""COMPUTED_VALUE"""),"BLACK")</f>
        <v>BLACK</v>
      </c>
      <c r="G2447" s="20" t="str">
        <f>IFERROR(__xludf.DUMMYFUNCTION("""COMPUTED_VALUE"""),"Tap 6 Clone (10/15/2021)")</f>
        <v>Tap 6 Clone (10/15/2021)</v>
      </c>
      <c r="H2447" s="19"/>
    </row>
    <row r="2448">
      <c r="A2448" s="9"/>
      <c r="B2448" s="15"/>
      <c r="C2448" s="9">
        <f>IFERROR(__xludf.DUMMYFUNCTION("""COMPUTED_VALUE"""),44486.1732009027)</f>
        <v>44486.1732</v>
      </c>
      <c r="D2448" s="15">
        <f>IFERROR(__xludf.DUMMYFUNCTION("""COMPUTED_VALUE"""),1.054)</f>
        <v>1.054</v>
      </c>
      <c r="E2448" s="16">
        <f>IFERROR(__xludf.DUMMYFUNCTION("""COMPUTED_VALUE"""),65.0)</f>
        <v>65</v>
      </c>
      <c r="F2448" s="19" t="str">
        <f>IFERROR(__xludf.DUMMYFUNCTION("""COMPUTED_VALUE"""),"BLACK")</f>
        <v>BLACK</v>
      </c>
      <c r="G2448" s="20" t="str">
        <f>IFERROR(__xludf.DUMMYFUNCTION("""COMPUTED_VALUE"""),"Tap 6 Clone (10/15/2021)")</f>
        <v>Tap 6 Clone (10/15/2021)</v>
      </c>
      <c r="H2448" s="19"/>
    </row>
    <row r="2449">
      <c r="A2449" s="9"/>
      <c r="B2449" s="15"/>
      <c r="C2449" s="9">
        <f>IFERROR(__xludf.DUMMYFUNCTION("""COMPUTED_VALUE"""),44486.1627801273)</f>
        <v>44486.16278</v>
      </c>
      <c r="D2449" s="15">
        <f>IFERROR(__xludf.DUMMYFUNCTION("""COMPUTED_VALUE"""),1.054)</f>
        <v>1.054</v>
      </c>
      <c r="E2449" s="16">
        <f>IFERROR(__xludf.DUMMYFUNCTION("""COMPUTED_VALUE"""),65.0)</f>
        <v>65</v>
      </c>
      <c r="F2449" s="19" t="str">
        <f>IFERROR(__xludf.DUMMYFUNCTION("""COMPUTED_VALUE"""),"BLACK")</f>
        <v>BLACK</v>
      </c>
      <c r="G2449" s="20" t="str">
        <f>IFERROR(__xludf.DUMMYFUNCTION("""COMPUTED_VALUE"""),"Tap 6 Clone (10/15/2021)")</f>
        <v>Tap 6 Clone (10/15/2021)</v>
      </c>
      <c r="H2449" s="19"/>
    </row>
    <row r="2450">
      <c r="A2450" s="9"/>
      <c r="B2450" s="15"/>
      <c r="C2450" s="9">
        <f>IFERROR(__xludf.DUMMYFUNCTION("""COMPUTED_VALUE"""),44486.1523588541)</f>
        <v>44486.15236</v>
      </c>
      <c r="D2450" s="15">
        <f>IFERROR(__xludf.DUMMYFUNCTION("""COMPUTED_VALUE"""),1.054)</f>
        <v>1.054</v>
      </c>
      <c r="E2450" s="16">
        <f>IFERROR(__xludf.DUMMYFUNCTION("""COMPUTED_VALUE"""),65.0)</f>
        <v>65</v>
      </c>
      <c r="F2450" s="19" t="str">
        <f>IFERROR(__xludf.DUMMYFUNCTION("""COMPUTED_VALUE"""),"BLACK")</f>
        <v>BLACK</v>
      </c>
      <c r="G2450" s="20" t="str">
        <f>IFERROR(__xludf.DUMMYFUNCTION("""COMPUTED_VALUE"""),"Tap 6 Clone (10/15/2021)")</f>
        <v>Tap 6 Clone (10/15/2021)</v>
      </c>
      <c r="H2450" s="19"/>
    </row>
    <row r="2451">
      <c r="A2451" s="9"/>
      <c r="B2451" s="15"/>
      <c r="C2451" s="9">
        <f>IFERROR(__xludf.DUMMYFUNCTION("""COMPUTED_VALUE"""),44486.1419402777)</f>
        <v>44486.14194</v>
      </c>
      <c r="D2451" s="15">
        <f>IFERROR(__xludf.DUMMYFUNCTION("""COMPUTED_VALUE"""),1.054)</f>
        <v>1.054</v>
      </c>
      <c r="E2451" s="16">
        <f>IFERROR(__xludf.DUMMYFUNCTION("""COMPUTED_VALUE"""),65.0)</f>
        <v>65</v>
      </c>
      <c r="F2451" s="19" t="str">
        <f>IFERROR(__xludf.DUMMYFUNCTION("""COMPUTED_VALUE"""),"BLACK")</f>
        <v>BLACK</v>
      </c>
      <c r="G2451" s="20" t="str">
        <f>IFERROR(__xludf.DUMMYFUNCTION("""COMPUTED_VALUE"""),"Tap 6 Clone (10/15/2021)")</f>
        <v>Tap 6 Clone (10/15/2021)</v>
      </c>
      <c r="H2451" s="19"/>
    </row>
    <row r="2452">
      <c r="A2452" s="9"/>
      <c r="B2452" s="15"/>
      <c r="C2452" s="9">
        <f>IFERROR(__xludf.DUMMYFUNCTION("""COMPUTED_VALUE"""),44486.131519456)</f>
        <v>44486.13152</v>
      </c>
      <c r="D2452" s="15">
        <f>IFERROR(__xludf.DUMMYFUNCTION("""COMPUTED_VALUE"""),1.054)</f>
        <v>1.054</v>
      </c>
      <c r="E2452" s="16">
        <f>IFERROR(__xludf.DUMMYFUNCTION("""COMPUTED_VALUE"""),65.0)</f>
        <v>65</v>
      </c>
      <c r="F2452" s="19" t="str">
        <f>IFERROR(__xludf.DUMMYFUNCTION("""COMPUTED_VALUE"""),"BLACK")</f>
        <v>BLACK</v>
      </c>
      <c r="G2452" s="20" t="str">
        <f>IFERROR(__xludf.DUMMYFUNCTION("""COMPUTED_VALUE"""),"Tap 6 Clone (10/15/2021)")</f>
        <v>Tap 6 Clone (10/15/2021)</v>
      </c>
      <c r="H2452" s="19"/>
    </row>
    <row r="2453">
      <c r="A2453" s="9"/>
      <c r="B2453" s="15"/>
      <c r="C2453" s="9">
        <f>IFERROR(__xludf.DUMMYFUNCTION("""COMPUTED_VALUE"""),44486.121098368)</f>
        <v>44486.1211</v>
      </c>
      <c r="D2453" s="15">
        <f>IFERROR(__xludf.DUMMYFUNCTION("""COMPUTED_VALUE"""),1.054)</f>
        <v>1.054</v>
      </c>
      <c r="E2453" s="16">
        <f>IFERROR(__xludf.DUMMYFUNCTION("""COMPUTED_VALUE"""),65.0)</f>
        <v>65</v>
      </c>
      <c r="F2453" s="19" t="str">
        <f>IFERROR(__xludf.DUMMYFUNCTION("""COMPUTED_VALUE"""),"BLACK")</f>
        <v>BLACK</v>
      </c>
      <c r="G2453" s="20" t="str">
        <f>IFERROR(__xludf.DUMMYFUNCTION("""COMPUTED_VALUE"""),"Tap 6 Clone (10/15/2021)")</f>
        <v>Tap 6 Clone (10/15/2021)</v>
      </c>
      <c r="H2453" s="19"/>
    </row>
    <row r="2454">
      <c r="A2454" s="9"/>
      <c r="B2454" s="15"/>
      <c r="C2454" s="9">
        <f>IFERROR(__xludf.DUMMYFUNCTION("""COMPUTED_VALUE"""),44486.1106762268)</f>
        <v>44486.11068</v>
      </c>
      <c r="D2454" s="15">
        <f>IFERROR(__xludf.DUMMYFUNCTION("""COMPUTED_VALUE"""),1.054)</f>
        <v>1.054</v>
      </c>
      <c r="E2454" s="16">
        <f>IFERROR(__xludf.DUMMYFUNCTION("""COMPUTED_VALUE"""),65.0)</f>
        <v>65</v>
      </c>
      <c r="F2454" s="19" t="str">
        <f>IFERROR(__xludf.DUMMYFUNCTION("""COMPUTED_VALUE"""),"BLACK")</f>
        <v>BLACK</v>
      </c>
      <c r="G2454" s="20" t="str">
        <f>IFERROR(__xludf.DUMMYFUNCTION("""COMPUTED_VALUE"""),"Tap 6 Clone (10/15/2021)")</f>
        <v>Tap 6 Clone (10/15/2021)</v>
      </c>
      <c r="H2454" s="19"/>
    </row>
    <row r="2455">
      <c r="A2455" s="9"/>
      <c r="B2455" s="15"/>
      <c r="C2455" s="9">
        <f>IFERROR(__xludf.DUMMYFUNCTION("""COMPUTED_VALUE"""),44486.1002553819)</f>
        <v>44486.10026</v>
      </c>
      <c r="D2455" s="15">
        <f>IFERROR(__xludf.DUMMYFUNCTION("""COMPUTED_VALUE"""),1.054)</f>
        <v>1.054</v>
      </c>
      <c r="E2455" s="16">
        <f>IFERROR(__xludf.DUMMYFUNCTION("""COMPUTED_VALUE"""),65.0)</f>
        <v>65</v>
      </c>
      <c r="F2455" s="19" t="str">
        <f>IFERROR(__xludf.DUMMYFUNCTION("""COMPUTED_VALUE"""),"BLACK")</f>
        <v>BLACK</v>
      </c>
      <c r="G2455" s="20" t="str">
        <f>IFERROR(__xludf.DUMMYFUNCTION("""COMPUTED_VALUE"""),"Tap 6 Clone (10/15/2021)")</f>
        <v>Tap 6 Clone (10/15/2021)</v>
      </c>
      <c r="H2455" s="19"/>
    </row>
    <row r="2456">
      <c r="A2456" s="9"/>
      <c r="B2456" s="15"/>
      <c r="C2456" s="9">
        <f>IFERROR(__xludf.DUMMYFUNCTION("""COMPUTED_VALUE"""),44486.0898349768)</f>
        <v>44486.08983</v>
      </c>
      <c r="D2456" s="15">
        <f>IFERROR(__xludf.DUMMYFUNCTION("""COMPUTED_VALUE"""),1.054)</f>
        <v>1.054</v>
      </c>
      <c r="E2456" s="16">
        <f>IFERROR(__xludf.DUMMYFUNCTION("""COMPUTED_VALUE"""),65.0)</f>
        <v>65</v>
      </c>
      <c r="F2456" s="19" t="str">
        <f>IFERROR(__xludf.DUMMYFUNCTION("""COMPUTED_VALUE"""),"BLACK")</f>
        <v>BLACK</v>
      </c>
      <c r="G2456" s="20" t="str">
        <f>IFERROR(__xludf.DUMMYFUNCTION("""COMPUTED_VALUE"""),"Tap 6 Clone (10/15/2021)")</f>
        <v>Tap 6 Clone (10/15/2021)</v>
      </c>
      <c r="H2456" s="19"/>
    </row>
    <row r="2457">
      <c r="A2457" s="9"/>
      <c r="B2457" s="15"/>
      <c r="C2457" s="9">
        <f>IFERROR(__xludf.DUMMYFUNCTION("""COMPUTED_VALUE"""),44486.0794029166)</f>
        <v>44486.0794</v>
      </c>
      <c r="D2457" s="15">
        <f>IFERROR(__xludf.DUMMYFUNCTION("""COMPUTED_VALUE"""),1.054)</f>
        <v>1.054</v>
      </c>
      <c r="E2457" s="16">
        <f>IFERROR(__xludf.DUMMYFUNCTION("""COMPUTED_VALUE"""),65.0)</f>
        <v>65</v>
      </c>
      <c r="F2457" s="19" t="str">
        <f>IFERROR(__xludf.DUMMYFUNCTION("""COMPUTED_VALUE"""),"BLACK")</f>
        <v>BLACK</v>
      </c>
      <c r="G2457" s="20" t="str">
        <f>IFERROR(__xludf.DUMMYFUNCTION("""COMPUTED_VALUE"""),"Tap 6 Clone (10/15/2021)")</f>
        <v>Tap 6 Clone (10/15/2021)</v>
      </c>
      <c r="H2457" s="19"/>
    </row>
    <row r="2458">
      <c r="A2458" s="9"/>
      <c r="B2458" s="15"/>
      <c r="C2458" s="9">
        <f>IFERROR(__xludf.DUMMYFUNCTION("""COMPUTED_VALUE"""),44486.0689821759)</f>
        <v>44486.06898</v>
      </c>
      <c r="D2458" s="15">
        <f>IFERROR(__xludf.DUMMYFUNCTION("""COMPUTED_VALUE"""),1.054)</f>
        <v>1.054</v>
      </c>
      <c r="E2458" s="16">
        <f>IFERROR(__xludf.DUMMYFUNCTION("""COMPUTED_VALUE"""),65.0)</f>
        <v>65</v>
      </c>
      <c r="F2458" s="19" t="str">
        <f>IFERROR(__xludf.DUMMYFUNCTION("""COMPUTED_VALUE"""),"BLACK")</f>
        <v>BLACK</v>
      </c>
      <c r="G2458" s="20" t="str">
        <f>IFERROR(__xludf.DUMMYFUNCTION("""COMPUTED_VALUE"""),"Tap 6 Clone (10/15/2021)")</f>
        <v>Tap 6 Clone (10/15/2021)</v>
      </c>
      <c r="H2458" s="19"/>
    </row>
    <row r="2459">
      <c r="A2459" s="9"/>
      <c r="B2459" s="15"/>
      <c r="C2459" s="9">
        <f>IFERROR(__xludf.DUMMYFUNCTION("""COMPUTED_VALUE"""),44486.0585600578)</f>
        <v>44486.05856</v>
      </c>
      <c r="D2459" s="15">
        <f>IFERROR(__xludf.DUMMYFUNCTION("""COMPUTED_VALUE"""),1.054)</f>
        <v>1.054</v>
      </c>
      <c r="E2459" s="16">
        <f>IFERROR(__xludf.DUMMYFUNCTION("""COMPUTED_VALUE"""),65.0)</f>
        <v>65</v>
      </c>
      <c r="F2459" s="19" t="str">
        <f>IFERROR(__xludf.DUMMYFUNCTION("""COMPUTED_VALUE"""),"BLACK")</f>
        <v>BLACK</v>
      </c>
      <c r="G2459" s="20" t="str">
        <f>IFERROR(__xludf.DUMMYFUNCTION("""COMPUTED_VALUE"""),"Tap 6 Clone (10/15/2021)")</f>
        <v>Tap 6 Clone (10/15/2021)</v>
      </c>
      <c r="H2459" s="19"/>
    </row>
    <row r="2460">
      <c r="A2460" s="9"/>
      <c r="B2460" s="15"/>
      <c r="C2460" s="9">
        <f>IFERROR(__xludf.DUMMYFUNCTION("""COMPUTED_VALUE"""),44486.0481374189)</f>
        <v>44486.04814</v>
      </c>
      <c r="D2460" s="15">
        <f>IFERROR(__xludf.DUMMYFUNCTION("""COMPUTED_VALUE"""),1.054)</f>
        <v>1.054</v>
      </c>
      <c r="E2460" s="16">
        <f>IFERROR(__xludf.DUMMYFUNCTION("""COMPUTED_VALUE"""),65.0)</f>
        <v>65</v>
      </c>
      <c r="F2460" s="19" t="str">
        <f>IFERROR(__xludf.DUMMYFUNCTION("""COMPUTED_VALUE"""),"BLACK")</f>
        <v>BLACK</v>
      </c>
      <c r="G2460" s="20" t="str">
        <f>IFERROR(__xludf.DUMMYFUNCTION("""COMPUTED_VALUE"""),"Tap 6 Clone (10/15/2021)")</f>
        <v>Tap 6 Clone (10/15/2021)</v>
      </c>
      <c r="H2460" s="19"/>
    </row>
    <row r="2461">
      <c r="A2461" s="9"/>
      <c r="B2461" s="15"/>
      <c r="C2461" s="9">
        <f>IFERROR(__xludf.DUMMYFUNCTION("""COMPUTED_VALUE"""),44486.0377167476)</f>
        <v>44486.03772</v>
      </c>
      <c r="D2461" s="15">
        <f>IFERROR(__xludf.DUMMYFUNCTION("""COMPUTED_VALUE"""),1.054)</f>
        <v>1.054</v>
      </c>
      <c r="E2461" s="16">
        <f>IFERROR(__xludf.DUMMYFUNCTION("""COMPUTED_VALUE"""),65.0)</f>
        <v>65</v>
      </c>
      <c r="F2461" s="19" t="str">
        <f>IFERROR(__xludf.DUMMYFUNCTION("""COMPUTED_VALUE"""),"BLACK")</f>
        <v>BLACK</v>
      </c>
      <c r="G2461" s="20" t="str">
        <f>IFERROR(__xludf.DUMMYFUNCTION("""COMPUTED_VALUE"""),"Tap 6 Clone (10/15/2021)")</f>
        <v>Tap 6 Clone (10/15/2021)</v>
      </c>
      <c r="H2461" s="19"/>
    </row>
    <row r="2462">
      <c r="A2462" s="9"/>
      <c r="B2462" s="15"/>
      <c r="C2462" s="9">
        <f>IFERROR(__xludf.DUMMYFUNCTION("""COMPUTED_VALUE"""),44486.0272960879)</f>
        <v>44486.0273</v>
      </c>
      <c r="D2462" s="15">
        <f>IFERROR(__xludf.DUMMYFUNCTION("""COMPUTED_VALUE"""),1.054)</f>
        <v>1.054</v>
      </c>
      <c r="E2462" s="16">
        <f>IFERROR(__xludf.DUMMYFUNCTION("""COMPUTED_VALUE"""),65.0)</f>
        <v>65</v>
      </c>
      <c r="F2462" s="19" t="str">
        <f>IFERROR(__xludf.DUMMYFUNCTION("""COMPUTED_VALUE"""),"BLACK")</f>
        <v>BLACK</v>
      </c>
      <c r="G2462" s="20" t="str">
        <f>IFERROR(__xludf.DUMMYFUNCTION("""COMPUTED_VALUE"""),"Tap 6 Clone (10/15/2021)")</f>
        <v>Tap 6 Clone (10/15/2021)</v>
      </c>
      <c r="H2462" s="19"/>
    </row>
    <row r="2463">
      <c r="A2463" s="9"/>
      <c r="B2463" s="15"/>
      <c r="C2463" s="9">
        <f>IFERROR(__xludf.DUMMYFUNCTION("""COMPUTED_VALUE"""),44486.0168770254)</f>
        <v>44486.01688</v>
      </c>
      <c r="D2463" s="15">
        <f>IFERROR(__xludf.DUMMYFUNCTION("""COMPUTED_VALUE"""),1.054)</f>
        <v>1.054</v>
      </c>
      <c r="E2463" s="16">
        <f>IFERROR(__xludf.DUMMYFUNCTION("""COMPUTED_VALUE"""),65.0)</f>
        <v>65</v>
      </c>
      <c r="F2463" s="19" t="str">
        <f>IFERROR(__xludf.DUMMYFUNCTION("""COMPUTED_VALUE"""),"BLACK")</f>
        <v>BLACK</v>
      </c>
      <c r="G2463" s="20" t="str">
        <f>IFERROR(__xludf.DUMMYFUNCTION("""COMPUTED_VALUE"""),"Tap 6 Clone (10/15/2021)")</f>
        <v>Tap 6 Clone (10/15/2021)</v>
      </c>
      <c r="H2463" s="19"/>
    </row>
    <row r="2464">
      <c r="A2464" s="9"/>
      <c r="B2464" s="15"/>
      <c r="C2464" s="9">
        <f>IFERROR(__xludf.DUMMYFUNCTION("""COMPUTED_VALUE"""),44486.006455787)</f>
        <v>44486.00646</v>
      </c>
      <c r="D2464" s="15">
        <f>IFERROR(__xludf.DUMMYFUNCTION("""COMPUTED_VALUE"""),1.054)</f>
        <v>1.054</v>
      </c>
      <c r="E2464" s="16">
        <f>IFERROR(__xludf.DUMMYFUNCTION("""COMPUTED_VALUE"""),65.0)</f>
        <v>65</v>
      </c>
      <c r="F2464" s="19" t="str">
        <f>IFERROR(__xludf.DUMMYFUNCTION("""COMPUTED_VALUE"""),"BLACK")</f>
        <v>BLACK</v>
      </c>
      <c r="G2464" s="20" t="str">
        <f>IFERROR(__xludf.DUMMYFUNCTION("""COMPUTED_VALUE"""),"Tap 6 Clone (10/15/2021)")</f>
        <v>Tap 6 Clone (10/15/2021)</v>
      </c>
      <c r="H2464" s="19"/>
    </row>
    <row r="2465">
      <c r="A2465" s="9"/>
      <c r="B2465" s="15"/>
      <c r="C2465" s="9">
        <f>IFERROR(__xludf.DUMMYFUNCTION("""COMPUTED_VALUE"""),44485.9960356713)</f>
        <v>44485.99604</v>
      </c>
      <c r="D2465" s="15">
        <f>IFERROR(__xludf.DUMMYFUNCTION("""COMPUTED_VALUE"""),1.054)</f>
        <v>1.054</v>
      </c>
      <c r="E2465" s="16">
        <f>IFERROR(__xludf.DUMMYFUNCTION("""COMPUTED_VALUE"""),65.0)</f>
        <v>65</v>
      </c>
      <c r="F2465" s="19" t="str">
        <f>IFERROR(__xludf.DUMMYFUNCTION("""COMPUTED_VALUE"""),"BLACK")</f>
        <v>BLACK</v>
      </c>
      <c r="G2465" s="20" t="str">
        <f>IFERROR(__xludf.DUMMYFUNCTION("""COMPUTED_VALUE"""),"Tap 6 Clone (10/15/2021)")</f>
        <v>Tap 6 Clone (10/15/2021)</v>
      </c>
      <c r="H2465" s="19"/>
    </row>
    <row r="2466">
      <c r="A2466" s="9"/>
      <c r="B2466" s="15"/>
      <c r="C2466" s="9">
        <f>IFERROR(__xludf.DUMMYFUNCTION("""COMPUTED_VALUE"""),44485.9856146875)</f>
        <v>44485.98561</v>
      </c>
      <c r="D2466" s="15">
        <f>IFERROR(__xludf.DUMMYFUNCTION("""COMPUTED_VALUE"""),1.054)</f>
        <v>1.054</v>
      </c>
      <c r="E2466" s="16">
        <f>IFERROR(__xludf.DUMMYFUNCTION("""COMPUTED_VALUE"""),65.0)</f>
        <v>65</v>
      </c>
      <c r="F2466" s="19" t="str">
        <f>IFERROR(__xludf.DUMMYFUNCTION("""COMPUTED_VALUE"""),"BLACK")</f>
        <v>BLACK</v>
      </c>
      <c r="G2466" s="20" t="str">
        <f>IFERROR(__xludf.DUMMYFUNCTION("""COMPUTED_VALUE"""),"Tap 6 Clone (10/15/2021)")</f>
        <v>Tap 6 Clone (10/15/2021)</v>
      </c>
      <c r="H2466" s="19"/>
    </row>
    <row r="2467">
      <c r="A2467" s="9"/>
      <c r="B2467" s="15"/>
      <c r="C2467" s="9">
        <f>IFERROR(__xludf.DUMMYFUNCTION("""COMPUTED_VALUE"""),44485.9751826041)</f>
        <v>44485.97518</v>
      </c>
      <c r="D2467" s="15">
        <f>IFERROR(__xludf.DUMMYFUNCTION("""COMPUTED_VALUE"""),1.054)</f>
        <v>1.054</v>
      </c>
      <c r="E2467" s="16">
        <f>IFERROR(__xludf.DUMMYFUNCTION("""COMPUTED_VALUE"""),65.0)</f>
        <v>65</v>
      </c>
      <c r="F2467" s="19" t="str">
        <f>IFERROR(__xludf.DUMMYFUNCTION("""COMPUTED_VALUE"""),"BLACK")</f>
        <v>BLACK</v>
      </c>
      <c r="G2467" s="20" t="str">
        <f>IFERROR(__xludf.DUMMYFUNCTION("""COMPUTED_VALUE"""),"Tap 6 Clone (10/15/2021)")</f>
        <v>Tap 6 Clone (10/15/2021)</v>
      </c>
      <c r="H2467" s="19"/>
    </row>
    <row r="2468">
      <c r="A2468" s="9"/>
      <c r="B2468" s="15"/>
      <c r="C2468" s="9">
        <f>IFERROR(__xludf.DUMMYFUNCTION("""COMPUTED_VALUE"""),44485.9647617824)</f>
        <v>44485.96476</v>
      </c>
      <c r="D2468" s="15">
        <f>IFERROR(__xludf.DUMMYFUNCTION("""COMPUTED_VALUE"""),1.054)</f>
        <v>1.054</v>
      </c>
      <c r="E2468" s="16">
        <f>IFERROR(__xludf.DUMMYFUNCTION("""COMPUTED_VALUE"""),65.0)</f>
        <v>65</v>
      </c>
      <c r="F2468" s="19" t="str">
        <f>IFERROR(__xludf.DUMMYFUNCTION("""COMPUTED_VALUE"""),"BLACK")</f>
        <v>BLACK</v>
      </c>
      <c r="G2468" s="20" t="str">
        <f>IFERROR(__xludf.DUMMYFUNCTION("""COMPUTED_VALUE"""),"Tap 6 Clone (10/15/2021)")</f>
        <v>Tap 6 Clone (10/15/2021)</v>
      </c>
      <c r="H2468" s="19"/>
    </row>
    <row r="2469">
      <c r="A2469" s="9"/>
      <c r="B2469" s="15"/>
      <c r="C2469" s="9">
        <f>IFERROR(__xludf.DUMMYFUNCTION("""COMPUTED_VALUE"""),44485.9543399768)</f>
        <v>44485.95434</v>
      </c>
      <c r="D2469" s="15">
        <f>IFERROR(__xludf.DUMMYFUNCTION("""COMPUTED_VALUE"""),1.054)</f>
        <v>1.054</v>
      </c>
      <c r="E2469" s="16">
        <f>IFERROR(__xludf.DUMMYFUNCTION("""COMPUTED_VALUE"""),65.0)</f>
        <v>65</v>
      </c>
      <c r="F2469" s="19" t="str">
        <f>IFERROR(__xludf.DUMMYFUNCTION("""COMPUTED_VALUE"""),"BLACK")</f>
        <v>BLACK</v>
      </c>
      <c r="G2469" s="20" t="str">
        <f>IFERROR(__xludf.DUMMYFUNCTION("""COMPUTED_VALUE"""),"Tap 6 Clone (10/15/2021)")</f>
        <v>Tap 6 Clone (10/15/2021)</v>
      </c>
      <c r="H2469" s="19"/>
    </row>
    <row r="2470">
      <c r="A2470" s="9"/>
      <c r="B2470" s="15"/>
      <c r="C2470" s="9">
        <f>IFERROR(__xludf.DUMMYFUNCTION("""COMPUTED_VALUE"""),44485.9439211689)</f>
        <v>44485.94392</v>
      </c>
      <c r="D2470" s="15">
        <f>IFERROR(__xludf.DUMMYFUNCTION("""COMPUTED_VALUE"""),1.054)</f>
        <v>1.054</v>
      </c>
      <c r="E2470" s="16">
        <f>IFERROR(__xludf.DUMMYFUNCTION("""COMPUTED_VALUE"""),65.0)</f>
        <v>65</v>
      </c>
      <c r="F2470" s="19" t="str">
        <f>IFERROR(__xludf.DUMMYFUNCTION("""COMPUTED_VALUE"""),"BLACK")</f>
        <v>BLACK</v>
      </c>
      <c r="G2470" s="20" t="str">
        <f>IFERROR(__xludf.DUMMYFUNCTION("""COMPUTED_VALUE"""),"Tap 6 Clone (10/15/2021)")</f>
        <v>Tap 6 Clone (10/15/2021)</v>
      </c>
      <c r="H2470" s="19"/>
    </row>
    <row r="2471">
      <c r="A2471" s="9"/>
      <c r="B2471" s="15"/>
      <c r="C2471" s="9">
        <f>IFERROR(__xludf.DUMMYFUNCTION("""COMPUTED_VALUE"""),44485.9334851967)</f>
        <v>44485.93349</v>
      </c>
      <c r="D2471" s="15">
        <f>IFERROR(__xludf.DUMMYFUNCTION("""COMPUTED_VALUE"""),1.054)</f>
        <v>1.054</v>
      </c>
      <c r="E2471" s="16">
        <f>IFERROR(__xludf.DUMMYFUNCTION("""COMPUTED_VALUE"""),65.0)</f>
        <v>65</v>
      </c>
      <c r="F2471" s="19" t="str">
        <f>IFERROR(__xludf.DUMMYFUNCTION("""COMPUTED_VALUE"""),"BLACK")</f>
        <v>BLACK</v>
      </c>
      <c r="G2471" s="20" t="str">
        <f>IFERROR(__xludf.DUMMYFUNCTION("""COMPUTED_VALUE"""),"Tap 6 Clone (10/15/2021)")</f>
        <v>Tap 6 Clone (10/15/2021)</v>
      </c>
      <c r="H2471" s="19"/>
    </row>
    <row r="2472">
      <c r="A2472" s="9"/>
      <c r="B2472" s="15"/>
      <c r="C2472" s="9">
        <f>IFERROR(__xludf.DUMMYFUNCTION("""COMPUTED_VALUE"""),44485.9230643518)</f>
        <v>44485.92306</v>
      </c>
      <c r="D2472" s="15">
        <f>IFERROR(__xludf.DUMMYFUNCTION("""COMPUTED_VALUE"""),1.054)</f>
        <v>1.054</v>
      </c>
      <c r="E2472" s="16">
        <f>IFERROR(__xludf.DUMMYFUNCTION("""COMPUTED_VALUE"""),65.0)</f>
        <v>65</v>
      </c>
      <c r="F2472" s="19" t="str">
        <f>IFERROR(__xludf.DUMMYFUNCTION("""COMPUTED_VALUE"""),"BLACK")</f>
        <v>BLACK</v>
      </c>
      <c r="G2472" s="20" t="str">
        <f>IFERROR(__xludf.DUMMYFUNCTION("""COMPUTED_VALUE"""),"Tap 6 Clone (10/15/2021)")</f>
        <v>Tap 6 Clone (10/15/2021)</v>
      </c>
      <c r="H2472" s="19"/>
    </row>
    <row r="2473">
      <c r="A2473" s="9"/>
      <c r="B2473" s="15"/>
      <c r="C2473" s="9">
        <f>IFERROR(__xludf.DUMMYFUNCTION("""COMPUTED_VALUE"""),44485.9126423263)</f>
        <v>44485.91264</v>
      </c>
      <c r="D2473" s="15">
        <f>IFERROR(__xludf.DUMMYFUNCTION("""COMPUTED_VALUE"""),1.054)</f>
        <v>1.054</v>
      </c>
      <c r="E2473" s="16">
        <f>IFERROR(__xludf.DUMMYFUNCTION("""COMPUTED_VALUE"""),65.0)</f>
        <v>65</v>
      </c>
      <c r="F2473" s="19" t="str">
        <f>IFERROR(__xludf.DUMMYFUNCTION("""COMPUTED_VALUE"""),"BLACK")</f>
        <v>BLACK</v>
      </c>
      <c r="G2473" s="20" t="str">
        <f>IFERROR(__xludf.DUMMYFUNCTION("""COMPUTED_VALUE"""),"Tap 6 Clone (10/15/2021)")</f>
        <v>Tap 6 Clone (10/15/2021)</v>
      </c>
      <c r="H2473" s="19"/>
    </row>
    <row r="2474">
      <c r="A2474" s="9"/>
      <c r="B2474" s="15"/>
      <c r="C2474" s="9">
        <f>IFERROR(__xludf.DUMMYFUNCTION("""COMPUTED_VALUE"""),44485.9022206944)</f>
        <v>44485.90222</v>
      </c>
      <c r="D2474" s="15">
        <f>IFERROR(__xludf.DUMMYFUNCTION("""COMPUTED_VALUE"""),1.054)</f>
        <v>1.054</v>
      </c>
      <c r="E2474" s="16">
        <f>IFERROR(__xludf.DUMMYFUNCTION("""COMPUTED_VALUE"""),65.0)</f>
        <v>65</v>
      </c>
      <c r="F2474" s="19" t="str">
        <f>IFERROR(__xludf.DUMMYFUNCTION("""COMPUTED_VALUE"""),"BLACK")</f>
        <v>BLACK</v>
      </c>
      <c r="G2474" s="20" t="str">
        <f>IFERROR(__xludf.DUMMYFUNCTION("""COMPUTED_VALUE"""),"Tap 6 Clone (10/15/2021)")</f>
        <v>Tap 6 Clone (10/15/2021)</v>
      </c>
      <c r="H2474" s="19"/>
    </row>
    <row r="2475">
      <c r="A2475" s="9"/>
      <c r="B2475" s="15"/>
      <c r="C2475" s="9">
        <f>IFERROR(__xludf.DUMMYFUNCTION("""COMPUTED_VALUE"""),44485.8917885648)</f>
        <v>44485.89179</v>
      </c>
      <c r="D2475" s="15">
        <f>IFERROR(__xludf.DUMMYFUNCTION("""COMPUTED_VALUE"""),1.054)</f>
        <v>1.054</v>
      </c>
      <c r="E2475" s="16">
        <f>IFERROR(__xludf.DUMMYFUNCTION("""COMPUTED_VALUE"""),65.0)</f>
        <v>65</v>
      </c>
      <c r="F2475" s="19" t="str">
        <f>IFERROR(__xludf.DUMMYFUNCTION("""COMPUTED_VALUE"""),"BLACK")</f>
        <v>BLACK</v>
      </c>
      <c r="G2475" s="20" t="str">
        <f>IFERROR(__xludf.DUMMYFUNCTION("""COMPUTED_VALUE"""),"Tap 6 Clone (10/15/2021)")</f>
        <v>Tap 6 Clone (10/15/2021)</v>
      </c>
      <c r="H2475" s="19"/>
    </row>
    <row r="2476">
      <c r="A2476" s="9"/>
      <c r="B2476" s="15"/>
      <c r="C2476" s="9">
        <f>IFERROR(__xludf.DUMMYFUNCTION("""COMPUTED_VALUE"""),44485.8813665046)</f>
        <v>44485.88137</v>
      </c>
      <c r="D2476" s="15">
        <f>IFERROR(__xludf.DUMMYFUNCTION("""COMPUTED_VALUE"""),1.054)</f>
        <v>1.054</v>
      </c>
      <c r="E2476" s="16">
        <f>IFERROR(__xludf.DUMMYFUNCTION("""COMPUTED_VALUE"""),65.0)</f>
        <v>65</v>
      </c>
      <c r="F2476" s="19" t="str">
        <f>IFERROR(__xludf.DUMMYFUNCTION("""COMPUTED_VALUE"""),"BLACK")</f>
        <v>BLACK</v>
      </c>
      <c r="G2476" s="20" t="str">
        <f>IFERROR(__xludf.DUMMYFUNCTION("""COMPUTED_VALUE"""),"Tap 6 Clone (10/15/2021)")</f>
        <v>Tap 6 Clone (10/15/2021)</v>
      </c>
      <c r="H2476" s="19"/>
    </row>
    <row r="2477">
      <c r="A2477" s="9"/>
      <c r="B2477" s="15"/>
      <c r="C2477" s="9">
        <f>IFERROR(__xludf.DUMMYFUNCTION("""COMPUTED_VALUE"""),44485.8709460879)</f>
        <v>44485.87095</v>
      </c>
      <c r="D2477" s="15">
        <f>IFERROR(__xludf.DUMMYFUNCTION("""COMPUTED_VALUE"""),1.054)</f>
        <v>1.054</v>
      </c>
      <c r="E2477" s="16">
        <f>IFERROR(__xludf.DUMMYFUNCTION("""COMPUTED_VALUE"""),65.0)</f>
        <v>65</v>
      </c>
      <c r="F2477" s="19" t="str">
        <f>IFERROR(__xludf.DUMMYFUNCTION("""COMPUTED_VALUE"""),"BLACK")</f>
        <v>BLACK</v>
      </c>
      <c r="G2477" s="20" t="str">
        <f>IFERROR(__xludf.DUMMYFUNCTION("""COMPUTED_VALUE"""),"Tap 6 Clone (10/15/2021)")</f>
        <v>Tap 6 Clone (10/15/2021)</v>
      </c>
      <c r="H2477" s="19"/>
    </row>
    <row r="2478">
      <c r="A2478" s="9"/>
      <c r="B2478" s="15"/>
      <c r="C2478" s="9">
        <f>IFERROR(__xludf.DUMMYFUNCTION("""COMPUTED_VALUE"""),44485.8605246643)</f>
        <v>44485.86052</v>
      </c>
      <c r="D2478" s="15">
        <f>IFERROR(__xludf.DUMMYFUNCTION("""COMPUTED_VALUE"""),1.054)</f>
        <v>1.054</v>
      </c>
      <c r="E2478" s="16">
        <f>IFERROR(__xludf.DUMMYFUNCTION("""COMPUTED_VALUE"""),65.0)</f>
        <v>65</v>
      </c>
      <c r="F2478" s="19" t="str">
        <f>IFERROR(__xludf.DUMMYFUNCTION("""COMPUTED_VALUE"""),"BLACK")</f>
        <v>BLACK</v>
      </c>
      <c r="G2478" s="20" t="str">
        <f>IFERROR(__xludf.DUMMYFUNCTION("""COMPUTED_VALUE"""),"Tap 6 Clone (10/15/2021)")</f>
        <v>Tap 6 Clone (10/15/2021)</v>
      </c>
      <c r="H2478" s="19"/>
    </row>
    <row r="2479">
      <c r="A2479" s="9"/>
      <c r="B2479" s="15"/>
      <c r="C2479" s="9">
        <f>IFERROR(__xludf.DUMMYFUNCTION("""COMPUTED_VALUE"""),44485.8501040972)</f>
        <v>44485.8501</v>
      </c>
      <c r="D2479" s="15">
        <f>IFERROR(__xludf.DUMMYFUNCTION("""COMPUTED_VALUE"""),1.054)</f>
        <v>1.054</v>
      </c>
      <c r="E2479" s="16">
        <f>IFERROR(__xludf.DUMMYFUNCTION("""COMPUTED_VALUE"""),65.0)</f>
        <v>65</v>
      </c>
      <c r="F2479" s="19" t="str">
        <f>IFERROR(__xludf.DUMMYFUNCTION("""COMPUTED_VALUE"""),"BLACK")</f>
        <v>BLACK</v>
      </c>
      <c r="G2479" s="20" t="str">
        <f>IFERROR(__xludf.DUMMYFUNCTION("""COMPUTED_VALUE"""),"Tap 6 Clone (10/15/2021)")</f>
        <v>Tap 6 Clone (10/15/2021)</v>
      </c>
      <c r="H2479" s="19"/>
    </row>
    <row r="2480">
      <c r="A2480" s="9"/>
      <c r="B2480" s="15"/>
      <c r="C2480" s="9">
        <f>IFERROR(__xludf.DUMMYFUNCTION("""COMPUTED_VALUE"""),44485.8396819444)</f>
        <v>44485.83968</v>
      </c>
      <c r="D2480" s="15">
        <f>IFERROR(__xludf.DUMMYFUNCTION("""COMPUTED_VALUE"""),1.054)</f>
        <v>1.054</v>
      </c>
      <c r="E2480" s="16">
        <f>IFERROR(__xludf.DUMMYFUNCTION("""COMPUTED_VALUE"""),65.0)</f>
        <v>65</v>
      </c>
      <c r="F2480" s="19" t="str">
        <f>IFERROR(__xludf.DUMMYFUNCTION("""COMPUTED_VALUE"""),"BLACK")</f>
        <v>BLACK</v>
      </c>
      <c r="G2480" s="20" t="str">
        <f>IFERROR(__xludf.DUMMYFUNCTION("""COMPUTED_VALUE"""),"Tap 6 Clone (10/15/2021)")</f>
        <v>Tap 6 Clone (10/15/2021)</v>
      </c>
      <c r="H2480" s="19"/>
    </row>
    <row r="2481">
      <c r="A2481" s="9"/>
      <c r="B2481" s="15"/>
      <c r="C2481" s="9">
        <f>IFERROR(__xludf.DUMMYFUNCTION("""COMPUTED_VALUE"""),44485.8292618865)</f>
        <v>44485.82926</v>
      </c>
      <c r="D2481" s="15">
        <f>IFERROR(__xludf.DUMMYFUNCTION("""COMPUTED_VALUE"""),1.054)</f>
        <v>1.054</v>
      </c>
      <c r="E2481" s="16">
        <f>IFERROR(__xludf.DUMMYFUNCTION("""COMPUTED_VALUE"""),65.0)</f>
        <v>65</v>
      </c>
      <c r="F2481" s="19" t="str">
        <f>IFERROR(__xludf.DUMMYFUNCTION("""COMPUTED_VALUE"""),"BLACK")</f>
        <v>BLACK</v>
      </c>
      <c r="G2481" s="20" t="str">
        <f>IFERROR(__xludf.DUMMYFUNCTION("""COMPUTED_VALUE"""),"Tap 6 Clone (10/15/2021)")</f>
        <v>Tap 6 Clone (10/15/2021)</v>
      </c>
      <c r="H2481" s="19"/>
    </row>
    <row r="2482">
      <c r="A2482" s="9"/>
      <c r="B2482" s="15"/>
      <c r="C2482" s="9">
        <f>IFERROR(__xludf.DUMMYFUNCTION("""COMPUTED_VALUE"""),44485.8188408333)</f>
        <v>44485.81884</v>
      </c>
      <c r="D2482" s="15">
        <f>IFERROR(__xludf.DUMMYFUNCTION("""COMPUTED_VALUE"""),1.054)</f>
        <v>1.054</v>
      </c>
      <c r="E2482" s="16">
        <f>IFERROR(__xludf.DUMMYFUNCTION("""COMPUTED_VALUE"""),64.0)</f>
        <v>64</v>
      </c>
      <c r="F2482" s="19" t="str">
        <f>IFERROR(__xludf.DUMMYFUNCTION("""COMPUTED_VALUE"""),"BLACK")</f>
        <v>BLACK</v>
      </c>
      <c r="G2482" s="20" t="str">
        <f>IFERROR(__xludf.DUMMYFUNCTION("""COMPUTED_VALUE"""),"Tap 6 Clone (10/15/2021)")</f>
        <v>Tap 6 Clone (10/15/2021)</v>
      </c>
      <c r="H2482" s="19"/>
    </row>
    <row r="2483">
      <c r="A2483" s="9"/>
      <c r="B2483" s="15"/>
      <c r="C2483" s="9">
        <f>IFERROR(__xludf.DUMMYFUNCTION("""COMPUTED_VALUE"""),44485.8084192476)</f>
        <v>44485.80842</v>
      </c>
      <c r="D2483" s="15">
        <f>IFERROR(__xludf.DUMMYFUNCTION("""COMPUTED_VALUE"""),1.054)</f>
        <v>1.054</v>
      </c>
      <c r="E2483" s="16">
        <f>IFERROR(__xludf.DUMMYFUNCTION("""COMPUTED_VALUE"""),64.0)</f>
        <v>64</v>
      </c>
      <c r="F2483" s="19" t="str">
        <f>IFERROR(__xludf.DUMMYFUNCTION("""COMPUTED_VALUE"""),"BLACK")</f>
        <v>BLACK</v>
      </c>
      <c r="G2483" s="20" t="str">
        <f>IFERROR(__xludf.DUMMYFUNCTION("""COMPUTED_VALUE"""),"Tap 6 Clone (10/15/2021)")</f>
        <v>Tap 6 Clone (10/15/2021)</v>
      </c>
      <c r="H2483" s="19"/>
    </row>
    <row r="2484">
      <c r="A2484" s="9"/>
      <c r="B2484" s="15"/>
      <c r="C2484" s="9">
        <f>IFERROR(__xludf.DUMMYFUNCTION("""COMPUTED_VALUE"""),44485.7979868402)</f>
        <v>44485.79799</v>
      </c>
      <c r="D2484" s="15">
        <f>IFERROR(__xludf.DUMMYFUNCTION("""COMPUTED_VALUE"""),1.054)</f>
        <v>1.054</v>
      </c>
      <c r="E2484" s="16">
        <f>IFERROR(__xludf.DUMMYFUNCTION("""COMPUTED_VALUE"""),64.0)</f>
        <v>64</v>
      </c>
      <c r="F2484" s="19" t="str">
        <f>IFERROR(__xludf.DUMMYFUNCTION("""COMPUTED_VALUE"""),"BLACK")</f>
        <v>BLACK</v>
      </c>
      <c r="G2484" s="20" t="str">
        <f>IFERROR(__xludf.DUMMYFUNCTION("""COMPUTED_VALUE"""),"Tap 6 Clone (10/15/2021)")</f>
        <v>Tap 6 Clone (10/15/2021)</v>
      </c>
      <c r="H2484" s="19"/>
    </row>
    <row r="2485">
      <c r="A2485" s="9"/>
      <c r="B2485" s="15"/>
      <c r="C2485" s="9">
        <f>IFERROR(__xludf.DUMMYFUNCTION("""COMPUTED_VALUE"""),44485.7875659837)</f>
        <v>44485.78757</v>
      </c>
      <c r="D2485" s="15">
        <f>IFERROR(__xludf.DUMMYFUNCTION("""COMPUTED_VALUE"""),1.054)</f>
        <v>1.054</v>
      </c>
      <c r="E2485" s="16">
        <f>IFERROR(__xludf.DUMMYFUNCTION("""COMPUTED_VALUE"""),64.0)</f>
        <v>64</v>
      </c>
      <c r="F2485" s="19" t="str">
        <f>IFERROR(__xludf.DUMMYFUNCTION("""COMPUTED_VALUE"""),"BLACK")</f>
        <v>BLACK</v>
      </c>
      <c r="G2485" s="20" t="str">
        <f>IFERROR(__xludf.DUMMYFUNCTION("""COMPUTED_VALUE"""),"Tap 6 Clone (10/15/2021)")</f>
        <v>Tap 6 Clone (10/15/2021)</v>
      </c>
      <c r="H2485" s="19"/>
    </row>
    <row r="2486">
      <c r="A2486" s="9"/>
      <c r="B2486" s="15"/>
      <c r="C2486" s="9">
        <f>IFERROR(__xludf.DUMMYFUNCTION("""COMPUTED_VALUE"""),44485.7771463773)</f>
        <v>44485.77715</v>
      </c>
      <c r="D2486" s="15">
        <f>IFERROR(__xludf.DUMMYFUNCTION("""COMPUTED_VALUE"""),1.054)</f>
        <v>1.054</v>
      </c>
      <c r="E2486" s="16">
        <f>IFERROR(__xludf.DUMMYFUNCTION("""COMPUTED_VALUE"""),64.0)</f>
        <v>64</v>
      </c>
      <c r="F2486" s="19" t="str">
        <f>IFERROR(__xludf.DUMMYFUNCTION("""COMPUTED_VALUE"""),"BLACK")</f>
        <v>BLACK</v>
      </c>
      <c r="G2486" s="20" t="str">
        <f>IFERROR(__xludf.DUMMYFUNCTION("""COMPUTED_VALUE"""),"Tap 6 Clone (10/15/2021)")</f>
        <v>Tap 6 Clone (10/15/2021)</v>
      </c>
      <c r="H2486" s="19"/>
    </row>
    <row r="2487">
      <c r="A2487" s="9"/>
      <c r="B2487" s="15"/>
      <c r="C2487" s="9">
        <f>IFERROR(__xludf.DUMMYFUNCTION("""COMPUTED_VALUE"""),44485.7667239583)</f>
        <v>44485.76672</v>
      </c>
      <c r="D2487" s="15">
        <f>IFERROR(__xludf.DUMMYFUNCTION("""COMPUTED_VALUE"""),1.054)</f>
        <v>1.054</v>
      </c>
      <c r="E2487" s="16">
        <f>IFERROR(__xludf.DUMMYFUNCTION("""COMPUTED_VALUE"""),64.0)</f>
        <v>64</v>
      </c>
      <c r="F2487" s="19" t="str">
        <f>IFERROR(__xludf.DUMMYFUNCTION("""COMPUTED_VALUE"""),"BLACK")</f>
        <v>BLACK</v>
      </c>
      <c r="G2487" s="20" t="str">
        <f>IFERROR(__xludf.DUMMYFUNCTION("""COMPUTED_VALUE"""),"Tap 6 Clone (10/15/2021)")</f>
        <v>Tap 6 Clone (10/15/2021)</v>
      </c>
      <c r="H2487" s="19"/>
    </row>
    <row r="2488">
      <c r="A2488" s="9"/>
      <c r="B2488" s="15"/>
      <c r="C2488" s="9">
        <f>IFERROR(__xludf.DUMMYFUNCTION("""COMPUTED_VALUE"""),44485.7563035995)</f>
        <v>44485.7563</v>
      </c>
      <c r="D2488" s="15">
        <f>IFERROR(__xludf.DUMMYFUNCTION("""COMPUTED_VALUE"""),1.054)</f>
        <v>1.054</v>
      </c>
      <c r="E2488" s="16">
        <f>IFERROR(__xludf.DUMMYFUNCTION("""COMPUTED_VALUE"""),64.0)</f>
        <v>64</v>
      </c>
      <c r="F2488" s="19" t="str">
        <f>IFERROR(__xludf.DUMMYFUNCTION("""COMPUTED_VALUE"""),"BLACK")</f>
        <v>BLACK</v>
      </c>
      <c r="G2488" s="20" t="str">
        <f>IFERROR(__xludf.DUMMYFUNCTION("""COMPUTED_VALUE"""),"Tap 6 Clone (10/15/2021)")</f>
        <v>Tap 6 Clone (10/15/2021)</v>
      </c>
      <c r="H2488" s="19"/>
    </row>
    <row r="2489">
      <c r="A2489" s="9"/>
      <c r="B2489" s="15"/>
      <c r="C2489" s="9">
        <f>IFERROR(__xludf.DUMMYFUNCTION("""COMPUTED_VALUE"""),44485.7458818402)</f>
        <v>44485.74588</v>
      </c>
      <c r="D2489" s="15">
        <f>IFERROR(__xludf.DUMMYFUNCTION("""COMPUTED_VALUE"""),1.054)</f>
        <v>1.054</v>
      </c>
      <c r="E2489" s="16">
        <f>IFERROR(__xludf.DUMMYFUNCTION("""COMPUTED_VALUE"""),64.0)</f>
        <v>64</v>
      </c>
      <c r="F2489" s="19" t="str">
        <f>IFERROR(__xludf.DUMMYFUNCTION("""COMPUTED_VALUE"""),"BLACK")</f>
        <v>BLACK</v>
      </c>
      <c r="G2489" s="20" t="str">
        <f>IFERROR(__xludf.DUMMYFUNCTION("""COMPUTED_VALUE"""),"Tap 6 Clone (10/15/2021)")</f>
        <v>Tap 6 Clone (10/15/2021)</v>
      </c>
      <c r="H2489" s="19"/>
    </row>
    <row r="2490">
      <c r="A2490" s="9"/>
      <c r="B2490" s="15"/>
      <c r="C2490" s="9">
        <f>IFERROR(__xludf.DUMMYFUNCTION("""COMPUTED_VALUE"""),44485.7354600578)</f>
        <v>44485.73546</v>
      </c>
      <c r="D2490" s="15">
        <f>IFERROR(__xludf.DUMMYFUNCTION("""COMPUTED_VALUE"""),1.054)</f>
        <v>1.054</v>
      </c>
      <c r="E2490" s="16">
        <f>IFERROR(__xludf.DUMMYFUNCTION("""COMPUTED_VALUE"""),64.0)</f>
        <v>64</v>
      </c>
      <c r="F2490" s="19" t="str">
        <f>IFERROR(__xludf.DUMMYFUNCTION("""COMPUTED_VALUE"""),"BLACK")</f>
        <v>BLACK</v>
      </c>
      <c r="G2490" s="20" t="str">
        <f>IFERROR(__xludf.DUMMYFUNCTION("""COMPUTED_VALUE"""),"Tap 6 Clone (10/15/2021)")</f>
        <v>Tap 6 Clone (10/15/2021)</v>
      </c>
      <c r="H2490" s="19"/>
    </row>
    <row r="2491">
      <c r="A2491" s="9"/>
      <c r="B2491" s="15"/>
      <c r="C2491" s="9">
        <f>IFERROR(__xludf.DUMMYFUNCTION("""COMPUTED_VALUE"""),44485.7250382638)</f>
        <v>44485.72504</v>
      </c>
      <c r="D2491" s="15">
        <f>IFERROR(__xludf.DUMMYFUNCTION("""COMPUTED_VALUE"""),1.054)</f>
        <v>1.054</v>
      </c>
      <c r="E2491" s="16">
        <f>IFERROR(__xludf.DUMMYFUNCTION("""COMPUTED_VALUE"""),64.0)</f>
        <v>64</v>
      </c>
      <c r="F2491" s="19" t="str">
        <f>IFERROR(__xludf.DUMMYFUNCTION("""COMPUTED_VALUE"""),"BLACK")</f>
        <v>BLACK</v>
      </c>
      <c r="G2491" s="20" t="str">
        <f>IFERROR(__xludf.DUMMYFUNCTION("""COMPUTED_VALUE"""),"Tap 6 Clone (10/15/2021)")</f>
        <v>Tap 6 Clone (10/15/2021)</v>
      </c>
      <c r="H2491" s="19"/>
    </row>
    <row r="2492">
      <c r="A2492" s="9"/>
      <c r="B2492" s="15"/>
      <c r="C2492" s="9">
        <f>IFERROR(__xludf.DUMMYFUNCTION("""COMPUTED_VALUE"""),44485.7146158449)</f>
        <v>44485.71462</v>
      </c>
      <c r="D2492" s="15">
        <f>IFERROR(__xludf.DUMMYFUNCTION("""COMPUTED_VALUE"""),1.054)</f>
        <v>1.054</v>
      </c>
      <c r="E2492" s="16">
        <f>IFERROR(__xludf.DUMMYFUNCTION("""COMPUTED_VALUE"""),64.0)</f>
        <v>64</v>
      </c>
      <c r="F2492" s="19" t="str">
        <f>IFERROR(__xludf.DUMMYFUNCTION("""COMPUTED_VALUE"""),"BLACK")</f>
        <v>BLACK</v>
      </c>
      <c r="G2492" s="20" t="str">
        <f>IFERROR(__xludf.DUMMYFUNCTION("""COMPUTED_VALUE"""),"Tap 6 Clone (10/15/2021)")</f>
        <v>Tap 6 Clone (10/15/2021)</v>
      </c>
      <c r="H2492" s="19"/>
    </row>
    <row r="2493">
      <c r="A2493" s="9"/>
      <c r="B2493" s="15"/>
      <c r="C2493" s="9">
        <f>IFERROR(__xludf.DUMMYFUNCTION("""COMPUTED_VALUE"""),44485.704195405)</f>
        <v>44485.7042</v>
      </c>
      <c r="D2493" s="15">
        <f>IFERROR(__xludf.DUMMYFUNCTION("""COMPUTED_VALUE"""),1.054)</f>
        <v>1.054</v>
      </c>
      <c r="E2493" s="16">
        <f>IFERROR(__xludf.DUMMYFUNCTION("""COMPUTED_VALUE"""),64.0)</f>
        <v>64</v>
      </c>
      <c r="F2493" s="19" t="str">
        <f>IFERROR(__xludf.DUMMYFUNCTION("""COMPUTED_VALUE"""),"BLACK")</f>
        <v>BLACK</v>
      </c>
      <c r="G2493" s="20" t="str">
        <f>IFERROR(__xludf.DUMMYFUNCTION("""COMPUTED_VALUE"""),"Tap 6 Clone (10/15/2021)")</f>
        <v>Tap 6 Clone (10/15/2021)</v>
      </c>
      <c r="H2493" s="19"/>
    </row>
    <row r="2494">
      <c r="A2494" s="9"/>
      <c r="B2494" s="15"/>
      <c r="C2494" s="9">
        <f>IFERROR(__xludf.DUMMYFUNCTION("""COMPUTED_VALUE"""),44485.6937743981)</f>
        <v>44485.69377</v>
      </c>
      <c r="D2494" s="15">
        <f>IFERROR(__xludf.DUMMYFUNCTION("""COMPUTED_VALUE"""),1.054)</f>
        <v>1.054</v>
      </c>
      <c r="E2494" s="16">
        <f>IFERROR(__xludf.DUMMYFUNCTION("""COMPUTED_VALUE"""),64.0)</f>
        <v>64</v>
      </c>
      <c r="F2494" s="19" t="str">
        <f>IFERROR(__xludf.DUMMYFUNCTION("""COMPUTED_VALUE"""),"BLACK")</f>
        <v>BLACK</v>
      </c>
      <c r="G2494" s="20" t="str">
        <f>IFERROR(__xludf.DUMMYFUNCTION("""COMPUTED_VALUE"""),"Tap 6 Clone (10/15/2021)")</f>
        <v>Tap 6 Clone (10/15/2021)</v>
      </c>
      <c r="H2494" s="19"/>
    </row>
    <row r="2495">
      <c r="A2495" s="9"/>
      <c r="B2495" s="15"/>
      <c r="C2495" s="9">
        <f>IFERROR(__xludf.DUMMYFUNCTION("""COMPUTED_VALUE"""),44485.6833514236)</f>
        <v>44485.68335</v>
      </c>
      <c r="D2495" s="15">
        <f>IFERROR(__xludf.DUMMYFUNCTION("""COMPUTED_VALUE"""),1.054)</f>
        <v>1.054</v>
      </c>
      <c r="E2495" s="16">
        <f>IFERROR(__xludf.DUMMYFUNCTION("""COMPUTED_VALUE"""),64.0)</f>
        <v>64</v>
      </c>
      <c r="F2495" s="19" t="str">
        <f>IFERROR(__xludf.DUMMYFUNCTION("""COMPUTED_VALUE"""),"BLACK")</f>
        <v>BLACK</v>
      </c>
      <c r="G2495" s="20" t="str">
        <f>IFERROR(__xludf.DUMMYFUNCTION("""COMPUTED_VALUE"""),"Tap 6 Clone (10/15/2021)")</f>
        <v>Tap 6 Clone (10/15/2021)</v>
      </c>
      <c r="H2495" s="19"/>
    </row>
    <row r="2496">
      <c r="A2496" s="9"/>
      <c r="B2496" s="15"/>
      <c r="C2496" s="9">
        <f>IFERROR(__xludf.DUMMYFUNCTION("""COMPUTED_VALUE"""),44485.6729308564)</f>
        <v>44485.67293</v>
      </c>
      <c r="D2496" s="15">
        <f>IFERROR(__xludf.DUMMYFUNCTION("""COMPUTED_VALUE"""),1.054)</f>
        <v>1.054</v>
      </c>
      <c r="E2496" s="16">
        <f>IFERROR(__xludf.DUMMYFUNCTION("""COMPUTED_VALUE"""),64.0)</f>
        <v>64</v>
      </c>
      <c r="F2496" s="19" t="str">
        <f>IFERROR(__xludf.DUMMYFUNCTION("""COMPUTED_VALUE"""),"BLACK")</f>
        <v>BLACK</v>
      </c>
      <c r="G2496" s="20" t="str">
        <f>IFERROR(__xludf.DUMMYFUNCTION("""COMPUTED_VALUE"""),"Tap 6 Clone (10/15/2021)")</f>
        <v>Tap 6 Clone (10/15/2021)</v>
      </c>
      <c r="H2496" s="19"/>
    </row>
    <row r="2497">
      <c r="A2497" s="9"/>
      <c r="B2497" s="15"/>
      <c r="C2497" s="9">
        <f>IFERROR(__xludf.DUMMYFUNCTION("""COMPUTED_VALUE"""),44485.6624996064)</f>
        <v>44485.6625</v>
      </c>
      <c r="D2497" s="15">
        <f>IFERROR(__xludf.DUMMYFUNCTION("""COMPUTED_VALUE"""),1.054)</f>
        <v>1.054</v>
      </c>
      <c r="E2497" s="16">
        <f>IFERROR(__xludf.DUMMYFUNCTION("""COMPUTED_VALUE"""),64.0)</f>
        <v>64</v>
      </c>
      <c r="F2497" s="19" t="str">
        <f>IFERROR(__xludf.DUMMYFUNCTION("""COMPUTED_VALUE"""),"BLACK")</f>
        <v>BLACK</v>
      </c>
      <c r="G2497" s="20" t="str">
        <f>IFERROR(__xludf.DUMMYFUNCTION("""COMPUTED_VALUE"""),"Tap 6 Clone (10/15/2021)")</f>
        <v>Tap 6 Clone (10/15/2021)</v>
      </c>
      <c r="H2497" s="19"/>
    </row>
    <row r="2498">
      <c r="A2498" s="9"/>
      <c r="B2498" s="15"/>
      <c r="C2498" s="9">
        <f>IFERROR(__xludf.DUMMYFUNCTION("""COMPUTED_VALUE"""),44485.6520777893)</f>
        <v>44485.65208</v>
      </c>
      <c r="D2498" s="15">
        <f>IFERROR(__xludf.DUMMYFUNCTION("""COMPUTED_VALUE"""),1.054)</f>
        <v>1.054</v>
      </c>
      <c r="E2498" s="16">
        <f>IFERROR(__xludf.DUMMYFUNCTION("""COMPUTED_VALUE"""),64.0)</f>
        <v>64</v>
      </c>
      <c r="F2498" s="19" t="str">
        <f>IFERROR(__xludf.DUMMYFUNCTION("""COMPUTED_VALUE"""),"BLACK")</f>
        <v>BLACK</v>
      </c>
      <c r="G2498" s="20" t="str">
        <f>IFERROR(__xludf.DUMMYFUNCTION("""COMPUTED_VALUE"""),"Tap 6 Clone (10/15/2021)")</f>
        <v>Tap 6 Clone (10/15/2021)</v>
      </c>
      <c r="H2498" s="19"/>
    </row>
    <row r="2499">
      <c r="A2499" s="9"/>
      <c r="B2499" s="15"/>
      <c r="C2499" s="9">
        <f>IFERROR(__xludf.DUMMYFUNCTION("""COMPUTED_VALUE"""),44485.641657743)</f>
        <v>44485.64166</v>
      </c>
      <c r="D2499" s="15">
        <f>IFERROR(__xludf.DUMMYFUNCTION("""COMPUTED_VALUE"""),1.054)</f>
        <v>1.054</v>
      </c>
      <c r="E2499" s="16">
        <f>IFERROR(__xludf.DUMMYFUNCTION("""COMPUTED_VALUE"""),64.0)</f>
        <v>64</v>
      </c>
      <c r="F2499" s="19" t="str">
        <f>IFERROR(__xludf.DUMMYFUNCTION("""COMPUTED_VALUE"""),"BLACK")</f>
        <v>BLACK</v>
      </c>
      <c r="G2499" s="20" t="str">
        <f>IFERROR(__xludf.DUMMYFUNCTION("""COMPUTED_VALUE"""),"Tap 6 Clone (10/15/2021)")</f>
        <v>Tap 6 Clone (10/15/2021)</v>
      </c>
      <c r="H2499" s="19"/>
    </row>
    <row r="2500">
      <c r="A2500" s="9"/>
      <c r="B2500" s="15"/>
      <c r="C2500" s="9">
        <f>IFERROR(__xludf.DUMMYFUNCTION("""COMPUTED_VALUE"""),44485.6312368518)</f>
        <v>44485.63124</v>
      </c>
      <c r="D2500" s="15">
        <f>IFERROR(__xludf.DUMMYFUNCTION("""COMPUTED_VALUE"""),1.054)</f>
        <v>1.054</v>
      </c>
      <c r="E2500" s="16">
        <f>IFERROR(__xludf.DUMMYFUNCTION("""COMPUTED_VALUE"""),64.0)</f>
        <v>64</v>
      </c>
      <c r="F2500" s="19" t="str">
        <f>IFERROR(__xludf.DUMMYFUNCTION("""COMPUTED_VALUE"""),"BLACK")</f>
        <v>BLACK</v>
      </c>
      <c r="G2500" s="20" t="str">
        <f>IFERROR(__xludf.DUMMYFUNCTION("""COMPUTED_VALUE"""),"Tap 6 Clone (10/15/2021)")</f>
        <v>Tap 6 Clone (10/15/2021)</v>
      </c>
      <c r="H2500" s="19"/>
    </row>
    <row r="2501">
      <c r="A2501" s="9"/>
      <c r="B2501" s="15"/>
      <c r="C2501" s="9">
        <f>IFERROR(__xludf.DUMMYFUNCTION("""COMPUTED_VALUE"""),44485.6208140162)</f>
        <v>44485.62081</v>
      </c>
      <c r="D2501" s="15">
        <f>IFERROR(__xludf.DUMMYFUNCTION("""COMPUTED_VALUE"""),1.054)</f>
        <v>1.054</v>
      </c>
      <c r="E2501" s="16">
        <f>IFERROR(__xludf.DUMMYFUNCTION("""COMPUTED_VALUE"""),64.0)</f>
        <v>64</v>
      </c>
      <c r="F2501" s="19" t="str">
        <f>IFERROR(__xludf.DUMMYFUNCTION("""COMPUTED_VALUE"""),"BLACK")</f>
        <v>BLACK</v>
      </c>
      <c r="G2501" s="20" t="str">
        <f>IFERROR(__xludf.DUMMYFUNCTION("""COMPUTED_VALUE"""),"Tap 6 Clone (10/15/2021)")</f>
        <v>Tap 6 Clone (10/15/2021)</v>
      </c>
      <c r="H2501" s="19"/>
    </row>
    <row r="2502">
      <c r="A2502" s="9"/>
      <c r="B2502" s="15"/>
      <c r="C2502" s="9">
        <f>IFERROR(__xludf.DUMMYFUNCTION("""COMPUTED_VALUE"""),44485.6103935648)</f>
        <v>44485.61039</v>
      </c>
      <c r="D2502" s="15">
        <f>IFERROR(__xludf.DUMMYFUNCTION("""COMPUTED_VALUE"""),1.054)</f>
        <v>1.054</v>
      </c>
      <c r="E2502" s="16">
        <f>IFERROR(__xludf.DUMMYFUNCTION("""COMPUTED_VALUE"""),64.0)</f>
        <v>64</v>
      </c>
      <c r="F2502" s="19" t="str">
        <f>IFERROR(__xludf.DUMMYFUNCTION("""COMPUTED_VALUE"""),"BLACK")</f>
        <v>BLACK</v>
      </c>
      <c r="G2502" s="20" t="str">
        <f>IFERROR(__xludf.DUMMYFUNCTION("""COMPUTED_VALUE"""),"Tap 6 Clone (10/15/2021)")</f>
        <v>Tap 6 Clone (10/15/2021)</v>
      </c>
      <c r="H2502" s="19"/>
    </row>
    <row r="2503">
      <c r="A2503" s="9"/>
      <c r="B2503" s="15"/>
      <c r="C2503" s="9">
        <f>IFERROR(__xludf.DUMMYFUNCTION("""COMPUTED_VALUE"""),44485.5999727662)</f>
        <v>44485.59997</v>
      </c>
      <c r="D2503" s="15">
        <f>IFERROR(__xludf.DUMMYFUNCTION("""COMPUTED_VALUE"""),1.054)</f>
        <v>1.054</v>
      </c>
      <c r="E2503" s="16">
        <f>IFERROR(__xludf.DUMMYFUNCTION("""COMPUTED_VALUE"""),64.0)</f>
        <v>64</v>
      </c>
      <c r="F2503" s="19" t="str">
        <f>IFERROR(__xludf.DUMMYFUNCTION("""COMPUTED_VALUE"""),"BLACK")</f>
        <v>BLACK</v>
      </c>
      <c r="G2503" s="20" t="str">
        <f>IFERROR(__xludf.DUMMYFUNCTION("""COMPUTED_VALUE"""),"Tap 6 Clone (10/15/2021)")</f>
        <v>Tap 6 Clone (10/15/2021)</v>
      </c>
      <c r="H2503" s="19"/>
    </row>
    <row r="2504">
      <c r="A2504" s="9"/>
      <c r="B2504" s="15"/>
      <c r="C2504" s="9">
        <f>IFERROR(__xludf.DUMMYFUNCTION("""COMPUTED_VALUE"""),44485.5895514351)</f>
        <v>44485.58955</v>
      </c>
      <c r="D2504" s="15">
        <f>IFERROR(__xludf.DUMMYFUNCTION("""COMPUTED_VALUE"""),1.054)</f>
        <v>1.054</v>
      </c>
      <c r="E2504" s="16">
        <f>IFERROR(__xludf.DUMMYFUNCTION("""COMPUTED_VALUE"""),64.0)</f>
        <v>64</v>
      </c>
      <c r="F2504" s="19" t="str">
        <f>IFERROR(__xludf.DUMMYFUNCTION("""COMPUTED_VALUE"""),"BLACK")</f>
        <v>BLACK</v>
      </c>
      <c r="G2504" s="20" t="str">
        <f>IFERROR(__xludf.DUMMYFUNCTION("""COMPUTED_VALUE"""),"Tap 6 Clone (10/15/2021)")</f>
        <v>Tap 6 Clone (10/15/2021)</v>
      </c>
      <c r="H2504" s="19"/>
    </row>
    <row r="2505">
      <c r="A2505" s="9"/>
      <c r="B2505" s="15"/>
      <c r="C2505" s="9">
        <f>IFERROR(__xludf.DUMMYFUNCTION("""COMPUTED_VALUE"""),44485.5791076041)</f>
        <v>44485.57911</v>
      </c>
      <c r="D2505" s="15">
        <f>IFERROR(__xludf.DUMMYFUNCTION("""COMPUTED_VALUE"""),1.054)</f>
        <v>1.054</v>
      </c>
      <c r="E2505" s="16">
        <f>IFERROR(__xludf.DUMMYFUNCTION("""COMPUTED_VALUE"""),64.0)</f>
        <v>64</v>
      </c>
      <c r="F2505" s="19" t="str">
        <f>IFERROR(__xludf.DUMMYFUNCTION("""COMPUTED_VALUE"""),"BLACK")</f>
        <v>BLACK</v>
      </c>
      <c r="G2505" s="20" t="str">
        <f>IFERROR(__xludf.DUMMYFUNCTION("""COMPUTED_VALUE"""),"Tap 6 Clone (10/15/2021)")</f>
        <v>Tap 6 Clone (10/15/2021)</v>
      </c>
      <c r="H2505" s="19"/>
    </row>
    <row r="2506">
      <c r="A2506" s="9"/>
      <c r="B2506" s="15"/>
      <c r="C2506" s="9">
        <f>IFERROR(__xludf.DUMMYFUNCTION("""COMPUTED_VALUE"""),44485.5686873148)</f>
        <v>44485.56869</v>
      </c>
      <c r="D2506" s="15">
        <f>IFERROR(__xludf.DUMMYFUNCTION("""COMPUTED_VALUE"""),1.054)</f>
        <v>1.054</v>
      </c>
      <c r="E2506" s="16">
        <f>IFERROR(__xludf.DUMMYFUNCTION("""COMPUTED_VALUE"""),63.0)</f>
        <v>63</v>
      </c>
      <c r="F2506" s="19" t="str">
        <f>IFERROR(__xludf.DUMMYFUNCTION("""COMPUTED_VALUE"""),"BLACK")</f>
        <v>BLACK</v>
      </c>
      <c r="G2506" s="20" t="str">
        <f>IFERROR(__xludf.DUMMYFUNCTION("""COMPUTED_VALUE"""),"Tap 6 Clone (10/15/2021)")</f>
        <v>Tap 6 Clone (10/15/2021)</v>
      </c>
      <c r="H2506" s="19"/>
    </row>
    <row r="2507">
      <c r="A2507" s="9"/>
      <c r="B2507" s="15"/>
      <c r="C2507" s="9">
        <f>IFERROR(__xludf.DUMMYFUNCTION("""COMPUTED_VALUE"""),44485.5582538541)</f>
        <v>44485.55825</v>
      </c>
      <c r="D2507" s="15">
        <f>IFERROR(__xludf.DUMMYFUNCTION("""COMPUTED_VALUE"""),1.054)</f>
        <v>1.054</v>
      </c>
      <c r="E2507" s="16">
        <f>IFERROR(__xludf.DUMMYFUNCTION("""COMPUTED_VALUE"""),64.0)</f>
        <v>64</v>
      </c>
      <c r="F2507" s="19" t="str">
        <f>IFERROR(__xludf.DUMMYFUNCTION("""COMPUTED_VALUE"""),"BLACK")</f>
        <v>BLACK</v>
      </c>
      <c r="G2507" s="20" t="str">
        <f>IFERROR(__xludf.DUMMYFUNCTION("""COMPUTED_VALUE"""),"Tap 6 Clone (10/15/2021)")</f>
        <v>Tap 6 Clone (10/15/2021)</v>
      </c>
      <c r="H2507" s="19"/>
    </row>
    <row r="2508">
      <c r="A2508" s="9"/>
      <c r="B2508" s="15"/>
      <c r="C2508" s="9">
        <f>IFERROR(__xludf.DUMMYFUNCTION("""COMPUTED_VALUE"""),44485.5478318981)</f>
        <v>44485.54783</v>
      </c>
      <c r="D2508" s="15">
        <f>IFERROR(__xludf.DUMMYFUNCTION("""COMPUTED_VALUE"""),1.054)</f>
        <v>1.054</v>
      </c>
      <c r="E2508" s="16">
        <f>IFERROR(__xludf.DUMMYFUNCTION("""COMPUTED_VALUE"""),64.0)</f>
        <v>64</v>
      </c>
      <c r="F2508" s="19" t="str">
        <f>IFERROR(__xludf.DUMMYFUNCTION("""COMPUTED_VALUE"""),"BLACK")</f>
        <v>BLACK</v>
      </c>
      <c r="G2508" s="20" t="str">
        <f>IFERROR(__xludf.DUMMYFUNCTION("""COMPUTED_VALUE"""),"Tap 6 Clone (10/15/2021)")</f>
        <v>Tap 6 Clone (10/15/2021)</v>
      </c>
      <c r="H2508" s="19"/>
    </row>
    <row r="2509">
      <c r="A2509" s="9"/>
      <c r="B2509" s="15"/>
      <c r="C2509" s="9">
        <f>IFERROR(__xludf.DUMMYFUNCTION("""COMPUTED_VALUE"""),44485.5374124305)</f>
        <v>44485.53741</v>
      </c>
      <c r="D2509" s="15">
        <f>IFERROR(__xludf.DUMMYFUNCTION("""COMPUTED_VALUE"""),1.054)</f>
        <v>1.054</v>
      </c>
      <c r="E2509" s="16">
        <f>IFERROR(__xludf.DUMMYFUNCTION("""COMPUTED_VALUE"""),63.0)</f>
        <v>63</v>
      </c>
      <c r="F2509" s="19" t="str">
        <f>IFERROR(__xludf.DUMMYFUNCTION("""COMPUTED_VALUE"""),"BLACK")</f>
        <v>BLACK</v>
      </c>
      <c r="G2509" s="20" t="str">
        <f>IFERROR(__xludf.DUMMYFUNCTION("""COMPUTED_VALUE"""),"Tap 6 Clone (10/15/2021)")</f>
        <v>Tap 6 Clone (10/15/2021)</v>
      </c>
      <c r="H2509" s="19"/>
    </row>
    <row r="2510">
      <c r="A2510" s="9"/>
      <c r="B2510" s="15"/>
      <c r="C2510" s="9">
        <f>IFERROR(__xludf.DUMMYFUNCTION("""COMPUTED_VALUE"""),44485.526989537)</f>
        <v>44485.52699</v>
      </c>
      <c r="D2510" s="15">
        <f>IFERROR(__xludf.DUMMYFUNCTION("""COMPUTED_VALUE"""),1.054)</f>
        <v>1.054</v>
      </c>
      <c r="E2510" s="16">
        <f>IFERROR(__xludf.DUMMYFUNCTION("""COMPUTED_VALUE"""),63.0)</f>
        <v>63</v>
      </c>
      <c r="F2510" s="19" t="str">
        <f>IFERROR(__xludf.DUMMYFUNCTION("""COMPUTED_VALUE"""),"BLACK")</f>
        <v>BLACK</v>
      </c>
      <c r="G2510" s="20" t="str">
        <f>IFERROR(__xludf.DUMMYFUNCTION("""COMPUTED_VALUE"""),"Tap 6 Clone (10/15/2021)")</f>
        <v>Tap 6 Clone (10/15/2021)</v>
      </c>
      <c r="H2510" s="19"/>
    </row>
    <row r="2511">
      <c r="A2511" s="9"/>
      <c r="B2511" s="15"/>
      <c r="C2511" s="9">
        <f>IFERROR(__xludf.DUMMYFUNCTION("""COMPUTED_VALUE"""),44485.516554699)</f>
        <v>44485.51655</v>
      </c>
      <c r="D2511" s="15">
        <f>IFERROR(__xludf.DUMMYFUNCTION("""COMPUTED_VALUE"""),1.054)</f>
        <v>1.054</v>
      </c>
      <c r="E2511" s="16">
        <f>IFERROR(__xludf.DUMMYFUNCTION("""COMPUTED_VALUE"""),63.0)</f>
        <v>63</v>
      </c>
      <c r="F2511" s="19" t="str">
        <f>IFERROR(__xludf.DUMMYFUNCTION("""COMPUTED_VALUE"""),"BLACK")</f>
        <v>BLACK</v>
      </c>
      <c r="G2511" s="20" t="str">
        <f>IFERROR(__xludf.DUMMYFUNCTION("""COMPUTED_VALUE"""),"Tap 6 Clone (10/15/2021)")</f>
        <v>Tap 6 Clone (10/15/2021)</v>
      </c>
      <c r="H2511" s="19"/>
    </row>
    <row r="2512">
      <c r="A2512" s="9"/>
      <c r="B2512" s="15"/>
      <c r="C2512" s="9">
        <f>IFERROR(__xludf.DUMMYFUNCTION("""COMPUTED_VALUE"""),44485.5061339351)</f>
        <v>44485.50613</v>
      </c>
      <c r="D2512" s="15">
        <f>IFERROR(__xludf.DUMMYFUNCTION("""COMPUTED_VALUE"""),1.054)</f>
        <v>1.054</v>
      </c>
      <c r="E2512" s="16">
        <f>IFERROR(__xludf.DUMMYFUNCTION("""COMPUTED_VALUE"""),63.0)</f>
        <v>63</v>
      </c>
      <c r="F2512" s="19" t="str">
        <f>IFERROR(__xludf.DUMMYFUNCTION("""COMPUTED_VALUE"""),"BLACK")</f>
        <v>BLACK</v>
      </c>
      <c r="G2512" s="20" t="str">
        <f>IFERROR(__xludf.DUMMYFUNCTION("""COMPUTED_VALUE"""),"Tap 6 Clone (10/15/2021)")</f>
        <v>Tap 6 Clone (10/15/2021)</v>
      </c>
      <c r="H2512" s="19"/>
    </row>
    <row r="2513">
      <c r="A2513" s="9"/>
      <c r="B2513" s="15"/>
      <c r="C2513" s="9">
        <f>IFERROR(__xludf.DUMMYFUNCTION("""COMPUTED_VALUE"""),44485.495713449)</f>
        <v>44485.49571</v>
      </c>
      <c r="D2513" s="15">
        <f>IFERROR(__xludf.DUMMYFUNCTION("""COMPUTED_VALUE"""),1.054)</f>
        <v>1.054</v>
      </c>
      <c r="E2513" s="16">
        <f>IFERROR(__xludf.DUMMYFUNCTION("""COMPUTED_VALUE"""),63.0)</f>
        <v>63</v>
      </c>
      <c r="F2513" s="19" t="str">
        <f>IFERROR(__xludf.DUMMYFUNCTION("""COMPUTED_VALUE"""),"BLACK")</f>
        <v>BLACK</v>
      </c>
      <c r="G2513" s="20" t="str">
        <f>IFERROR(__xludf.DUMMYFUNCTION("""COMPUTED_VALUE"""),"Tap 6 Clone (10/15/2021)")</f>
        <v>Tap 6 Clone (10/15/2021)</v>
      </c>
      <c r="H2513" s="19"/>
    </row>
    <row r="2514">
      <c r="A2514" s="9"/>
      <c r="B2514" s="15"/>
      <c r="C2514" s="9">
        <f>IFERROR(__xludf.DUMMYFUNCTION("""COMPUTED_VALUE"""),44485.4852937152)</f>
        <v>44485.48529</v>
      </c>
      <c r="D2514" s="15">
        <f>IFERROR(__xludf.DUMMYFUNCTION("""COMPUTED_VALUE"""),1.054)</f>
        <v>1.054</v>
      </c>
      <c r="E2514" s="16">
        <f>IFERROR(__xludf.DUMMYFUNCTION("""COMPUTED_VALUE"""),63.0)</f>
        <v>63</v>
      </c>
      <c r="F2514" s="19" t="str">
        <f>IFERROR(__xludf.DUMMYFUNCTION("""COMPUTED_VALUE"""),"BLACK")</f>
        <v>BLACK</v>
      </c>
      <c r="G2514" s="20" t="str">
        <f>IFERROR(__xludf.DUMMYFUNCTION("""COMPUTED_VALUE"""),"Tap 6 Clone (10/15/2021)")</f>
        <v>Tap 6 Clone (10/15/2021)</v>
      </c>
      <c r="H2514" s="19"/>
    </row>
    <row r="2515">
      <c r="A2515" s="9"/>
      <c r="B2515" s="15"/>
      <c r="C2515" s="9">
        <f>IFERROR(__xludf.DUMMYFUNCTION("""COMPUTED_VALUE"""),44485.4748497106)</f>
        <v>44485.47485</v>
      </c>
      <c r="D2515" s="15">
        <f>IFERROR(__xludf.DUMMYFUNCTION("""COMPUTED_VALUE"""),1.054)</f>
        <v>1.054</v>
      </c>
      <c r="E2515" s="16">
        <f>IFERROR(__xludf.DUMMYFUNCTION("""COMPUTED_VALUE"""),63.0)</f>
        <v>63</v>
      </c>
      <c r="F2515" s="19" t="str">
        <f>IFERROR(__xludf.DUMMYFUNCTION("""COMPUTED_VALUE"""),"BLACK")</f>
        <v>BLACK</v>
      </c>
      <c r="G2515" s="20" t="str">
        <f>IFERROR(__xludf.DUMMYFUNCTION("""COMPUTED_VALUE"""),"Tap 6 Clone (10/15/2021)")</f>
        <v>Tap 6 Clone (10/15/2021)</v>
      </c>
      <c r="H2515" s="19"/>
    </row>
    <row r="2516">
      <c r="A2516" s="9"/>
      <c r="B2516" s="15"/>
      <c r="C2516" s="9">
        <f>IFERROR(__xludf.DUMMYFUNCTION("""COMPUTED_VALUE"""),44485.4644291898)</f>
        <v>44485.46443</v>
      </c>
      <c r="D2516" s="15">
        <f>IFERROR(__xludf.DUMMYFUNCTION("""COMPUTED_VALUE"""),1.054)</f>
        <v>1.054</v>
      </c>
      <c r="E2516" s="16">
        <f>IFERROR(__xludf.DUMMYFUNCTION("""COMPUTED_VALUE"""),63.0)</f>
        <v>63</v>
      </c>
      <c r="F2516" s="19" t="str">
        <f>IFERROR(__xludf.DUMMYFUNCTION("""COMPUTED_VALUE"""),"BLACK")</f>
        <v>BLACK</v>
      </c>
      <c r="G2516" s="20" t="str">
        <f>IFERROR(__xludf.DUMMYFUNCTION("""COMPUTED_VALUE"""),"Tap 6 Clone (10/15/2021)")</f>
        <v>Tap 6 Clone (10/15/2021)</v>
      </c>
      <c r="H2516" s="19"/>
    </row>
    <row r="2517">
      <c r="A2517" s="9"/>
      <c r="B2517" s="15"/>
      <c r="C2517" s="9">
        <f>IFERROR(__xludf.DUMMYFUNCTION("""COMPUTED_VALUE"""),44485.4539960995)</f>
        <v>44485.454</v>
      </c>
      <c r="D2517" s="15">
        <f>IFERROR(__xludf.DUMMYFUNCTION("""COMPUTED_VALUE"""),1.054)</f>
        <v>1.054</v>
      </c>
      <c r="E2517" s="16">
        <f>IFERROR(__xludf.DUMMYFUNCTION("""COMPUTED_VALUE"""),63.0)</f>
        <v>63</v>
      </c>
      <c r="F2517" s="19" t="str">
        <f>IFERROR(__xludf.DUMMYFUNCTION("""COMPUTED_VALUE"""),"BLACK")</f>
        <v>BLACK</v>
      </c>
      <c r="G2517" s="20" t="str">
        <f>IFERROR(__xludf.DUMMYFUNCTION("""COMPUTED_VALUE"""),"Tap 6 Clone (10/15/2021)")</f>
        <v>Tap 6 Clone (10/15/2021)</v>
      </c>
      <c r="H2517" s="19"/>
    </row>
    <row r="2518">
      <c r="A2518" s="9"/>
      <c r="B2518" s="15"/>
      <c r="C2518" s="9">
        <f>IFERROR(__xludf.DUMMYFUNCTION("""COMPUTED_VALUE"""),44485.4435639351)</f>
        <v>44485.44356</v>
      </c>
      <c r="D2518" s="15">
        <f>IFERROR(__xludf.DUMMYFUNCTION("""COMPUTED_VALUE"""),1.054)</f>
        <v>1.054</v>
      </c>
      <c r="E2518" s="16">
        <f>IFERROR(__xludf.DUMMYFUNCTION("""COMPUTED_VALUE"""),63.0)</f>
        <v>63</v>
      </c>
      <c r="F2518" s="19" t="str">
        <f>IFERROR(__xludf.DUMMYFUNCTION("""COMPUTED_VALUE"""),"BLACK")</f>
        <v>BLACK</v>
      </c>
      <c r="G2518" s="20" t="str">
        <f>IFERROR(__xludf.DUMMYFUNCTION("""COMPUTED_VALUE"""),"Tap 6 Clone (10/15/2021)")</f>
        <v>Tap 6 Clone (10/15/2021)</v>
      </c>
      <c r="H2518" s="19"/>
    </row>
    <row r="2519">
      <c r="A2519" s="9"/>
      <c r="B2519" s="15"/>
      <c r="C2519" s="9">
        <f>IFERROR(__xludf.DUMMYFUNCTION("""COMPUTED_VALUE"""),44485.4331437731)</f>
        <v>44485.43314</v>
      </c>
      <c r="D2519" s="15">
        <f>IFERROR(__xludf.DUMMYFUNCTION("""COMPUTED_VALUE"""),1.054)</f>
        <v>1.054</v>
      </c>
      <c r="E2519" s="16">
        <f>IFERROR(__xludf.DUMMYFUNCTION("""COMPUTED_VALUE"""),63.0)</f>
        <v>63</v>
      </c>
      <c r="F2519" s="19" t="str">
        <f>IFERROR(__xludf.DUMMYFUNCTION("""COMPUTED_VALUE"""),"BLACK")</f>
        <v>BLACK</v>
      </c>
      <c r="G2519" s="20" t="str">
        <f>IFERROR(__xludf.DUMMYFUNCTION("""COMPUTED_VALUE"""),"Tap 6 Clone (10/15/2021)")</f>
        <v>Tap 6 Clone (10/15/2021)</v>
      </c>
      <c r="H2519" s="19"/>
    </row>
    <row r="2520">
      <c r="A2520" s="9"/>
      <c r="B2520" s="15"/>
      <c r="C2520" s="9">
        <f>IFERROR(__xludf.DUMMYFUNCTION("""COMPUTED_VALUE"""),44485.4227207291)</f>
        <v>44485.42272</v>
      </c>
      <c r="D2520" s="15">
        <f>IFERROR(__xludf.DUMMYFUNCTION("""COMPUTED_VALUE"""),1.054)</f>
        <v>1.054</v>
      </c>
      <c r="E2520" s="16">
        <f>IFERROR(__xludf.DUMMYFUNCTION("""COMPUTED_VALUE"""),63.0)</f>
        <v>63</v>
      </c>
      <c r="F2520" s="19" t="str">
        <f>IFERROR(__xludf.DUMMYFUNCTION("""COMPUTED_VALUE"""),"BLACK")</f>
        <v>BLACK</v>
      </c>
      <c r="G2520" s="20" t="str">
        <f>IFERROR(__xludf.DUMMYFUNCTION("""COMPUTED_VALUE"""),"Tap 6 Clone (10/15/2021)")</f>
        <v>Tap 6 Clone (10/15/2021)</v>
      </c>
      <c r="H2520" s="19"/>
    </row>
    <row r="2521">
      <c r="A2521" s="9"/>
      <c r="B2521" s="15"/>
      <c r="C2521" s="9">
        <f>IFERROR(__xludf.DUMMYFUNCTION("""COMPUTED_VALUE"""),44485.4122865856)</f>
        <v>44485.41229</v>
      </c>
      <c r="D2521" s="15">
        <f>IFERROR(__xludf.DUMMYFUNCTION("""COMPUTED_VALUE"""),1.054)</f>
        <v>1.054</v>
      </c>
      <c r="E2521" s="16">
        <f>IFERROR(__xludf.DUMMYFUNCTION("""COMPUTED_VALUE"""),63.0)</f>
        <v>63</v>
      </c>
      <c r="F2521" s="19" t="str">
        <f>IFERROR(__xludf.DUMMYFUNCTION("""COMPUTED_VALUE"""),"BLACK")</f>
        <v>BLACK</v>
      </c>
      <c r="G2521" s="20" t="str">
        <f>IFERROR(__xludf.DUMMYFUNCTION("""COMPUTED_VALUE"""),"Tap 6 Clone (10/15/2021)")</f>
        <v>Tap 6 Clone (10/15/2021)</v>
      </c>
      <c r="H2521" s="19"/>
    </row>
    <row r="2522">
      <c r="A2522" s="9"/>
      <c r="B2522" s="15"/>
      <c r="C2522" s="9">
        <f>IFERROR(__xludf.DUMMYFUNCTION("""COMPUTED_VALUE"""),44485.4018528819)</f>
        <v>44485.40185</v>
      </c>
      <c r="D2522" s="15">
        <f>IFERROR(__xludf.DUMMYFUNCTION("""COMPUTED_VALUE"""),1.054)</f>
        <v>1.054</v>
      </c>
      <c r="E2522" s="16">
        <f>IFERROR(__xludf.DUMMYFUNCTION("""COMPUTED_VALUE"""),63.0)</f>
        <v>63</v>
      </c>
      <c r="F2522" s="19" t="str">
        <f>IFERROR(__xludf.DUMMYFUNCTION("""COMPUTED_VALUE"""),"BLACK")</f>
        <v>BLACK</v>
      </c>
      <c r="G2522" s="20" t="str">
        <f>IFERROR(__xludf.DUMMYFUNCTION("""COMPUTED_VALUE"""),"Tap 6 Clone (10/15/2021)")</f>
        <v>Tap 6 Clone (10/15/2021)</v>
      </c>
      <c r="H2522" s="19"/>
    </row>
    <row r="2523">
      <c r="A2523" s="9"/>
      <c r="B2523" s="15"/>
      <c r="C2523" s="9">
        <f>IFERROR(__xludf.DUMMYFUNCTION("""COMPUTED_VALUE"""),44485.3914325)</f>
        <v>44485.39143</v>
      </c>
      <c r="D2523" s="15">
        <f>IFERROR(__xludf.DUMMYFUNCTION("""COMPUTED_VALUE"""),1.054)</f>
        <v>1.054</v>
      </c>
      <c r="E2523" s="16">
        <f>IFERROR(__xludf.DUMMYFUNCTION("""COMPUTED_VALUE"""),63.0)</f>
        <v>63</v>
      </c>
      <c r="F2523" s="19" t="str">
        <f>IFERROR(__xludf.DUMMYFUNCTION("""COMPUTED_VALUE"""),"BLACK")</f>
        <v>BLACK</v>
      </c>
      <c r="G2523" s="20" t="str">
        <f>IFERROR(__xludf.DUMMYFUNCTION("""COMPUTED_VALUE"""),"Tap 6 Clone (10/15/2021)")</f>
        <v>Tap 6 Clone (10/15/2021)</v>
      </c>
      <c r="H2523" s="19"/>
    </row>
    <row r="2524">
      <c r="A2524" s="9"/>
      <c r="B2524" s="15"/>
      <c r="C2524" s="9">
        <f>IFERROR(__xludf.DUMMYFUNCTION("""COMPUTED_VALUE"""),44485.3810098842)</f>
        <v>44485.38101</v>
      </c>
      <c r="D2524" s="15">
        <f>IFERROR(__xludf.DUMMYFUNCTION("""COMPUTED_VALUE"""),1.054)</f>
        <v>1.054</v>
      </c>
      <c r="E2524" s="16">
        <f>IFERROR(__xludf.DUMMYFUNCTION("""COMPUTED_VALUE"""),63.0)</f>
        <v>63</v>
      </c>
      <c r="F2524" s="19" t="str">
        <f>IFERROR(__xludf.DUMMYFUNCTION("""COMPUTED_VALUE"""),"BLACK")</f>
        <v>BLACK</v>
      </c>
      <c r="G2524" s="20" t="str">
        <f>IFERROR(__xludf.DUMMYFUNCTION("""COMPUTED_VALUE"""),"Tap 6 Clone (10/15/2021)")</f>
        <v>Tap 6 Clone (10/15/2021)</v>
      </c>
      <c r="H2524" s="19"/>
    </row>
    <row r="2525">
      <c r="A2525" s="9"/>
      <c r="B2525" s="15"/>
      <c r="C2525" s="9">
        <f>IFERROR(__xludf.DUMMYFUNCTION("""COMPUTED_VALUE"""),44485.3705881134)</f>
        <v>44485.37059</v>
      </c>
      <c r="D2525" s="15">
        <f>IFERROR(__xludf.DUMMYFUNCTION("""COMPUTED_VALUE"""),1.054)</f>
        <v>1.054</v>
      </c>
      <c r="E2525" s="16">
        <f>IFERROR(__xludf.DUMMYFUNCTION("""COMPUTED_VALUE"""),63.0)</f>
        <v>63</v>
      </c>
      <c r="F2525" s="19" t="str">
        <f>IFERROR(__xludf.DUMMYFUNCTION("""COMPUTED_VALUE"""),"BLACK")</f>
        <v>BLACK</v>
      </c>
      <c r="G2525" s="20" t="str">
        <f>IFERROR(__xludf.DUMMYFUNCTION("""COMPUTED_VALUE"""),"Tap 6 Clone (10/15/2021)")</f>
        <v>Tap 6 Clone (10/15/2021)</v>
      </c>
      <c r="H2525" s="19"/>
    </row>
    <row r="2526">
      <c r="A2526" s="9"/>
      <c r="B2526" s="15"/>
      <c r="C2526" s="9">
        <f>IFERROR(__xludf.DUMMYFUNCTION("""COMPUTED_VALUE"""),44485.3601662037)</f>
        <v>44485.36017</v>
      </c>
      <c r="D2526" s="15">
        <f>IFERROR(__xludf.DUMMYFUNCTION("""COMPUTED_VALUE"""),1.054)</f>
        <v>1.054</v>
      </c>
      <c r="E2526" s="16">
        <f>IFERROR(__xludf.DUMMYFUNCTION("""COMPUTED_VALUE"""),63.0)</f>
        <v>63</v>
      </c>
      <c r="F2526" s="19" t="str">
        <f>IFERROR(__xludf.DUMMYFUNCTION("""COMPUTED_VALUE"""),"BLACK")</f>
        <v>BLACK</v>
      </c>
      <c r="G2526" s="20" t="str">
        <f>IFERROR(__xludf.DUMMYFUNCTION("""COMPUTED_VALUE"""),"Tap 6 Clone (10/15/2021)")</f>
        <v>Tap 6 Clone (10/15/2021)</v>
      </c>
      <c r="H2526" s="19"/>
    </row>
    <row r="2527">
      <c r="A2527" s="9"/>
      <c r="B2527" s="15"/>
      <c r="C2527" s="9">
        <f>IFERROR(__xludf.DUMMYFUNCTION("""COMPUTED_VALUE"""),44485.3497326851)</f>
        <v>44485.34973</v>
      </c>
      <c r="D2527" s="15">
        <f>IFERROR(__xludf.DUMMYFUNCTION("""COMPUTED_VALUE"""),1.054)</f>
        <v>1.054</v>
      </c>
      <c r="E2527" s="16">
        <f>IFERROR(__xludf.DUMMYFUNCTION("""COMPUTED_VALUE"""),63.0)</f>
        <v>63</v>
      </c>
      <c r="F2527" s="19" t="str">
        <f>IFERROR(__xludf.DUMMYFUNCTION("""COMPUTED_VALUE"""),"BLACK")</f>
        <v>BLACK</v>
      </c>
      <c r="G2527" s="20" t="str">
        <f>IFERROR(__xludf.DUMMYFUNCTION("""COMPUTED_VALUE"""),"Tap 6 Clone (10/15/2021)")</f>
        <v>Tap 6 Clone (10/15/2021)</v>
      </c>
      <c r="H2527" s="19"/>
    </row>
    <row r="2528">
      <c r="A2528" s="9"/>
      <c r="B2528" s="15"/>
      <c r="C2528" s="9">
        <f>IFERROR(__xludf.DUMMYFUNCTION("""COMPUTED_VALUE"""),44485.3393132523)</f>
        <v>44485.33931</v>
      </c>
      <c r="D2528" s="15">
        <f>IFERROR(__xludf.DUMMYFUNCTION("""COMPUTED_VALUE"""),1.054)</f>
        <v>1.054</v>
      </c>
      <c r="E2528" s="16">
        <f>IFERROR(__xludf.DUMMYFUNCTION("""COMPUTED_VALUE"""),63.0)</f>
        <v>63</v>
      </c>
      <c r="F2528" s="19" t="str">
        <f>IFERROR(__xludf.DUMMYFUNCTION("""COMPUTED_VALUE"""),"BLACK")</f>
        <v>BLACK</v>
      </c>
      <c r="G2528" s="20" t="str">
        <f>IFERROR(__xludf.DUMMYFUNCTION("""COMPUTED_VALUE"""),"Tap 6 Clone (10/15/2021)")</f>
        <v>Tap 6 Clone (10/15/2021)</v>
      </c>
      <c r="H2528" s="19"/>
    </row>
    <row r="2529">
      <c r="A2529" s="9"/>
      <c r="B2529" s="15"/>
      <c r="C2529" s="9">
        <f>IFERROR(__xludf.DUMMYFUNCTION("""COMPUTED_VALUE"""),44485.3288930092)</f>
        <v>44485.32889</v>
      </c>
      <c r="D2529" s="15">
        <f>IFERROR(__xludf.DUMMYFUNCTION("""COMPUTED_VALUE"""),1.054)</f>
        <v>1.054</v>
      </c>
      <c r="E2529" s="16">
        <f>IFERROR(__xludf.DUMMYFUNCTION("""COMPUTED_VALUE"""),63.0)</f>
        <v>63</v>
      </c>
      <c r="F2529" s="19" t="str">
        <f>IFERROR(__xludf.DUMMYFUNCTION("""COMPUTED_VALUE"""),"BLACK")</f>
        <v>BLACK</v>
      </c>
      <c r="G2529" s="20" t="str">
        <f>IFERROR(__xludf.DUMMYFUNCTION("""COMPUTED_VALUE"""),"Tap 6 Clone (10/15/2021)")</f>
        <v>Tap 6 Clone (10/15/2021)</v>
      </c>
      <c r="H2529" s="19"/>
    </row>
    <row r="2530">
      <c r="A2530" s="9"/>
      <c r="B2530" s="15"/>
      <c r="C2530" s="9">
        <f>IFERROR(__xludf.DUMMYFUNCTION("""COMPUTED_VALUE"""),44485.3184710995)</f>
        <v>44485.31847</v>
      </c>
      <c r="D2530" s="15">
        <f>IFERROR(__xludf.DUMMYFUNCTION("""COMPUTED_VALUE"""),1.054)</f>
        <v>1.054</v>
      </c>
      <c r="E2530" s="16">
        <f>IFERROR(__xludf.DUMMYFUNCTION("""COMPUTED_VALUE"""),63.0)</f>
        <v>63</v>
      </c>
      <c r="F2530" s="19" t="str">
        <f>IFERROR(__xludf.DUMMYFUNCTION("""COMPUTED_VALUE"""),"BLACK")</f>
        <v>BLACK</v>
      </c>
      <c r="G2530" s="20" t="str">
        <f>IFERROR(__xludf.DUMMYFUNCTION("""COMPUTED_VALUE"""),"Tap 6 Clone (10/15/2021)")</f>
        <v>Tap 6 Clone (10/15/2021)</v>
      </c>
      <c r="H2530" s="19"/>
    </row>
    <row r="2531">
      <c r="A2531" s="9"/>
      <c r="B2531" s="15"/>
      <c r="C2531" s="9">
        <f>IFERROR(__xludf.DUMMYFUNCTION("""COMPUTED_VALUE"""),44485.3080503588)</f>
        <v>44485.30805</v>
      </c>
      <c r="D2531" s="15">
        <f>IFERROR(__xludf.DUMMYFUNCTION("""COMPUTED_VALUE"""),1.054)</f>
        <v>1.054</v>
      </c>
      <c r="E2531" s="16">
        <f>IFERROR(__xludf.DUMMYFUNCTION("""COMPUTED_VALUE"""),63.0)</f>
        <v>63</v>
      </c>
      <c r="F2531" s="19" t="str">
        <f>IFERROR(__xludf.DUMMYFUNCTION("""COMPUTED_VALUE"""),"BLACK")</f>
        <v>BLACK</v>
      </c>
      <c r="G2531" s="20" t="str">
        <f>IFERROR(__xludf.DUMMYFUNCTION("""COMPUTED_VALUE"""),"Tap 6 Clone (10/15/2021)")</f>
        <v>Tap 6 Clone (10/15/2021)</v>
      </c>
      <c r="H2531" s="19"/>
    </row>
    <row r="2532">
      <c r="A2532" s="9"/>
      <c r="B2532" s="15"/>
      <c r="C2532" s="9">
        <f>IFERROR(__xludf.DUMMYFUNCTION("""COMPUTED_VALUE"""),44485.2976290162)</f>
        <v>44485.29763</v>
      </c>
      <c r="D2532" s="15">
        <f>IFERROR(__xludf.DUMMYFUNCTION("""COMPUTED_VALUE"""),1.054)</f>
        <v>1.054</v>
      </c>
      <c r="E2532" s="16">
        <f>IFERROR(__xludf.DUMMYFUNCTION("""COMPUTED_VALUE"""),63.0)</f>
        <v>63</v>
      </c>
      <c r="F2532" s="19" t="str">
        <f>IFERROR(__xludf.DUMMYFUNCTION("""COMPUTED_VALUE"""),"BLACK")</f>
        <v>BLACK</v>
      </c>
      <c r="G2532" s="20" t="str">
        <f>IFERROR(__xludf.DUMMYFUNCTION("""COMPUTED_VALUE"""),"Tap 6 Clone (10/15/2021)")</f>
        <v>Tap 6 Clone (10/15/2021)</v>
      </c>
      <c r="H2532" s="19"/>
    </row>
    <row r="2533">
      <c r="A2533" s="9"/>
      <c r="B2533" s="15"/>
      <c r="C2533" s="9">
        <f>IFERROR(__xludf.DUMMYFUNCTION("""COMPUTED_VALUE"""),44485.2872087963)</f>
        <v>44485.28721</v>
      </c>
      <c r="D2533" s="15">
        <f>IFERROR(__xludf.DUMMYFUNCTION("""COMPUTED_VALUE"""),1.054)</f>
        <v>1.054</v>
      </c>
      <c r="E2533" s="16">
        <f>IFERROR(__xludf.DUMMYFUNCTION("""COMPUTED_VALUE"""),63.0)</f>
        <v>63</v>
      </c>
      <c r="F2533" s="19" t="str">
        <f>IFERROR(__xludf.DUMMYFUNCTION("""COMPUTED_VALUE"""),"BLACK")</f>
        <v>BLACK</v>
      </c>
      <c r="G2533" s="20" t="str">
        <f>IFERROR(__xludf.DUMMYFUNCTION("""COMPUTED_VALUE"""),"Tap 6 Clone (10/15/2021)")</f>
        <v>Tap 6 Clone (10/15/2021)</v>
      </c>
      <c r="H2533" s="19"/>
    </row>
    <row r="2534">
      <c r="A2534" s="9"/>
      <c r="B2534" s="15"/>
      <c r="C2534" s="9">
        <f>IFERROR(__xludf.DUMMYFUNCTION("""COMPUTED_VALUE"""),44485.2767878356)</f>
        <v>44485.27679</v>
      </c>
      <c r="D2534" s="15">
        <f>IFERROR(__xludf.DUMMYFUNCTION("""COMPUTED_VALUE"""),1.054)</f>
        <v>1.054</v>
      </c>
      <c r="E2534" s="16">
        <f>IFERROR(__xludf.DUMMYFUNCTION("""COMPUTED_VALUE"""),63.0)</f>
        <v>63</v>
      </c>
      <c r="F2534" s="19" t="str">
        <f>IFERROR(__xludf.DUMMYFUNCTION("""COMPUTED_VALUE"""),"BLACK")</f>
        <v>BLACK</v>
      </c>
      <c r="G2534" s="20" t="str">
        <f>IFERROR(__xludf.DUMMYFUNCTION("""COMPUTED_VALUE"""),"Tap 6 Clone (10/15/2021)")</f>
        <v>Tap 6 Clone (10/15/2021)</v>
      </c>
      <c r="H2534" s="19"/>
    </row>
    <row r="2535">
      <c r="A2535" s="9"/>
      <c r="B2535" s="15"/>
      <c r="C2535" s="9">
        <f>IFERROR(__xludf.DUMMYFUNCTION("""COMPUTED_VALUE"""),44485.2663661111)</f>
        <v>44485.26637</v>
      </c>
      <c r="D2535" s="15">
        <f>IFERROR(__xludf.DUMMYFUNCTION("""COMPUTED_VALUE"""),1.054)</f>
        <v>1.054</v>
      </c>
      <c r="E2535" s="16">
        <f>IFERROR(__xludf.DUMMYFUNCTION("""COMPUTED_VALUE"""),63.0)</f>
        <v>63</v>
      </c>
      <c r="F2535" s="19" t="str">
        <f>IFERROR(__xludf.DUMMYFUNCTION("""COMPUTED_VALUE"""),"BLACK")</f>
        <v>BLACK</v>
      </c>
      <c r="G2535" s="20" t="str">
        <f>IFERROR(__xludf.DUMMYFUNCTION("""COMPUTED_VALUE"""),"Tap 6 Clone (10/15/2021)")</f>
        <v>Tap 6 Clone (10/15/2021)</v>
      </c>
      <c r="H2535" s="19"/>
    </row>
    <row r="2536">
      <c r="A2536" s="9"/>
      <c r="B2536" s="15"/>
      <c r="C2536" s="9">
        <f>IFERROR(__xludf.DUMMYFUNCTION("""COMPUTED_VALUE"""),44485.25594375)</f>
        <v>44485.25594</v>
      </c>
      <c r="D2536" s="15">
        <f>IFERROR(__xludf.DUMMYFUNCTION("""COMPUTED_VALUE"""),1.054)</f>
        <v>1.054</v>
      </c>
      <c r="E2536" s="16">
        <f>IFERROR(__xludf.DUMMYFUNCTION("""COMPUTED_VALUE"""),63.0)</f>
        <v>63</v>
      </c>
      <c r="F2536" s="19" t="str">
        <f>IFERROR(__xludf.DUMMYFUNCTION("""COMPUTED_VALUE"""),"BLACK")</f>
        <v>BLACK</v>
      </c>
      <c r="G2536" s="20" t="str">
        <f>IFERROR(__xludf.DUMMYFUNCTION("""COMPUTED_VALUE"""),"Tap 6 Clone (10/15/2021)")</f>
        <v>Tap 6 Clone (10/15/2021)</v>
      </c>
      <c r="H2536" s="19"/>
    </row>
    <row r="2537">
      <c r="A2537" s="9"/>
      <c r="B2537" s="15"/>
      <c r="C2537" s="9">
        <f>IFERROR(__xludf.DUMMYFUNCTION("""COMPUTED_VALUE"""),44485.2455234259)</f>
        <v>44485.24552</v>
      </c>
      <c r="D2537" s="15">
        <f>IFERROR(__xludf.DUMMYFUNCTION("""COMPUTED_VALUE"""),1.054)</f>
        <v>1.054</v>
      </c>
      <c r="E2537" s="16">
        <f>IFERROR(__xludf.DUMMYFUNCTION("""COMPUTED_VALUE"""),63.0)</f>
        <v>63</v>
      </c>
      <c r="F2537" s="19" t="str">
        <f>IFERROR(__xludf.DUMMYFUNCTION("""COMPUTED_VALUE"""),"BLACK")</f>
        <v>BLACK</v>
      </c>
      <c r="G2537" s="20" t="str">
        <f>IFERROR(__xludf.DUMMYFUNCTION("""COMPUTED_VALUE"""),"Tap 6 Clone (10/15/2021)")</f>
        <v>Tap 6 Clone (10/15/2021)</v>
      </c>
      <c r="H2537" s="19"/>
    </row>
    <row r="2538">
      <c r="A2538" s="9"/>
      <c r="B2538" s="15"/>
      <c r="C2538" s="9">
        <f>IFERROR(__xludf.DUMMYFUNCTION("""COMPUTED_VALUE"""),44485.235102118)</f>
        <v>44485.2351</v>
      </c>
      <c r="D2538" s="15">
        <f>IFERROR(__xludf.DUMMYFUNCTION("""COMPUTED_VALUE"""),1.054)</f>
        <v>1.054</v>
      </c>
      <c r="E2538" s="16">
        <f>IFERROR(__xludf.DUMMYFUNCTION("""COMPUTED_VALUE"""),63.0)</f>
        <v>63</v>
      </c>
      <c r="F2538" s="19" t="str">
        <f>IFERROR(__xludf.DUMMYFUNCTION("""COMPUTED_VALUE"""),"BLACK")</f>
        <v>BLACK</v>
      </c>
      <c r="G2538" s="20" t="str">
        <f>IFERROR(__xludf.DUMMYFUNCTION("""COMPUTED_VALUE"""),"Tap 6 Clone (10/15/2021)")</f>
        <v>Tap 6 Clone (10/15/2021)</v>
      </c>
      <c r="H2538" s="19"/>
    </row>
    <row r="2539">
      <c r="A2539" s="9"/>
      <c r="B2539" s="15"/>
      <c r="C2539" s="9">
        <f>IFERROR(__xludf.DUMMYFUNCTION("""COMPUTED_VALUE"""),44485.2246708333)</f>
        <v>44485.22467</v>
      </c>
      <c r="D2539" s="15">
        <f>IFERROR(__xludf.DUMMYFUNCTION("""COMPUTED_VALUE"""),1.054)</f>
        <v>1.054</v>
      </c>
      <c r="E2539" s="16">
        <f>IFERROR(__xludf.DUMMYFUNCTION("""COMPUTED_VALUE"""),63.0)</f>
        <v>63</v>
      </c>
      <c r="F2539" s="19" t="str">
        <f>IFERROR(__xludf.DUMMYFUNCTION("""COMPUTED_VALUE"""),"BLACK")</f>
        <v>BLACK</v>
      </c>
      <c r="G2539" s="20" t="str">
        <f>IFERROR(__xludf.DUMMYFUNCTION("""COMPUTED_VALUE"""),"Tap 6 Clone (10/15/2021)")</f>
        <v>Tap 6 Clone (10/15/2021)</v>
      </c>
      <c r="H2539" s="19"/>
    </row>
    <row r="2540">
      <c r="A2540" s="9"/>
      <c r="B2540" s="15"/>
      <c r="C2540" s="9">
        <f>IFERROR(__xludf.DUMMYFUNCTION("""COMPUTED_VALUE"""),44485.2142501967)</f>
        <v>44485.21425</v>
      </c>
      <c r="D2540" s="15">
        <f>IFERROR(__xludf.DUMMYFUNCTION("""COMPUTED_VALUE"""),1.054)</f>
        <v>1.054</v>
      </c>
      <c r="E2540" s="16">
        <f>IFERROR(__xludf.DUMMYFUNCTION("""COMPUTED_VALUE"""),63.0)</f>
        <v>63</v>
      </c>
      <c r="F2540" s="19" t="str">
        <f>IFERROR(__xludf.DUMMYFUNCTION("""COMPUTED_VALUE"""),"BLACK")</f>
        <v>BLACK</v>
      </c>
      <c r="G2540" s="20" t="str">
        <f>IFERROR(__xludf.DUMMYFUNCTION("""COMPUTED_VALUE"""),"Tap 6 Clone (10/15/2021)")</f>
        <v>Tap 6 Clone (10/15/2021)</v>
      </c>
      <c r="H2540" s="19"/>
    </row>
    <row r="2541">
      <c r="A2541" s="9"/>
      <c r="B2541" s="15"/>
      <c r="C2541" s="9">
        <f>IFERROR(__xludf.DUMMYFUNCTION("""COMPUTED_VALUE"""),44485.2038304398)</f>
        <v>44485.20383</v>
      </c>
      <c r="D2541" s="15">
        <f>IFERROR(__xludf.DUMMYFUNCTION("""COMPUTED_VALUE"""),1.054)</f>
        <v>1.054</v>
      </c>
      <c r="E2541" s="16">
        <f>IFERROR(__xludf.DUMMYFUNCTION("""COMPUTED_VALUE"""),63.0)</f>
        <v>63</v>
      </c>
      <c r="F2541" s="19" t="str">
        <f>IFERROR(__xludf.DUMMYFUNCTION("""COMPUTED_VALUE"""),"BLACK")</f>
        <v>BLACK</v>
      </c>
      <c r="G2541" s="20" t="str">
        <f>IFERROR(__xludf.DUMMYFUNCTION("""COMPUTED_VALUE"""),"Tap 6 Clone (10/15/2021)")</f>
        <v>Tap 6 Clone (10/15/2021)</v>
      </c>
      <c r="H2541" s="19"/>
    </row>
    <row r="2542">
      <c r="A2542" s="9"/>
      <c r="B2542" s="15"/>
      <c r="C2542" s="9">
        <f>IFERROR(__xludf.DUMMYFUNCTION("""COMPUTED_VALUE"""),44485.193397581)</f>
        <v>44485.1934</v>
      </c>
      <c r="D2542" s="15">
        <f>IFERROR(__xludf.DUMMYFUNCTION("""COMPUTED_VALUE"""),1.054)</f>
        <v>1.054</v>
      </c>
      <c r="E2542" s="16">
        <f>IFERROR(__xludf.DUMMYFUNCTION("""COMPUTED_VALUE"""),62.0)</f>
        <v>62</v>
      </c>
      <c r="F2542" s="19" t="str">
        <f>IFERROR(__xludf.DUMMYFUNCTION("""COMPUTED_VALUE"""),"BLACK")</f>
        <v>BLACK</v>
      </c>
      <c r="G2542" s="20" t="str">
        <f>IFERROR(__xludf.DUMMYFUNCTION("""COMPUTED_VALUE"""),"Tap 6 Clone (10/15/2021)")</f>
        <v>Tap 6 Clone (10/15/2021)</v>
      </c>
      <c r="H2542" s="19"/>
    </row>
    <row r="2543">
      <c r="A2543" s="9"/>
      <c r="B2543" s="15"/>
      <c r="C2543" s="9">
        <f>IFERROR(__xludf.DUMMYFUNCTION("""COMPUTED_VALUE"""),44485.1829770023)</f>
        <v>44485.18298</v>
      </c>
      <c r="D2543" s="15">
        <f>IFERROR(__xludf.DUMMYFUNCTION("""COMPUTED_VALUE"""),1.054)</f>
        <v>1.054</v>
      </c>
      <c r="E2543" s="16">
        <f>IFERROR(__xludf.DUMMYFUNCTION("""COMPUTED_VALUE"""),62.0)</f>
        <v>62</v>
      </c>
      <c r="F2543" s="19" t="str">
        <f>IFERROR(__xludf.DUMMYFUNCTION("""COMPUTED_VALUE"""),"BLACK")</f>
        <v>BLACK</v>
      </c>
      <c r="G2543" s="20" t="str">
        <f>IFERROR(__xludf.DUMMYFUNCTION("""COMPUTED_VALUE"""),"Tap 6 Clone (10/15/2021)")</f>
        <v>Tap 6 Clone (10/15/2021)</v>
      </c>
      <c r="H2543" s="19"/>
    </row>
    <row r="2544">
      <c r="A2544" s="9"/>
      <c r="B2544" s="15"/>
      <c r="C2544" s="9">
        <f>IFERROR(__xludf.DUMMYFUNCTION("""COMPUTED_VALUE"""),44485.1725560648)</f>
        <v>44485.17256</v>
      </c>
      <c r="D2544" s="15">
        <f>IFERROR(__xludf.DUMMYFUNCTION("""COMPUTED_VALUE"""),1.054)</f>
        <v>1.054</v>
      </c>
      <c r="E2544" s="16">
        <f>IFERROR(__xludf.DUMMYFUNCTION("""COMPUTED_VALUE"""),62.0)</f>
        <v>62</v>
      </c>
      <c r="F2544" s="19" t="str">
        <f>IFERROR(__xludf.DUMMYFUNCTION("""COMPUTED_VALUE"""),"BLACK")</f>
        <v>BLACK</v>
      </c>
      <c r="G2544" s="20" t="str">
        <f>IFERROR(__xludf.DUMMYFUNCTION("""COMPUTED_VALUE"""),"Tap 6 Clone (10/15/2021)")</f>
        <v>Tap 6 Clone (10/15/2021)</v>
      </c>
      <c r="H2544" s="19"/>
    </row>
    <row r="2545">
      <c r="A2545" s="9"/>
      <c r="B2545" s="15"/>
      <c r="C2545" s="9">
        <f>IFERROR(__xludf.DUMMYFUNCTION("""COMPUTED_VALUE"""),44485.1621240046)</f>
        <v>44485.16212</v>
      </c>
      <c r="D2545" s="15">
        <f>IFERROR(__xludf.DUMMYFUNCTION("""COMPUTED_VALUE"""),1.054)</f>
        <v>1.054</v>
      </c>
      <c r="E2545" s="16">
        <f>IFERROR(__xludf.DUMMYFUNCTION("""COMPUTED_VALUE"""),62.0)</f>
        <v>62</v>
      </c>
      <c r="F2545" s="19" t="str">
        <f>IFERROR(__xludf.DUMMYFUNCTION("""COMPUTED_VALUE"""),"BLACK")</f>
        <v>BLACK</v>
      </c>
      <c r="G2545" s="20" t="str">
        <f>IFERROR(__xludf.DUMMYFUNCTION("""COMPUTED_VALUE"""),"Tap 6 Clone (10/15/2021)")</f>
        <v>Tap 6 Clone (10/15/2021)</v>
      </c>
      <c r="H2545" s="19"/>
    </row>
    <row r="2546">
      <c r="A2546" s="9"/>
      <c r="B2546" s="15"/>
      <c r="C2546" s="9">
        <f>IFERROR(__xludf.DUMMYFUNCTION("""COMPUTED_VALUE"""),44485.1517029976)</f>
        <v>44485.1517</v>
      </c>
      <c r="D2546" s="15">
        <f>IFERROR(__xludf.DUMMYFUNCTION("""COMPUTED_VALUE"""),1.054)</f>
        <v>1.054</v>
      </c>
      <c r="E2546" s="16">
        <f>IFERROR(__xludf.DUMMYFUNCTION("""COMPUTED_VALUE"""),62.0)</f>
        <v>62</v>
      </c>
      <c r="F2546" s="19" t="str">
        <f>IFERROR(__xludf.DUMMYFUNCTION("""COMPUTED_VALUE"""),"BLACK")</f>
        <v>BLACK</v>
      </c>
      <c r="G2546" s="20" t="str">
        <f>IFERROR(__xludf.DUMMYFUNCTION("""COMPUTED_VALUE"""),"Tap 6 Clone (10/15/2021)")</f>
        <v>Tap 6 Clone (10/15/2021)</v>
      </c>
      <c r="H2546" s="19"/>
    </row>
    <row r="2547">
      <c r="A2547" s="9"/>
      <c r="B2547" s="15"/>
      <c r="C2547" s="9">
        <f>IFERROR(__xludf.DUMMYFUNCTION("""COMPUTED_VALUE"""),44485.1412809722)</f>
        <v>44485.14128</v>
      </c>
      <c r="D2547" s="15">
        <f>IFERROR(__xludf.DUMMYFUNCTION("""COMPUTED_VALUE"""),1.054)</f>
        <v>1.054</v>
      </c>
      <c r="E2547" s="16">
        <f>IFERROR(__xludf.DUMMYFUNCTION("""COMPUTED_VALUE"""),62.0)</f>
        <v>62</v>
      </c>
      <c r="F2547" s="19" t="str">
        <f>IFERROR(__xludf.DUMMYFUNCTION("""COMPUTED_VALUE"""),"BLACK")</f>
        <v>BLACK</v>
      </c>
      <c r="G2547" s="20" t="str">
        <f>IFERROR(__xludf.DUMMYFUNCTION("""COMPUTED_VALUE"""),"Tap 6 Clone (10/15/2021)")</f>
        <v>Tap 6 Clone (10/15/2021)</v>
      </c>
      <c r="H2547" s="19"/>
    </row>
    <row r="2548">
      <c r="A2548" s="9"/>
      <c r="B2548" s="15"/>
      <c r="C2548" s="9">
        <f>IFERROR(__xludf.DUMMYFUNCTION("""COMPUTED_VALUE"""),44485.1308598958)</f>
        <v>44485.13086</v>
      </c>
      <c r="D2548" s="15">
        <f>IFERROR(__xludf.DUMMYFUNCTION("""COMPUTED_VALUE"""),1.054)</f>
        <v>1.054</v>
      </c>
      <c r="E2548" s="16">
        <f>IFERROR(__xludf.DUMMYFUNCTION("""COMPUTED_VALUE"""),62.0)</f>
        <v>62</v>
      </c>
      <c r="F2548" s="19" t="str">
        <f>IFERROR(__xludf.DUMMYFUNCTION("""COMPUTED_VALUE"""),"BLACK")</f>
        <v>BLACK</v>
      </c>
      <c r="G2548" s="20" t="str">
        <f>IFERROR(__xludf.DUMMYFUNCTION("""COMPUTED_VALUE"""),"Tap 6 Clone (10/15/2021)")</f>
        <v>Tap 6 Clone (10/15/2021)</v>
      </c>
      <c r="H2548" s="19"/>
    </row>
    <row r="2549">
      <c r="A2549" s="9"/>
      <c r="B2549" s="15"/>
      <c r="C2549" s="9">
        <f>IFERROR(__xludf.DUMMYFUNCTION("""COMPUTED_VALUE"""),44485.1204386574)</f>
        <v>44485.12044</v>
      </c>
      <c r="D2549" s="15">
        <f>IFERROR(__xludf.DUMMYFUNCTION("""COMPUTED_VALUE"""),1.054)</f>
        <v>1.054</v>
      </c>
      <c r="E2549" s="16">
        <f>IFERROR(__xludf.DUMMYFUNCTION("""COMPUTED_VALUE"""),62.0)</f>
        <v>62</v>
      </c>
      <c r="F2549" s="19" t="str">
        <f>IFERROR(__xludf.DUMMYFUNCTION("""COMPUTED_VALUE"""),"BLACK")</f>
        <v>BLACK</v>
      </c>
      <c r="G2549" s="20" t="str">
        <f>IFERROR(__xludf.DUMMYFUNCTION("""COMPUTED_VALUE"""),"Tap 6 Clone (10/15/2021)")</f>
        <v>Tap 6 Clone (10/15/2021)</v>
      </c>
      <c r="H2549" s="19"/>
    </row>
    <row r="2550">
      <c r="A2550" s="9"/>
      <c r="B2550" s="15"/>
      <c r="C2550" s="9">
        <f>IFERROR(__xludf.DUMMYFUNCTION("""COMPUTED_VALUE"""),44485.1099812268)</f>
        <v>44485.10998</v>
      </c>
      <c r="D2550" s="15">
        <f>IFERROR(__xludf.DUMMYFUNCTION("""COMPUTED_VALUE"""),1.054)</f>
        <v>1.054</v>
      </c>
      <c r="E2550" s="16">
        <f>IFERROR(__xludf.DUMMYFUNCTION("""COMPUTED_VALUE"""),62.0)</f>
        <v>62</v>
      </c>
      <c r="F2550" s="19" t="str">
        <f>IFERROR(__xludf.DUMMYFUNCTION("""COMPUTED_VALUE"""),"BLACK")</f>
        <v>BLACK</v>
      </c>
      <c r="G2550" s="20" t="str">
        <f>IFERROR(__xludf.DUMMYFUNCTION("""COMPUTED_VALUE"""),"Tap 6 Clone (10/15/2021)")</f>
        <v>Tap 6 Clone (10/15/2021)</v>
      </c>
      <c r="H2550" s="19"/>
    </row>
    <row r="2551">
      <c r="A2551" s="9"/>
      <c r="B2551" s="15"/>
      <c r="C2551" s="9">
        <f>IFERROR(__xludf.DUMMYFUNCTION("""COMPUTED_VALUE"""),44485.0995604861)</f>
        <v>44485.09956</v>
      </c>
      <c r="D2551" s="15">
        <f>IFERROR(__xludf.DUMMYFUNCTION("""COMPUTED_VALUE"""),1.054)</f>
        <v>1.054</v>
      </c>
      <c r="E2551" s="16">
        <f>IFERROR(__xludf.DUMMYFUNCTION("""COMPUTED_VALUE"""),62.0)</f>
        <v>62</v>
      </c>
      <c r="F2551" s="19" t="str">
        <f>IFERROR(__xludf.DUMMYFUNCTION("""COMPUTED_VALUE"""),"BLACK")</f>
        <v>BLACK</v>
      </c>
      <c r="G2551" s="20" t="str">
        <f>IFERROR(__xludf.DUMMYFUNCTION("""COMPUTED_VALUE"""),"Tap 6 Clone (10/15/2021)")</f>
        <v>Tap 6 Clone (10/15/2021)</v>
      </c>
      <c r="H2551" s="19"/>
    </row>
    <row r="2552">
      <c r="A2552" s="9"/>
      <c r="B2552" s="15"/>
      <c r="C2552" s="9">
        <f>IFERROR(__xludf.DUMMYFUNCTION("""COMPUTED_VALUE"""),44485.0891393055)</f>
        <v>44485.08914</v>
      </c>
      <c r="D2552" s="15">
        <f>IFERROR(__xludf.DUMMYFUNCTION("""COMPUTED_VALUE"""),1.054)</f>
        <v>1.054</v>
      </c>
      <c r="E2552" s="16">
        <f>IFERROR(__xludf.DUMMYFUNCTION("""COMPUTED_VALUE"""),62.0)</f>
        <v>62</v>
      </c>
      <c r="F2552" s="19" t="str">
        <f>IFERROR(__xludf.DUMMYFUNCTION("""COMPUTED_VALUE"""),"BLACK")</f>
        <v>BLACK</v>
      </c>
      <c r="G2552" s="20" t="str">
        <f>IFERROR(__xludf.DUMMYFUNCTION("""COMPUTED_VALUE"""),"Tap 6 Clone (10/15/2021)")</f>
        <v>Tap 6 Clone (10/15/2021)</v>
      </c>
      <c r="H2552" s="19"/>
    </row>
    <row r="2553">
      <c r="A2553" s="9"/>
      <c r="B2553" s="15"/>
      <c r="C2553" s="9">
        <f>IFERROR(__xludf.DUMMYFUNCTION("""COMPUTED_VALUE"""),44485.0787190046)</f>
        <v>44485.07872</v>
      </c>
      <c r="D2553" s="15">
        <f>IFERROR(__xludf.DUMMYFUNCTION("""COMPUTED_VALUE"""),1.054)</f>
        <v>1.054</v>
      </c>
      <c r="E2553" s="16">
        <f>IFERROR(__xludf.DUMMYFUNCTION("""COMPUTED_VALUE"""),62.0)</f>
        <v>62</v>
      </c>
      <c r="F2553" s="19" t="str">
        <f>IFERROR(__xludf.DUMMYFUNCTION("""COMPUTED_VALUE"""),"BLACK")</f>
        <v>BLACK</v>
      </c>
      <c r="G2553" s="20" t="str">
        <f>IFERROR(__xludf.DUMMYFUNCTION("""COMPUTED_VALUE"""),"Tap 6 Clone (10/15/2021)")</f>
        <v>Tap 6 Clone (10/15/2021)</v>
      </c>
      <c r="H2553" s="19"/>
    </row>
    <row r="2554">
      <c r="A2554" s="9"/>
      <c r="B2554" s="15"/>
      <c r="C2554" s="9">
        <f>IFERROR(__xludf.DUMMYFUNCTION("""COMPUTED_VALUE"""),44485.0682852893)</f>
        <v>44485.06829</v>
      </c>
      <c r="D2554" s="15">
        <f>IFERROR(__xludf.DUMMYFUNCTION("""COMPUTED_VALUE"""),1.054)</f>
        <v>1.054</v>
      </c>
      <c r="E2554" s="16">
        <f>IFERROR(__xludf.DUMMYFUNCTION("""COMPUTED_VALUE"""),62.0)</f>
        <v>62</v>
      </c>
      <c r="F2554" s="19" t="str">
        <f>IFERROR(__xludf.DUMMYFUNCTION("""COMPUTED_VALUE"""),"BLACK")</f>
        <v>BLACK</v>
      </c>
      <c r="G2554" s="20" t="str">
        <f>IFERROR(__xludf.DUMMYFUNCTION("""COMPUTED_VALUE"""),"Tap 6 Clone (10/15/2021)")</f>
        <v>Tap 6 Clone (10/15/2021)</v>
      </c>
      <c r="H2554" s="19"/>
    </row>
    <row r="2555">
      <c r="A2555" s="9"/>
      <c r="B2555" s="15"/>
      <c r="C2555" s="9">
        <f>IFERROR(__xludf.DUMMYFUNCTION("""COMPUTED_VALUE"""),44485.05785)</f>
        <v>44485.05785</v>
      </c>
      <c r="D2555" s="15">
        <f>IFERROR(__xludf.DUMMYFUNCTION("""COMPUTED_VALUE"""),1.054)</f>
        <v>1.054</v>
      </c>
      <c r="E2555" s="16">
        <f>IFERROR(__xludf.DUMMYFUNCTION("""COMPUTED_VALUE"""),62.0)</f>
        <v>62</v>
      </c>
      <c r="F2555" s="19" t="str">
        <f>IFERROR(__xludf.DUMMYFUNCTION("""COMPUTED_VALUE"""),"BLACK")</f>
        <v>BLACK</v>
      </c>
      <c r="G2555" s="20" t="str">
        <f>IFERROR(__xludf.DUMMYFUNCTION("""COMPUTED_VALUE"""),"Tap 6 Clone (10/15/2021)")</f>
        <v>Tap 6 Clone (10/15/2021)</v>
      </c>
      <c r="H2555" s="19"/>
    </row>
    <row r="2556">
      <c r="A2556" s="9"/>
      <c r="B2556" s="15"/>
      <c r="C2556" s="9">
        <f>IFERROR(__xludf.DUMMYFUNCTION("""COMPUTED_VALUE"""),44485.0474058101)</f>
        <v>44485.04741</v>
      </c>
      <c r="D2556" s="15">
        <f>IFERROR(__xludf.DUMMYFUNCTION("""COMPUTED_VALUE"""),1.054)</f>
        <v>1.054</v>
      </c>
      <c r="E2556" s="16">
        <f>IFERROR(__xludf.DUMMYFUNCTION("""COMPUTED_VALUE"""),62.0)</f>
        <v>62</v>
      </c>
      <c r="F2556" s="19" t="str">
        <f>IFERROR(__xludf.DUMMYFUNCTION("""COMPUTED_VALUE"""),"BLACK")</f>
        <v>BLACK</v>
      </c>
      <c r="G2556" s="20" t="str">
        <f>IFERROR(__xludf.DUMMYFUNCTION("""COMPUTED_VALUE"""),"Tap 6 Clone (10/15/2021)")</f>
        <v>Tap 6 Clone (10/15/2021)</v>
      </c>
      <c r="H2556" s="19"/>
    </row>
    <row r="2557">
      <c r="A2557" s="9"/>
      <c r="B2557" s="15"/>
      <c r="C2557" s="9">
        <f>IFERROR(__xludf.DUMMYFUNCTION("""COMPUTED_VALUE"""),44485.0369846527)</f>
        <v>44485.03698</v>
      </c>
      <c r="D2557" s="15">
        <f>IFERROR(__xludf.DUMMYFUNCTION("""COMPUTED_VALUE"""),1.054)</f>
        <v>1.054</v>
      </c>
      <c r="E2557" s="16">
        <f>IFERROR(__xludf.DUMMYFUNCTION("""COMPUTED_VALUE"""),62.0)</f>
        <v>62</v>
      </c>
      <c r="F2557" s="19" t="str">
        <f>IFERROR(__xludf.DUMMYFUNCTION("""COMPUTED_VALUE"""),"BLACK")</f>
        <v>BLACK</v>
      </c>
      <c r="G2557" s="20" t="str">
        <f>IFERROR(__xludf.DUMMYFUNCTION("""COMPUTED_VALUE"""),"Tap 6 Clone (10/15/2021)")</f>
        <v>Tap 6 Clone (10/15/2021)</v>
      </c>
      <c r="H2557" s="19"/>
    </row>
    <row r="2558">
      <c r="A2558" s="9"/>
      <c r="B2558" s="15"/>
      <c r="C2558" s="9">
        <f>IFERROR(__xludf.DUMMYFUNCTION("""COMPUTED_VALUE"""),44485.026562743)</f>
        <v>44485.02656</v>
      </c>
      <c r="D2558" s="15">
        <f>IFERROR(__xludf.DUMMYFUNCTION("""COMPUTED_VALUE"""),1.054)</f>
        <v>1.054</v>
      </c>
      <c r="E2558" s="16">
        <f>IFERROR(__xludf.DUMMYFUNCTION("""COMPUTED_VALUE"""),62.0)</f>
        <v>62</v>
      </c>
      <c r="F2558" s="19" t="str">
        <f>IFERROR(__xludf.DUMMYFUNCTION("""COMPUTED_VALUE"""),"BLACK")</f>
        <v>BLACK</v>
      </c>
      <c r="G2558" s="20" t="str">
        <f>IFERROR(__xludf.DUMMYFUNCTION("""COMPUTED_VALUE"""),"Tap 6 Clone (10/15/2021)")</f>
        <v>Tap 6 Clone (10/15/2021)</v>
      </c>
      <c r="H2558" s="19"/>
    </row>
    <row r="2559">
      <c r="A2559" s="9"/>
      <c r="B2559" s="15"/>
      <c r="C2559" s="9">
        <f>IFERROR(__xludf.DUMMYFUNCTION("""COMPUTED_VALUE"""),44485.0161399189)</f>
        <v>44485.01614</v>
      </c>
      <c r="D2559" s="15">
        <f>IFERROR(__xludf.DUMMYFUNCTION("""COMPUTED_VALUE"""),1.054)</f>
        <v>1.054</v>
      </c>
      <c r="E2559" s="16">
        <f>IFERROR(__xludf.DUMMYFUNCTION("""COMPUTED_VALUE"""),62.0)</f>
        <v>62</v>
      </c>
      <c r="F2559" s="19" t="str">
        <f>IFERROR(__xludf.DUMMYFUNCTION("""COMPUTED_VALUE"""),"BLACK")</f>
        <v>BLACK</v>
      </c>
      <c r="G2559" s="20" t="str">
        <f>IFERROR(__xludf.DUMMYFUNCTION("""COMPUTED_VALUE"""),"Tap 6 Clone (10/15/2021)")</f>
        <v>Tap 6 Clone (10/15/2021)</v>
      </c>
      <c r="H2559" s="19"/>
    </row>
    <row r="2560">
      <c r="A2560" s="9"/>
      <c r="B2560" s="15"/>
      <c r="C2560" s="9">
        <f>IFERROR(__xludf.DUMMYFUNCTION("""COMPUTED_VALUE"""),44485.0057067592)</f>
        <v>44485.00571</v>
      </c>
      <c r="D2560" s="15">
        <f>IFERROR(__xludf.DUMMYFUNCTION("""COMPUTED_VALUE"""),1.054)</f>
        <v>1.054</v>
      </c>
      <c r="E2560" s="16">
        <f>IFERROR(__xludf.DUMMYFUNCTION("""COMPUTED_VALUE"""),62.0)</f>
        <v>62</v>
      </c>
      <c r="F2560" s="19" t="str">
        <f>IFERROR(__xludf.DUMMYFUNCTION("""COMPUTED_VALUE"""),"BLACK")</f>
        <v>BLACK</v>
      </c>
      <c r="G2560" s="20" t="str">
        <f>IFERROR(__xludf.DUMMYFUNCTION("""COMPUTED_VALUE"""),"Tap 6 Clone (10/15/2021)")</f>
        <v>Tap 6 Clone (10/15/2021)</v>
      </c>
      <c r="H2560" s="19"/>
    </row>
    <row r="2561">
      <c r="A2561" s="9"/>
      <c r="B2561" s="15"/>
      <c r="C2561" s="9">
        <f>IFERROR(__xludf.DUMMYFUNCTION("""COMPUTED_VALUE"""),44484.9952745486)</f>
        <v>44484.99527</v>
      </c>
      <c r="D2561" s="15">
        <f>IFERROR(__xludf.DUMMYFUNCTION("""COMPUTED_VALUE"""),1.054)</f>
        <v>1.054</v>
      </c>
      <c r="E2561" s="16">
        <f>IFERROR(__xludf.DUMMYFUNCTION("""COMPUTED_VALUE"""),62.0)</f>
        <v>62</v>
      </c>
      <c r="F2561" s="19" t="str">
        <f>IFERROR(__xludf.DUMMYFUNCTION("""COMPUTED_VALUE"""),"BLACK")</f>
        <v>BLACK</v>
      </c>
      <c r="G2561" s="20" t="str">
        <f>IFERROR(__xludf.DUMMYFUNCTION("""COMPUTED_VALUE"""),"Tap 6 Clone (10/15/2021)")</f>
        <v>Tap 6 Clone (10/15/2021)</v>
      </c>
      <c r="H2561" s="19"/>
    </row>
    <row r="2562">
      <c r="A2562" s="9"/>
      <c r="B2562" s="15"/>
      <c r="C2562" s="9">
        <f>IFERROR(__xludf.DUMMYFUNCTION("""COMPUTED_VALUE"""),44484.9848314467)</f>
        <v>44484.98483</v>
      </c>
      <c r="D2562" s="15">
        <f>IFERROR(__xludf.DUMMYFUNCTION("""COMPUTED_VALUE"""),1.054)</f>
        <v>1.054</v>
      </c>
      <c r="E2562" s="16">
        <f>IFERROR(__xludf.DUMMYFUNCTION("""COMPUTED_VALUE"""),62.0)</f>
        <v>62</v>
      </c>
      <c r="F2562" s="19" t="str">
        <f>IFERROR(__xludf.DUMMYFUNCTION("""COMPUTED_VALUE"""),"BLACK")</f>
        <v>BLACK</v>
      </c>
      <c r="G2562" s="20" t="str">
        <f>IFERROR(__xludf.DUMMYFUNCTION("""COMPUTED_VALUE"""),"Tap 6 Clone (10/15/2021)")</f>
        <v>Tap 6 Clone (10/15/2021)</v>
      </c>
      <c r="H2562" s="19"/>
    </row>
    <row r="2563">
      <c r="A2563" s="9"/>
      <c r="B2563" s="15"/>
      <c r="C2563" s="9">
        <f>IFERROR(__xludf.DUMMYFUNCTION("""COMPUTED_VALUE"""),44484.9744101851)</f>
        <v>44484.97441</v>
      </c>
      <c r="D2563" s="15">
        <f>IFERROR(__xludf.DUMMYFUNCTION("""COMPUTED_VALUE"""),1.054)</f>
        <v>1.054</v>
      </c>
      <c r="E2563" s="16">
        <f>IFERROR(__xludf.DUMMYFUNCTION("""COMPUTED_VALUE"""),62.0)</f>
        <v>62</v>
      </c>
      <c r="F2563" s="19" t="str">
        <f>IFERROR(__xludf.DUMMYFUNCTION("""COMPUTED_VALUE"""),"BLACK")</f>
        <v>BLACK</v>
      </c>
      <c r="G2563" s="20" t="str">
        <f>IFERROR(__xludf.DUMMYFUNCTION("""COMPUTED_VALUE"""),"Tap 6 Clone (10/15/2021)")</f>
        <v>Tap 6 Clone (10/15/2021)</v>
      </c>
      <c r="H2563" s="19"/>
    </row>
    <row r="2564">
      <c r="A2564" s="9"/>
      <c r="B2564" s="15"/>
      <c r="C2564" s="9">
        <f>IFERROR(__xludf.DUMMYFUNCTION("""COMPUTED_VALUE"""),44484.9639777083)</f>
        <v>44484.96398</v>
      </c>
      <c r="D2564" s="15">
        <f>IFERROR(__xludf.DUMMYFUNCTION("""COMPUTED_VALUE"""),1.054)</f>
        <v>1.054</v>
      </c>
      <c r="E2564" s="16">
        <f>IFERROR(__xludf.DUMMYFUNCTION("""COMPUTED_VALUE"""),62.0)</f>
        <v>62</v>
      </c>
      <c r="F2564" s="19" t="str">
        <f>IFERROR(__xludf.DUMMYFUNCTION("""COMPUTED_VALUE"""),"BLACK")</f>
        <v>BLACK</v>
      </c>
      <c r="G2564" s="20" t="str">
        <f>IFERROR(__xludf.DUMMYFUNCTION("""COMPUTED_VALUE"""),"Tap 6 Clone (10/15/2021)")</f>
        <v>Tap 6 Clone (10/15/2021)</v>
      </c>
      <c r="H2564" s="19"/>
    </row>
    <row r="2565">
      <c r="A2565" s="9"/>
      <c r="B2565" s="15"/>
      <c r="C2565" s="9">
        <f>IFERROR(__xludf.DUMMYFUNCTION("""COMPUTED_VALUE"""),44484.9535548726)</f>
        <v>44484.95355</v>
      </c>
      <c r="D2565" s="15">
        <f>IFERROR(__xludf.DUMMYFUNCTION("""COMPUTED_VALUE"""),1.054)</f>
        <v>1.054</v>
      </c>
      <c r="E2565" s="16">
        <f>IFERROR(__xludf.DUMMYFUNCTION("""COMPUTED_VALUE"""),62.0)</f>
        <v>62</v>
      </c>
      <c r="F2565" s="19" t="str">
        <f>IFERROR(__xludf.DUMMYFUNCTION("""COMPUTED_VALUE"""),"BLACK")</f>
        <v>BLACK</v>
      </c>
      <c r="G2565" s="20" t="str">
        <f>IFERROR(__xludf.DUMMYFUNCTION("""COMPUTED_VALUE"""),"Tap 6 Clone (10/15/2021)")</f>
        <v>Tap 6 Clone (10/15/2021)</v>
      </c>
      <c r="H2565" s="19"/>
    </row>
    <row r="2566">
      <c r="A2566" s="9"/>
      <c r="B2566" s="15"/>
      <c r="C2566" s="9">
        <f>IFERROR(__xludf.DUMMYFUNCTION("""COMPUTED_VALUE"""),44484.9431352662)</f>
        <v>44484.94314</v>
      </c>
      <c r="D2566" s="15">
        <f>IFERROR(__xludf.DUMMYFUNCTION("""COMPUTED_VALUE"""),1.054)</f>
        <v>1.054</v>
      </c>
      <c r="E2566" s="16">
        <f>IFERROR(__xludf.DUMMYFUNCTION("""COMPUTED_VALUE"""),62.0)</f>
        <v>62</v>
      </c>
      <c r="F2566" s="19" t="str">
        <f>IFERROR(__xludf.DUMMYFUNCTION("""COMPUTED_VALUE"""),"BLACK")</f>
        <v>BLACK</v>
      </c>
      <c r="G2566" s="20" t="str">
        <f>IFERROR(__xludf.DUMMYFUNCTION("""COMPUTED_VALUE"""),"Tap 6 Clone (10/15/2021)")</f>
        <v>Tap 6 Clone (10/15/2021)</v>
      </c>
      <c r="H2566" s="19"/>
    </row>
    <row r="2567">
      <c r="A2567" s="9"/>
      <c r="B2567" s="15"/>
      <c r="C2567" s="9">
        <f>IFERROR(__xludf.DUMMYFUNCTION("""COMPUTED_VALUE"""),44484.932713449)</f>
        <v>44484.93271</v>
      </c>
      <c r="D2567" s="15">
        <f>IFERROR(__xludf.DUMMYFUNCTION("""COMPUTED_VALUE"""),1.054)</f>
        <v>1.054</v>
      </c>
      <c r="E2567" s="16">
        <f>IFERROR(__xludf.DUMMYFUNCTION("""COMPUTED_VALUE"""),61.0)</f>
        <v>61</v>
      </c>
      <c r="F2567" s="19" t="str">
        <f>IFERROR(__xludf.DUMMYFUNCTION("""COMPUTED_VALUE"""),"BLACK")</f>
        <v>BLACK</v>
      </c>
      <c r="G2567" s="20" t="str">
        <f>IFERROR(__xludf.DUMMYFUNCTION("""COMPUTED_VALUE"""),"Tap 6 Clone (10/15/2021)")</f>
        <v>Tap 6 Clone (10/15/2021)</v>
      </c>
      <c r="H2567" s="19"/>
    </row>
    <row r="2568">
      <c r="A2568" s="9"/>
      <c r="B2568" s="15"/>
      <c r="C2568" s="9">
        <f>IFERROR(__xludf.DUMMYFUNCTION("""COMPUTED_VALUE"""),44484.9222816203)</f>
        <v>44484.92228</v>
      </c>
      <c r="D2568" s="15">
        <f>IFERROR(__xludf.DUMMYFUNCTION("""COMPUTED_VALUE"""),1.054)</f>
        <v>1.054</v>
      </c>
      <c r="E2568" s="16">
        <f>IFERROR(__xludf.DUMMYFUNCTION("""COMPUTED_VALUE"""),61.0)</f>
        <v>61</v>
      </c>
      <c r="F2568" s="19" t="str">
        <f>IFERROR(__xludf.DUMMYFUNCTION("""COMPUTED_VALUE"""),"BLACK")</f>
        <v>BLACK</v>
      </c>
      <c r="G2568" s="20" t="str">
        <f>IFERROR(__xludf.DUMMYFUNCTION("""COMPUTED_VALUE"""),"Tap 6 Clone (10/15/2021)")</f>
        <v>Tap 6 Clone (10/15/2021)</v>
      </c>
      <c r="H2568" s="19"/>
    </row>
    <row r="2569">
      <c r="A2569" s="9"/>
      <c r="B2569" s="15"/>
      <c r="C2569" s="9">
        <f>IFERROR(__xludf.DUMMYFUNCTION("""COMPUTED_VALUE"""),44484.9118494907)</f>
        <v>44484.91185</v>
      </c>
      <c r="D2569" s="15">
        <f>IFERROR(__xludf.DUMMYFUNCTION("""COMPUTED_VALUE"""),1.054)</f>
        <v>1.054</v>
      </c>
      <c r="E2569" s="16">
        <f>IFERROR(__xludf.DUMMYFUNCTION("""COMPUTED_VALUE"""),61.0)</f>
        <v>61</v>
      </c>
      <c r="F2569" s="19" t="str">
        <f>IFERROR(__xludf.DUMMYFUNCTION("""COMPUTED_VALUE"""),"BLACK")</f>
        <v>BLACK</v>
      </c>
      <c r="G2569" s="20" t="str">
        <f>IFERROR(__xludf.DUMMYFUNCTION("""COMPUTED_VALUE"""),"Tap 6 Clone (10/15/2021)")</f>
        <v>Tap 6 Clone (10/15/2021)</v>
      </c>
      <c r="H2569" s="19"/>
    </row>
    <row r="2570">
      <c r="A2570" s="9"/>
      <c r="B2570" s="15"/>
      <c r="C2570" s="9">
        <f>IFERROR(__xludf.DUMMYFUNCTION("""COMPUTED_VALUE"""),44484.9014288657)</f>
        <v>44484.90143</v>
      </c>
      <c r="D2570" s="15">
        <f>IFERROR(__xludf.DUMMYFUNCTION("""COMPUTED_VALUE"""),1.054)</f>
        <v>1.054</v>
      </c>
      <c r="E2570" s="16">
        <f>IFERROR(__xludf.DUMMYFUNCTION("""COMPUTED_VALUE"""),61.0)</f>
        <v>61</v>
      </c>
      <c r="F2570" s="19" t="str">
        <f>IFERROR(__xludf.DUMMYFUNCTION("""COMPUTED_VALUE"""),"BLACK")</f>
        <v>BLACK</v>
      </c>
      <c r="G2570" s="20" t="str">
        <f>IFERROR(__xludf.DUMMYFUNCTION("""COMPUTED_VALUE"""),"Tap 6 Clone (10/15/2021)")</f>
        <v>Tap 6 Clone (10/15/2021)</v>
      </c>
      <c r="H2570" s="19"/>
    </row>
    <row r="2571">
      <c r="A2571" s="9"/>
      <c r="B2571" s="15"/>
      <c r="C2571" s="9">
        <f>IFERROR(__xludf.DUMMYFUNCTION("""COMPUTED_VALUE"""),44484.8909955092)</f>
        <v>44484.891</v>
      </c>
      <c r="D2571" s="15">
        <f>IFERROR(__xludf.DUMMYFUNCTION("""COMPUTED_VALUE"""),1.054)</f>
        <v>1.054</v>
      </c>
      <c r="E2571" s="16">
        <f>IFERROR(__xludf.DUMMYFUNCTION("""COMPUTED_VALUE"""),61.0)</f>
        <v>61</v>
      </c>
      <c r="F2571" s="19" t="str">
        <f>IFERROR(__xludf.DUMMYFUNCTION("""COMPUTED_VALUE"""),"BLACK")</f>
        <v>BLACK</v>
      </c>
      <c r="G2571" s="20" t="str">
        <f>IFERROR(__xludf.DUMMYFUNCTION("""COMPUTED_VALUE"""),"Tap 6 Clone (10/15/2021)")</f>
        <v>Tap 6 Clone (10/15/2021)</v>
      </c>
      <c r="H2571" s="19"/>
    </row>
    <row r="2572">
      <c r="A2572" s="9"/>
      <c r="B2572" s="15"/>
      <c r="C2572" s="9">
        <f>IFERROR(__xludf.DUMMYFUNCTION("""COMPUTED_VALUE"""),44484.880575324)</f>
        <v>44484.88058</v>
      </c>
      <c r="D2572" s="15">
        <f>IFERROR(__xludf.DUMMYFUNCTION("""COMPUTED_VALUE"""),1.054)</f>
        <v>1.054</v>
      </c>
      <c r="E2572" s="16">
        <f>IFERROR(__xludf.DUMMYFUNCTION("""COMPUTED_VALUE"""),61.0)</f>
        <v>61</v>
      </c>
      <c r="F2572" s="19" t="str">
        <f>IFERROR(__xludf.DUMMYFUNCTION("""COMPUTED_VALUE"""),"BLACK")</f>
        <v>BLACK</v>
      </c>
      <c r="G2572" s="20" t="str">
        <f>IFERROR(__xludf.DUMMYFUNCTION("""COMPUTED_VALUE"""),"Tap 6 Clone (10/15/2021)")</f>
        <v>Tap 6 Clone (10/15/2021)</v>
      </c>
      <c r="H2572" s="19"/>
    </row>
    <row r="2573">
      <c r="A2573" s="9"/>
      <c r="B2573" s="15"/>
      <c r="C2573" s="9">
        <f>IFERROR(__xludf.DUMMYFUNCTION("""COMPUTED_VALUE"""),44484.8701408564)</f>
        <v>44484.87014</v>
      </c>
      <c r="D2573" s="15">
        <f>IFERROR(__xludf.DUMMYFUNCTION("""COMPUTED_VALUE"""),1.054)</f>
        <v>1.054</v>
      </c>
      <c r="E2573" s="16">
        <f>IFERROR(__xludf.DUMMYFUNCTION("""COMPUTED_VALUE"""),61.0)</f>
        <v>61</v>
      </c>
      <c r="F2573" s="19" t="str">
        <f>IFERROR(__xludf.DUMMYFUNCTION("""COMPUTED_VALUE"""),"BLACK")</f>
        <v>BLACK</v>
      </c>
      <c r="G2573" s="20" t="str">
        <f>IFERROR(__xludf.DUMMYFUNCTION("""COMPUTED_VALUE"""),"Tap 6 Clone (10/15/2021)")</f>
        <v>Tap 6 Clone (10/15/2021)</v>
      </c>
      <c r="H2573" s="19"/>
    </row>
    <row r="2574">
      <c r="A2574" s="9"/>
      <c r="B2574" s="15"/>
      <c r="C2574" s="9">
        <f>IFERROR(__xludf.DUMMYFUNCTION("""COMPUTED_VALUE"""),44484.8597210763)</f>
        <v>44484.85972</v>
      </c>
      <c r="D2574" s="15">
        <f>IFERROR(__xludf.DUMMYFUNCTION("""COMPUTED_VALUE"""),1.054)</f>
        <v>1.054</v>
      </c>
      <c r="E2574" s="16">
        <f>IFERROR(__xludf.DUMMYFUNCTION("""COMPUTED_VALUE"""),61.0)</f>
        <v>61</v>
      </c>
      <c r="F2574" s="19" t="str">
        <f>IFERROR(__xludf.DUMMYFUNCTION("""COMPUTED_VALUE"""),"BLACK")</f>
        <v>BLACK</v>
      </c>
      <c r="G2574" s="20" t="str">
        <f>IFERROR(__xludf.DUMMYFUNCTION("""COMPUTED_VALUE"""),"Tap 6 Clone (10/15/2021)")</f>
        <v>Tap 6 Clone (10/15/2021)</v>
      </c>
      <c r="H2574" s="19"/>
    </row>
    <row r="2575">
      <c r="A2575" s="9"/>
      <c r="B2575" s="15"/>
      <c r="C2575" s="9">
        <f>IFERROR(__xludf.DUMMYFUNCTION("""COMPUTED_VALUE"""),44484.849299537)</f>
        <v>44484.8493</v>
      </c>
      <c r="D2575" s="15">
        <f>IFERROR(__xludf.DUMMYFUNCTION("""COMPUTED_VALUE"""),1.055)</f>
        <v>1.055</v>
      </c>
      <c r="E2575" s="16">
        <f>IFERROR(__xludf.DUMMYFUNCTION("""COMPUTED_VALUE"""),61.0)</f>
        <v>61</v>
      </c>
      <c r="F2575" s="19" t="str">
        <f>IFERROR(__xludf.DUMMYFUNCTION("""COMPUTED_VALUE"""),"BLACK")</f>
        <v>BLACK</v>
      </c>
      <c r="G2575" s="20" t="str">
        <f>IFERROR(__xludf.DUMMYFUNCTION("""COMPUTED_VALUE"""),"Tap 6 Clone (10/15/2021)")</f>
        <v>Tap 6 Clone (10/15/2021)</v>
      </c>
      <c r="H2575" s="19"/>
    </row>
    <row r="2576">
      <c r="A2576" s="9"/>
      <c r="B2576" s="15"/>
      <c r="C2576" s="9">
        <f>IFERROR(__xludf.DUMMYFUNCTION("""COMPUTED_VALUE"""),44484.8388783449)</f>
        <v>44484.83888</v>
      </c>
      <c r="D2576" s="15">
        <f>IFERROR(__xludf.DUMMYFUNCTION("""COMPUTED_VALUE"""),1.054)</f>
        <v>1.054</v>
      </c>
      <c r="E2576" s="16">
        <f>IFERROR(__xludf.DUMMYFUNCTION("""COMPUTED_VALUE"""),61.0)</f>
        <v>61</v>
      </c>
      <c r="F2576" s="19" t="str">
        <f>IFERROR(__xludf.DUMMYFUNCTION("""COMPUTED_VALUE"""),"BLACK")</f>
        <v>BLACK</v>
      </c>
      <c r="G2576" s="20" t="str">
        <f>IFERROR(__xludf.DUMMYFUNCTION("""COMPUTED_VALUE"""),"Tap 6 Clone (10/15/2021)")</f>
        <v>Tap 6 Clone (10/15/2021)</v>
      </c>
      <c r="H2576" s="19"/>
    </row>
    <row r="2577">
      <c r="A2577" s="9"/>
      <c r="B2577" s="15"/>
      <c r="C2577" s="9">
        <f>IFERROR(__xludf.DUMMYFUNCTION("""COMPUTED_VALUE"""),44484.8284458217)</f>
        <v>44484.82845</v>
      </c>
      <c r="D2577" s="15">
        <f>IFERROR(__xludf.DUMMYFUNCTION("""COMPUTED_VALUE"""),1.054)</f>
        <v>1.054</v>
      </c>
      <c r="E2577" s="16">
        <f>IFERROR(__xludf.DUMMYFUNCTION("""COMPUTED_VALUE"""),61.0)</f>
        <v>61</v>
      </c>
      <c r="F2577" s="19" t="str">
        <f>IFERROR(__xludf.DUMMYFUNCTION("""COMPUTED_VALUE"""),"BLACK")</f>
        <v>BLACK</v>
      </c>
      <c r="G2577" s="20" t="str">
        <f>IFERROR(__xludf.DUMMYFUNCTION("""COMPUTED_VALUE"""),"Tap 6 Clone (10/15/2021)")</f>
        <v>Tap 6 Clone (10/15/2021)</v>
      </c>
      <c r="H2577" s="19"/>
    </row>
    <row r="2578">
      <c r="A2578" s="9"/>
      <c r="B2578" s="15"/>
      <c r="C2578" s="9">
        <f>IFERROR(__xludf.DUMMYFUNCTION("""COMPUTED_VALUE"""),44484.8180135879)</f>
        <v>44484.81801</v>
      </c>
      <c r="D2578" s="15">
        <f>IFERROR(__xludf.DUMMYFUNCTION("""COMPUTED_VALUE"""),1.054)</f>
        <v>1.054</v>
      </c>
      <c r="E2578" s="16">
        <f>IFERROR(__xludf.DUMMYFUNCTION("""COMPUTED_VALUE"""),61.0)</f>
        <v>61</v>
      </c>
      <c r="F2578" s="19" t="str">
        <f>IFERROR(__xludf.DUMMYFUNCTION("""COMPUTED_VALUE"""),"BLACK")</f>
        <v>BLACK</v>
      </c>
      <c r="G2578" s="20" t="str">
        <f>IFERROR(__xludf.DUMMYFUNCTION("""COMPUTED_VALUE"""),"Tap 6 Clone (10/15/2021)")</f>
        <v>Tap 6 Clone (10/15/2021)</v>
      </c>
      <c r="H2578" s="19"/>
    </row>
    <row r="2579">
      <c r="A2579" s="9"/>
      <c r="B2579" s="15"/>
      <c r="C2579" s="9">
        <f>IFERROR(__xludf.DUMMYFUNCTION("""COMPUTED_VALUE"""),44484.8075914814)</f>
        <v>44484.80759</v>
      </c>
      <c r="D2579" s="15">
        <f>IFERROR(__xludf.DUMMYFUNCTION("""COMPUTED_VALUE"""),1.054)</f>
        <v>1.054</v>
      </c>
      <c r="E2579" s="16">
        <f>IFERROR(__xludf.DUMMYFUNCTION("""COMPUTED_VALUE"""),61.0)</f>
        <v>61</v>
      </c>
      <c r="F2579" s="19" t="str">
        <f>IFERROR(__xludf.DUMMYFUNCTION("""COMPUTED_VALUE"""),"BLACK")</f>
        <v>BLACK</v>
      </c>
      <c r="G2579" s="20" t="str">
        <f>IFERROR(__xludf.DUMMYFUNCTION("""COMPUTED_VALUE"""),"Tap 6 Clone (10/15/2021)")</f>
        <v>Tap 6 Clone (10/15/2021)</v>
      </c>
      <c r="H2579" s="19"/>
    </row>
    <row r="2580">
      <c r="A2580" s="9"/>
      <c r="B2580" s="15"/>
      <c r="C2580" s="9">
        <f>IFERROR(__xludf.DUMMYFUNCTION("""COMPUTED_VALUE"""),44484.7971679166)</f>
        <v>44484.79717</v>
      </c>
      <c r="D2580" s="15">
        <f>IFERROR(__xludf.DUMMYFUNCTION("""COMPUTED_VALUE"""),1.054)</f>
        <v>1.054</v>
      </c>
      <c r="E2580" s="16">
        <f>IFERROR(__xludf.DUMMYFUNCTION("""COMPUTED_VALUE"""),62.0)</f>
        <v>62</v>
      </c>
      <c r="F2580" s="19" t="str">
        <f>IFERROR(__xludf.DUMMYFUNCTION("""COMPUTED_VALUE"""),"BLACK")</f>
        <v>BLACK</v>
      </c>
      <c r="G2580" s="20" t="str">
        <f>IFERROR(__xludf.DUMMYFUNCTION("""COMPUTED_VALUE"""),"Tap 6 Clone (10/15/2021)")</f>
        <v>Tap 6 Clone (10/15/2021)</v>
      </c>
      <c r="H2580" s="19"/>
    </row>
    <row r="2581">
      <c r="A2581" s="9"/>
      <c r="B2581" s="15"/>
      <c r="C2581" s="9">
        <f>IFERROR(__xludf.DUMMYFUNCTION("""COMPUTED_VALUE"""),44484.7867473611)</f>
        <v>44484.78675</v>
      </c>
      <c r="D2581" s="15">
        <f>IFERROR(__xludf.DUMMYFUNCTION("""COMPUTED_VALUE"""),1.054)</f>
        <v>1.054</v>
      </c>
      <c r="E2581" s="16">
        <f>IFERROR(__xludf.DUMMYFUNCTION("""COMPUTED_VALUE"""),63.0)</f>
        <v>63</v>
      </c>
      <c r="F2581" s="19" t="str">
        <f>IFERROR(__xludf.DUMMYFUNCTION("""COMPUTED_VALUE"""),"BLACK")</f>
        <v>BLACK</v>
      </c>
      <c r="G2581" s="20" t="str">
        <f>IFERROR(__xludf.DUMMYFUNCTION("""COMPUTED_VALUE"""),"Tap 6 Clone (10/15/2021)")</f>
        <v>Tap 6 Clone (10/15/2021)</v>
      </c>
      <c r="H2581" s="19"/>
    </row>
    <row r="2582">
      <c r="A2582" s="9"/>
      <c r="B2582" s="15"/>
      <c r="C2582" s="9">
        <f>IFERROR(__xludf.DUMMYFUNCTION("""COMPUTED_VALUE"""),44484.7763248726)</f>
        <v>44484.77632</v>
      </c>
      <c r="D2582" s="15">
        <f>IFERROR(__xludf.DUMMYFUNCTION("""COMPUTED_VALUE"""),1.054)</f>
        <v>1.054</v>
      </c>
      <c r="E2582" s="16">
        <f>IFERROR(__xludf.DUMMYFUNCTION("""COMPUTED_VALUE"""),64.0)</f>
        <v>64</v>
      </c>
      <c r="F2582" s="19" t="str">
        <f>IFERROR(__xludf.DUMMYFUNCTION("""COMPUTED_VALUE"""),"BLACK")</f>
        <v>BLACK</v>
      </c>
      <c r="G2582" s="20" t="str">
        <f>IFERROR(__xludf.DUMMYFUNCTION("""COMPUTED_VALUE"""),"Tap 6 Clone (10/15/2021)")</f>
        <v>Tap 6 Clone (10/15/2021)</v>
      </c>
      <c r="H2582" s="19"/>
    </row>
    <row r="2583">
      <c r="A2583" s="9"/>
      <c r="B2583" s="15"/>
      <c r="C2583" s="9">
        <f>IFERROR(__xludf.DUMMYFUNCTION("""COMPUTED_VALUE"""),44484.7659025925)</f>
        <v>44484.7659</v>
      </c>
      <c r="D2583" s="15">
        <f>IFERROR(__xludf.DUMMYFUNCTION("""COMPUTED_VALUE"""),1.054)</f>
        <v>1.054</v>
      </c>
      <c r="E2583" s="16">
        <f>IFERROR(__xludf.DUMMYFUNCTION("""COMPUTED_VALUE"""),66.0)</f>
        <v>66</v>
      </c>
      <c r="F2583" s="19" t="str">
        <f>IFERROR(__xludf.DUMMYFUNCTION("""COMPUTED_VALUE"""),"BLACK")</f>
        <v>BLACK</v>
      </c>
      <c r="G2583" s="20" t="str">
        <f>IFERROR(__xludf.DUMMYFUNCTION("""COMPUTED_VALUE"""),"Tap 6 Clone (10/15/2021)")</f>
        <v>Tap 6 Clone (10/15/2021)</v>
      </c>
      <c r="H2583" s="19"/>
    </row>
    <row r="2584">
      <c r="A2584" s="9"/>
      <c r="B2584" s="15"/>
      <c r="C2584" s="9">
        <f>IFERROR(__xludf.DUMMYFUNCTION("""COMPUTED_VALUE"""),44484.7554702662)</f>
        <v>44484.75547</v>
      </c>
      <c r="D2584" s="15">
        <f>IFERROR(__xludf.DUMMYFUNCTION("""COMPUTED_VALUE"""),1.055)</f>
        <v>1.055</v>
      </c>
      <c r="E2584" s="16">
        <f>IFERROR(__xludf.DUMMYFUNCTION("""COMPUTED_VALUE"""),67.0)</f>
        <v>67</v>
      </c>
      <c r="F2584" s="19" t="str">
        <f>IFERROR(__xludf.DUMMYFUNCTION("""COMPUTED_VALUE"""),"BLACK")</f>
        <v>BLACK</v>
      </c>
      <c r="G2584" s="20" t="str">
        <f>IFERROR(__xludf.DUMMYFUNCTION("""COMPUTED_VALUE"""),"Tap 6 Clone (10/15/2021)")</f>
        <v>Tap 6 Clone (10/15/2021)</v>
      </c>
      <c r="H2584" s="19"/>
    </row>
    <row r="2585">
      <c r="A2585" s="9"/>
      <c r="B2585" s="15"/>
      <c r="C2585" s="9">
        <f>IFERROR(__xludf.DUMMYFUNCTION("""COMPUTED_VALUE"""),44484.7450496296)</f>
        <v>44484.74505</v>
      </c>
      <c r="D2585" s="15">
        <f>IFERROR(__xludf.DUMMYFUNCTION("""COMPUTED_VALUE"""),1.055)</f>
        <v>1.055</v>
      </c>
      <c r="E2585" s="16">
        <f>IFERROR(__xludf.DUMMYFUNCTION("""COMPUTED_VALUE"""),68.0)</f>
        <v>68</v>
      </c>
      <c r="F2585" s="19" t="str">
        <f>IFERROR(__xludf.DUMMYFUNCTION("""COMPUTED_VALUE"""),"BLACK")</f>
        <v>BLACK</v>
      </c>
      <c r="G2585" s="20" t="str">
        <f>IFERROR(__xludf.DUMMYFUNCTION("""COMPUTED_VALUE"""),"Tap 6 Clone (10/15/2021)")</f>
        <v>Tap 6 Clone (10/15/2021)</v>
      </c>
      <c r="H2585" s="19"/>
    </row>
    <row r="2586">
      <c r="A2586" s="9"/>
      <c r="B2586" s="15"/>
      <c r="C2586" s="9">
        <f>IFERROR(__xludf.DUMMYFUNCTION("""COMPUTED_VALUE"""),44484.7346170023)</f>
        <v>44484.73462</v>
      </c>
      <c r="D2586" s="15">
        <f>IFERROR(__xludf.DUMMYFUNCTION("""COMPUTED_VALUE"""),1.055)</f>
        <v>1.055</v>
      </c>
      <c r="E2586" s="16">
        <f>IFERROR(__xludf.DUMMYFUNCTION("""COMPUTED_VALUE"""),69.0)</f>
        <v>69</v>
      </c>
      <c r="F2586" s="19" t="str">
        <f>IFERROR(__xludf.DUMMYFUNCTION("""COMPUTED_VALUE"""),"BLACK")</f>
        <v>BLACK</v>
      </c>
      <c r="G2586" s="20" t="str">
        <f>IFERROR(__xludf.DUMMYFUNCTION("""COMPUTED_VALUE"""),"Tap 6 Clone (10/15/2021)")</f>
        <v>Tap 6 Clone (10/15/2021)</v>
      </c>
      <c r="H2586" s="19"/>
    </row>
    <row r="2587">
      <c r="A2587" s="9"/>
      <c r="B2587" s="15"/>
      <c r="C2587" s="9">
        <f>IFERROR(__xludf.DUMMYFUNCTION("""COMPUTED_VALUE"""),44484.724195)</f>
        <v>44484.7242</v>
      </c>
      <c r="D2587" s="15">
        <f>IFERROR(__xludf.DUMMYFUNCTION("""COMPUTED_VALUE"""),1.055)</f>
        <v>1.055</v>
      </c>
      <c r="E2587" s="16">
        <f>IFERROR(__xludf.DUMMYFUNCTION("""COMPUTED_VALUE"""),70.0)</f>
        <v>70</v>
      </c>
      <c r="F2587" s="19" t="str">
        <f>IFERROR(__xludf.DUMMYFUNCTION("""COMPUTED_VALUE"""),"BLACK")</f>
        <v>BLACK</v>
      </c>
      <c r="G2587" s="20" t="str">
        <f>IFERROR(__xludf.DUMMYFUNCTION("""COMPUTED_VALUE"""),"Tap 6 Clone (10/15/2021)")</f>
        <v>Tap 6 Clone (10/15/2021)</v>
      </c>
      <c r="H2587" s="19"/>
    </row>
    <row r="2588">
      <c r="A2588" s="9"/>
      <c r="B2588" s="15"/>
      <c r="C2588" s="9">
        <f>IFERROR(__xludf.DUMMYFUNCTION("""COMPUTED_VALUE"""),44484.7137385532)</f>
        <v>44484.71374</v>
      </c>
      <c r="D2588" s="15">
        <f>IFERROR(__xludf.DUMMYFUNCTION("""COMPUTED_VALUE"""),1.055)</f>
        <v>1.055</v>
      </c>
      <c r="E2588" s="16">
        <f>IFERROR(__xludf.DUMMYFUNCTION("""COMPUTED_VALUE"""),70.0)</f>
        <v>70</v>
      </c>
      <c r="F2588" s="19" t="str">
        <f>IFERROR(__xludf.DUMMYFUNCTION("""COMPUTED_VALUE"""),"BLACK")</f>
        <v>BLACK</v>
      </c>
      <c r="G2588" s="20" t="str">
        <f>IFERROR(__xludf.DUMMYFUNCTION("""COMPUTED_VALUE"""),"Tap 6 Clone (10/15/2021)")</f>
        <v>Tap 6 Clone (10/15/2021)</v>
      </c>
      <c r="H2588" s="19"/>
    </row>
    <row r="2589">
      <c r="A2589" s="9"/>
      <c r="B2589" s="15"/>
      <c r="C2589" s="9">
        <f>IFERROR(__xludf.DUMMYFUNCTION("""COMPUTED_VALUE"""),44484.7060166898)</f>
        <v>44484.70602</v>
      </c>
      <c r="D2589" s="15">
        <f>IFERROR(__xludf.DUMMYFUNCTION("""COMPUTED_VALUE"""),1.055)</f>
        <v>1.055</v>
      </c>
      <c r="E2589" s="16">
        <f>IFERROR(__xludf.DUMMYFUNCTION("""COMPUTED_VALUE"""),70.0)</f>
        <v>70</v>
      </c>
      <c r="F2589" s="19" t="str">
        <f>IFERROR(__xludf.DUMMYFUNCTION("""COMPUTED_VALUE"""),"BLACK")</f>
        <v>BLACK</v>
      </c>
      <c r="G2589" s="20" t="str">
        <f>IFERROR(__xludf.DUMMYFUNCTION("""COMPUTED_VALUE"""),"Tap 6 Clone (10/15/2021)")</f>
        <v>Tap 6 Clone (10/15/2021)</v>
      </c>
      <c r="H2589" s="19"/>
    </row>
    <row r="2590">
      <c r="A2590" s="9"/>
      <c r="B2590" s="15"/>
      <c r="C2590" s="9">
        <f>IFERROR(__xludf.DUMMYFUNCTION("""COMPUTED_VALUE"""),44484.7033131134)</f>
        <v>44484.70331</v>
      </c>
      <c r="D2590" s="15">
        <f>IFERROR(__xludf.DUMMYFUNCTION("""COMPUTED_VALUE"""),1.055)</f>
        <v>1.055</v>
      </c>
      <c r="E2590" s="16">
        <f>IFERROR(__xludf.DUMMYFUNCTION("""COMPUTED_VALUE"""),70.0)</f>
        <v>70</v>
      </c>
      <c r="F2590" s="19" t="str">
        <f>IFERROR(__xludf.DUMMYFUNCTION("""COMPUTED_VALUE"""),"BLACK")</f>
        <v>BLACK</v>
      </c>
      <c r="G2590" s="20" t="str">
        <f>IFERROR(__xludf.DUMMYFUNCTION("""COMPUTED_VALUE"""),"Tap 6 Clone (10/15/2021)")</f>
        <v>Tap 6 Clone (10/15/2021)</v>
      </c>
      <c r="H2590" s="19"/>
    </row>
    <row r="2591">
      <c r="A2591" s="9"/>
      <c r="B2591" s="15"/>
      <c r="C2591" s="9"/>
      <c r="D2591" s="15"/>
      <c r="E2591" s="16"/>
      <c r="F2591" s="19"/>
      <c r="G2591" s="20"/>
      <c r="H2591" s="19"/>
    </row>
    <row r="2592">
      <c r="A2592" s="9"/>
      <c r="B2592" s="15"/>
      <c r="C2592" s="9"/>
      <c r="D2592" s="15"/>
      <c r="E2592" s="16"/>
      <c r="F2592" s="19"/>
      <c r="G2592" s="20"/>
      <c r="H2592" s="19"/>
    </row>
    <row r="2593">
      <c r="A2593" s="9"/>
      <c r="B2593" s="15"/>
      <c r="C2593" s="9"/>
      <c r="D2593" s="15"/>
      <c r="E2593" s="16"/>
      <c r="F2593" s="19"/>
      <c r="G2593" s="20"/>
      <c r="H2593" s="19"/>
    </row>
    <row r="2594">
      <c r="A2594" s="9"/>
      <c r="B2594" s="15"/>
      <c r="C2594" s="9"/>
      <c r="D2594" s="15"/>
      <c r="E2594" s="16"/>
      <c r="F2594" s="19"/>
      <c r="G2594" s="20"/>
      <c r="H2594" s="19"/>
    </row>
    <row r="2595">
      <c r="A2595" s="9"/>
      <c r="B2595" s="15"/>
      <c r="C2595" s="9"/>
      <c r="D2595" s="15"/>
      <c r="E2595" s="16"/>
      <c r="F2595" s="19"/>
      <c r="G2595" s="20"/>
      <c r="H2595" s="19"/>
    </row>
    <row r="2596">
      <c r="A2596" s="9"/>
      <c r="B2596" s="15"/>
      <c r="C2596" s="9"/>
      <c r="D2596" s="15"/>
      <c r="E2596" s="16"/>
      <c r="F2596" s="19"/>
      <c r="G2596" s="20"/>
      <c r="H2596" s="19"/>
    </row>
    <row r="2597">
      <c r="A2597" s="9"/>
      <c r="B2597" s="15"/>
      <c r="C2597" s="9"/>
      <c r="D2597" s="15"/>
      <c r="E2597" s="16"/>
      <c r="F2597" s="19"/>
      <c r="G2597" s="20"/>
      <c r="H2597" s="19"/>
    </row>
    <row r="2598">
      <c r="A2598" s="9"/>
      <c r="B2598" s="15"/>
      <c r="C2598" s="9"/>
      <c r="D2598" s="15"/>
      <c r="E2598" s="16"/>
      <c r="F2598" s="19"/>
      <c r="G2598" s="20"/>
      <c r="H2598" s="19"/>
    </row>
    <row r="2599">
      <c r="A2599" s="9"/>
      <c r="B2599" s="15"/>
      <c r="C2599" s="9"/>
      <c r="D2599" s="15"/>
      <c r="E2599" s="16"/>
      <c r="F2599" s="19"/>
      <c r="G2599" s="20"/>
      <c r="H2599" s="19"/>
    </row>
    <row r="2600">
      <c r="A2600" s="9"/>
      <c r="B2600" s="15"/>
      <c r="C2600" s="9"/>
      <c r="D2600" s="15"/>
      <c r="E2600" s="16"/>
      <c r="F2600" s="19"/>
      <c r="G2600" s="20"/>
      <c r="H2600" s="19"/>
    </row>
    <row r="2601">
      <c r="A2601" s="9"/>
      <c r="B2601" s="15"/>
      <c r="C2601" s="9"/>
      <c r="D2601" s="15"/>
      <c r="E2601" s="16"/>
      <c r="F2601" s="19"/>
      <c r="G2601" s="20"/>
      <c r="H2601" s="19"/>
    </row>
    <row r="2602">
      <c r="A2602" s="9"/>
      <c r="B2602" s="15"/>
      <c r="C2602" s="9"/>
      <c r="D2602" s="15"/>
      <c r="E2602" s="16"/>
      <c r="F2602" s="19"/>
      <c r="G2602" s="20"/>
      <c r="H2602" s="19"/>
    </row>
    <row r="2603">
      <c r="A2603" s="9"/>
      <c r="B2603" s="15"/>
      <c r="C2603" s="9"/>
      <c r="D2603" s="15"/>
      <c r="E2603" s="16"/>
      <c r="F2603" s="19"/>
      <c r="G2603" s="20"/>
      <c r="H2603" s="19"/>
    </row>
    <row r="2604">
      <c r="A2604" s="9"/>
      <c r="B2604" s="15"/>
      <c r="C2604" s="9"/>
      <c r="D2604" s="15"/>
      <c r="E2604" s="16"/>
      <c r="F2604" s="19"/>
      <c r="G2604" s="20"/>
      <c r="H2604" s="19"/>
    </row>
    <row r="2605">
      <c r="A2605" s="9"/>
      <c r="B2605" s="15"/>
      <c r="C2605" s="9"/>
      <c r="D2605" s="15"/>
      <c r="E2605" s="16"/>
      <c r="F2605" s="19"/>
      <c r="G2605" s="20"/>
      <c r="H2605" s="19"/>
    </row>
    <row r="2606">
      <c r="A2606" s="9"/>
      <c r="B2606" s="15"/>
      <c r="C2606" s="9"/>
      <c r="D2606" s="15"/>
      <c r="E2606" s="16"/>
      <c r="F2606" s="19"/>
      <c r="G2606" s="20"/>
      <c r="H2606" s="19"/>
    </row>
    <row r="2607">
      <c r="A2607" s="9"/>
      <c r="B2607" s="15"/>
      <c r="C2607" s="9"/>
      <c r="D2607" s="15"/>
      <c r="E2607" s="16"/>
      <c r="F2607" s="19"/>
      <c r="G2607" s="20"/>
      <c r="H2607" s="19"/>
    </row>
    <row r="2608">
      <c r="A2608" s="9"/>
      <c r="B2608" s="15"/>
      <c r="C2608" s="9"/>
      <c r="D2608" s="15"/>
      <c r="E2608" s="16"/>
      <c r="F2608" s="19"/>
      <c r="G2608" s="20"/>
      <c r="H2608" s="19"/>
    </row>
    <row r="2609">
      <c r="A2609" s="9"/>
      <c r="B2609" s="15"/>
      <c r="C2609" s="9"/>
      <c r="D2609" s="15"/>
      <c r="E2609" s="16"/>
      <c r="F2609" s="19"/>
      <c r="G2609" s="20"/>
      <c r="H2609" s="19"/>
    </row>
    <row r="2610">
      <c r="A2610" s="9"/>
      <c r="B2610" s="15"/>
      <c r="C2610" s="9"/>
      <c r="D2610" s="15"/>
      <c r="E2610" s="16"/>
      <c r="F2610" s="19"/>
      <c r="G2610" s="20"/>
      <c r="H2610" s="19"/>
    </row>
    <row r="2611">
      <c r="A2611" s="9"/>
      <c r="B2611" s="15"/>
      <c r="C2611" s="9"/>
      <c r="D2611" s="15"/>
      <c r="E2611" s="16"/>
      <c r="F2611" s="19"/>
      <c r="G2611" s="20"/>
      <c r="H2611" s="19"/>
    </row>
    <row r="2612">
      <c r="A2612" s="9"/>
      <c r="B2612" s="15"/>
      <c r="C2612" s="9"/>
      <c r="D2612" s="15"/>
      <c r="E2612" s="16"/>
      <c r="F2612" s="19"/>
      <c r="G2612" s="20"/>
      <c r="H2612" s="19"/>
    </row>
    <row r="2613">
      <c r="A2613" s="9"/>
      <c r="B2613" s="15"/>
      <c r="C2613" s="9"/>
      <c r="D2613" s="15"/>
      <c r="E2613" s="16"/>
      <c r="F2613" s="19"/>
      <c r="G2613" s="20"/>
      <c r="H2613" s="19"/>
    </row>
    <row r="2614">
      <c r="A2614" s="9"/>
      <c r="B2614" s="15"/>
      <c r="C2614" s="9"/>
      <c r="D2614" s="15"/>
      <c r="E2614" s="16"/>
      <c r="F2614" s="19"/>
      <c r="G2614" s="20"/>
      <c r="H2614" s="19"/>
    </row>
    <row r="2615">
      <c r="A2615" s="9"/>
      <c r="B2615" s="15"/>
      <c r="C2615" s="9"/>
      <c r="D2615" s="15"/>
      <c r="E2615" s="16"/>
      <c r="F2615" s="19"/>
      <c r="G2615" s="20"/>
      <c r="H2615" s="19"/>
    </row>
    <row r="2616">
      <c r="A2616" s="9"/>
      <c r="B2616" s="15"/>
      <c r="C2616" s="9"/>
      <c r="D2616" s="15"/>
      <c r="E2616" s="16"/>
      <c r="F2616" s="19"/>
      <c r="G2616" s="20"/>
      <c r="H2616" s="19"/>
    </row>
    <row r="2617">
      <c r="A2617" s="9"/>
      <c r="B2617" s="15"/>
      <c r="C2617" s="9"/>
      <c r="D2617" s="15"/>
      <c r="E2617" s="16"/>
      <c r="F2617" s="19"/>
      <c r="G2617" s="20"/>
      <c r="H2617" s="19"/>
    </row>
    <row r="2618">
      <c r="A2618" s="9"/>
      <c r="B2618" s="15"/>
      <c r="C2618" s="9"/>
      <c r="D2618" s="15"/>
      <c r="E2618" s="16"/>
      <c r="F2618" s="19"/>
      <c r="G2618" s="20"/>
      <c r="H2618" s="19"/>
    </row>
    <row r="2619">
      <c r="A2619" s="9"/>
      <c r="B2619" s="15"/>
      <c r="C2619" s="9"/>
      <c r="D2619" s="15"/>
      <c r="E2619" s="16"/>
      <c r="F2619" s="19"/>
      <c r="G2619" s="20"/>
      <c r="H2619" s="19"/>
    </row>
    <row r="2620">
      <c r="A2620" s="9"/>
      <c r="B2620" s="15"/>
      <c r="C2620" s="9"/>
      <c r="D2620" s="15"/>
      <c r="E2620" s="16"/>
      <c r="F2620" s="19"/>
      <c r="G2620" s="20"/>
      <c r="H2620" s="19"/>
    </row>
    <row r="2621">
      <c r="A2621" s="9"/>
      <c r="B2621" s="15"/>
      <c r="C2621" s="9"/>
      <c r="D2621" s="15"/>
      <c r="E2621" s="16"/>
      <c r="F2621" s="19"/>
      <c r="G2621" s="20"/>
      <c r="H2621" s="19"/>
    </row>
    <row r="2622">
      <c r="A2622" s="9"/>
      <c r="B2622" s="15"/>
      <c r="C2622" s="9"/>
      <c r="D2622" s="15"/>
      <c r="E2622" s="16"/>
      <c r="F2622" s="19"/>
      <c r="G2622" s="20"/>
      <c r="H2622" s="19"/>
    </row>
    <row r="2623">
      <c r="A2623" s="9"/>
      <c r="B2623" s="15"/>
      <c r="C2623" s="9"/>
      <c r="D2623" s="15"/>
      <c r="E2623" s="16"/>
      <c r="F2623" s="19"/>
      <c r="G2623" s="20"/>
      <c r="H2623" s="19"/>
    </row>
    <row r="2624">
      <c r="A2624" s="9"/>
      <c r="B2624" s="15"/>
      <c r="C2624" s="9"/>
      <c r="D2624" s="15"/>
      <c r="E2624" s="16"/>
      <c r="F2624" s="19"/>
      <c r="G2624" s="20"/>
      <c r="H2624" s="19"/>
    </row>
    <row r="2625">
      <c r="A2625" s="9"/>
      <c r="B2625" s="15"/>
      <c r="C2625" s="9"/>
      <c r="D2625" s="15"/>
      <c r="E2625" s="16"/>
      <c r="F2625" s="19"/>
      <c r="G2625" s="20"/>
      <c r="H2625" s="19"/>
    </row>
    <row r="2626">
      <c r="A2626" s="9"/>
      <c r="B2626" s="15"/>
      <c r="C2626" s="9"/>
      <c r="D2626" s="15"/>
      <c r="E2626" s="16"/>
      <c r="F2626" s="19"/>
      <c r="G2626" s="20"/>
      <c r="H2626" s="19"/>
    </row>
    <row r="2627">
      <c r="A2627" s="9"/>
      <c r="B2627" s="15"/>
      <c r="C2627" s="9"/>
      <c r="D2627" s="15"/>
      <c r="E2627" s="16"/>
      <c r="F2627" s="19"/>
      <c r="G2627" s="20"/>
      <c r="H2627" s="19"/>
    </row>
    <row r="2628">
      <c r="A2628" s="9"/>
      <c r="B2628" s="15"/>
      <c r="C2628" s="9"/>
      <c r="D2628" s="15"/>
      <c r="E2628" s="16"/>
      <c r="F2628" s="19"/>
      <c r="G2628" s="20"/>
      <c r="H2628" s="19"/>
    </row>
    <row r="2629">
      <c r="A2629" s="9"/>
      <c r="B2629" s="15"/>
      <c r="C2629" s="9"/>
      <c r="D2629" s="15"/>
      <c r="E2629" s="16"/>
      <c r="F2629" s="19"/>
      <c r="G2629" s="20"/>
      <c r="H2629" s="19"/>
    </row>
    <row r="2630">
      <c r="A2630" s="9"/>
      <c r="B2630" s="15"/>
      <c r="C2630" s="9"/>
      <c r="D2630" s="15"/>
      <c r="E2630" s="16"/>
      <c r="F2630" s="19"/>
      <c r="G2630" s="20"/>
      <c r="H2630" s="19"/>
    </row>
    <row r="2631">
      <c r="A2631" s="9"/>
      <c r="B2631" s="15"/>
      <c r="C2631" s="9"/>
      <c r="D2631" s="15"/>
      <c r="E2631" s="16"/>
      <c r="F2631" s="19"/>
      <c r="G2631" s="20"/>
      <c r="H2631" s="19"/>
    </row>
    <row r="2632">
      <c r="A2632" s="9"/>
      <c r="B2632" s="15"/>
      <c r="C2632" s="9"/>
      <c r="D2632" s="15"/>
      <c r="E2632" s="16"/>
      <c r="F2632" s="19"/>
      <c r="G2632" s="20"/>
      <c r="H2632" s="19"/>
    </row>
    <row r="2633">
      <c r="A2633" s="9"/>
      <c r="B2633" s="15"/>
      <c r="C2633" s="9"/>
      <c r="D2633" s="15"/>
      <c r="E2633" s="16"/>
      <c r="F2633" s="19"/>
      <c r="G2633" s="20"/>
      <c r="H2633" s="19"/>
    </row>
    <row r="2634">
      <c r="A2634" s="9"/>
      <c r="B2634" s="15"/>
      <c r="C2634" s="9"/>
      <c r="D2634" s="15"/>
      <c r="E2634" s="16"/>
      <c r="F2634" s="19"/>
      <c r="G2634" s="20"/>
      <c r="H2634" s="19"/>
    </row>
    <row r="2635">
      <c r="A2635" s="9"/>
      <c r="B2635" s="15"/>
      <c r="C2635" s="9"/>
      <c r="D2635" s="15"/>
      <c r="E2635" s="16"/>
      <c r="F2635" s="19"/>
      <c r="G2635" s="20"/>
      <c r="H2635" s="19"/>
    </row>
    <row r="2636">
      <c r="A2636" s="9"/>
      <c r="B2636" s="15"/>
      <c r="C2636" s="9"/>
      <c r="D2636" s="15"/>
      <c r="E2636" s="16"/>
      <c r="F2636" s="19"/>
      <c r="G2636" s="20"/>
      <c r="H2636" s="19"/>
    </row>
    <row r="2637">
      <c r="A2637" s="9"/>
      <c r="B2637" s="15"/>
      <c r="C2637" s="9"/>
      <c r="D2637" s="15"/>
      <c r="E2637" s="16"/>
      <c r="F2637" s="19"/>
      <c r="G2637" s="20"/>
      <c r="H2637" s="19"/>
    </row>
    <row r="2638">
      <c r="A2638" s="9"/>
      <c r="B2638" s="15"/>
      <c r="C2638" s="9"/>
      <c r="D2638" s="15"/>
      <c r="E2638" s="16"/>
      <c r="F2638" s="19"/>
      <c r="G2638" s="20"/>
      <c r="H2638" s="19"/>
    </row>
    <row r="2639">
      <c r="A2639" s="9"/>
      <c r="B2639" s="15"/>
      <c r="C2639" s="9"/>
      <c r="D2639" s="15"/>
      <c r="E2639" s="16"/>
      <c r="F2639" s="19"/>
      <c r="G2639" s="20"/>
      <c r="H2639" s="19"/>
    </row>
    <row r="2640">
      <c r="A2640" s="9"/>
      <c r="B2640" s="15"/>
      <c r="C2640" s="9"/>
      <c r="D2640" s="15"/>
      <c r="E2640" s="16"/>
      <c r="F2640" s="19"/>
      <c r="G2640" s="20"/>
      <c r="H2640" s="19"/>
    </row>
    <row r="2641">
      <c r="A2641" s="9"/>
      <c r="B2641" s="15"/>
      <c r="C2641" s="9"/>
      <c r="D2641" s="15"/>
      <c r="E2641" s="16"/>
      <c r="F2641" s="19"/>
      <c r="G2641" s="20"/>
      <c r="H2641" s="19"/>
    </row>
    <row r="2642">
      <c r="A2642" s="9"/>
      <c r="B2642" s="15"/>
      <c r="C2642" s="9"/>
      <c r="D2642" s="15"/>
      <c r="E2642" s="16"/>
      <c r="F2642" s="19"/>
      <c r="G2642" s="20"/>
      <c r="H2642" s="19"/>
    </row>
    <row r="2643">
      <c r="A2643" s="9"/>
      <c r="B2643" s="15"/>
      <c r="C2643" s="9"/>
      <c r="D2643" s="15"/>
      <c r="E2643" s="16"/>
      <c r="F2643" s="19"/>
      <c r="G2643" s="20"/>
      <c r="H2643" s="19"/>
    </row>
    <row r="2644">
      <c r="A2644" s="9"/>
      <c r="B2644" s="15"/>
      <c r="C2644" s="9"/>
      <c r="D2644" s="15"/>
      <c r="E2644" s="16"/>
      <c r="F2644" s="19"/>
      <c r="G2644" s="20"/>
      <c r="H2644" s="19"/>
    </row>
    <row r="2645">
      <c r="A2645" s="9"/>
      <c r="B2645" s="15"/>
      <c r="C2645" s="9"/>
      <c r="D2645" s="15"/>
      <c r="E2645" s="16"/>
      <c r="F2645" s="19"/>
      <c r="G2645" s="20"/>
      <c r="H2645" s="19"/>
    </row>
    <row r="2646">
      <c r="A2646" s="9"/>
      <c r="B2646" s="15"/>
      <c r="C2646" s="9"/>
      <c r="D2646" s="15"/>
      <c r="E2646" s="16"/>
      <c r="F2646" s="19"/>
      <c r="G2646" s="20"/>
      <c r="H2646" s="19"/>
    </row>
    <row r="2647">
      <c r="A2647" s="9"/>
      <c r="B2647" s="15"/>
      <c r="C2647" s="9"/>
      <c r="D2647" s="15"/>
      <c r="E2647" s="16"/>
      <c r="F2647" s="19"/>
      <c r="G2647" s="20"/>
      <c r="H2647" s="19"/>
    </row>
    <row r="2648">
      <c r="A2648" s="9"/>
      <c r="B2648" s="15"/>
      <c r="C2648" s="9"/>
      <c r="D2648" s="15"/>
      <c r="E2648" s="16"/>
      <c r="F2648" s="19"/>
      <c r="G2648" s="20"/>
      <c r="H2648" s="19"/>
    </row>
    <row r="2649">
      <c r="A2649" s="9"/>
      <c r="B2649" s="15"/>
      <c r="C2649" s="9"/>
      <c r="D2649" s="15"/>
      <c r="E2649" s="16"/>
      <c r="F2649" s="19"/>
      <c r="G2649" s="20"/>
      <c r="H2649" s="19"/>
    </row>
    <row r="2650">
      <c r="A2650" s="9"/>
      <c r="B2650" s="15"/>
      <c r="C2650" s="9"/>
      <c r="D2650" s="15"/>
      <c r="E2650" s="16"/>
      <c r="F2650" s="19"/>
      <c r="G2650" s="20"/>
      <c r="H2650" s="19"/>
    </row>
    <row r="2651">
      <c r="A2651" s="9"/>
      <c r="B2651" s="15"/>
      <c r="C2651" s="9"/>
      <c r="D2651" s="15"/>
      <c r="E2651" s="16"/>
      <c r="F2651" s="19"/>
      <c r="G2651" s="20"/>
      <c r="H2651" s="19"/>
    </row>
    <row r="2652">
      <c r="A2652" s="9"/>
      <c r="B2652" s="15"/>
      <c r="C2652" s="9"/>
      <c r="D2652" s="15"/>
      <c r="E2652" s="16"/>
      <c r="F2652" s="19"/>
      <c r="G2652" s="20"/>
      <c r="H2652" s="19"/>
    </row>
    <row r="2653">
      <c r="A2653" s="9"/>
      <c r="B2653" s="15"/>
      <c r="C2653" s="9"/>
      <c r="D2653" s="15"/>
      <c r="E2653" s="16"/>
      <c r="F2653" s="19"/>
      <c r="G2653" s="20"/>
      <c r="H2653" s="19"/>
    </row>
    <row r="2654">
      <c r="A2654" s="9"/>
      <c r="B2654" s="15"/>
      <c r="C2654" s="9"/>
      <c r="D2654" s="15"/>
      <c r="E2654" s="16"/>
      <c r="F2654" s="19"/>
      <c r="G2654" s="20"/>
      <c r="H2654" s="19"/>
    </row>
    <row r="2655">
      <c r="A2655" s="9"/>
      <c r="B2655" s="15"/>
      <c r="C2655" s="9"/>
      <c r="D2655" s="15"/>
      <c r="E2655" s="16"/>
      <c r="F2655" s="19"/>
      <c r="G2655" s="20"/>
      <c r="H2655" s="19"/>
    </row>
    <row r="2656">
      <c r="A2656" s="9"/>
      <c r="B2656" s="15"/>
      <c r="C2656" s="9"/>
      <c r="D2656" s="15"/>
      <c r="E2656" s="16"/>
      <c r="F2656" s="19"/>
      <c r="G2656" s="20"/>
      <c r="H2656" s="19"/>
    </row>
    <row r="2657">
      <c r="A2657" s="9"/>
      <c r="B2657" s="15"/>
      <c r="C2657" s="9"/>
      <c r="D2657" s="15"/>
      <c r="E2657" s="16"/>
      <c r="F2657" s="19"/>
      <c r="G2657" s="20"/>
      <c r="H2657" s="19"/>
    </row>
    <row r="2658">
      <c r="A2658" s="9"/>
      <c r="B2658" s="15"/>
      <c r="C2658" s="9"/>
      <c r="D2658" s="15"/>
      <c r="E2658" s="16"/>
      <c r="F2658" s="19"/>
      <c r="G2658" s="20"/>
      <c r="H2658" s="19"/>
    </row>
    <row r="2659">
      <c r="A2659" s="9"/>
      <c r="B2659" s="15"/>
      <c r="C2659" s="9"/>
      <c r="D2659" s="15"/>
      <c r="E2659" s="16"/>
      <c r="F2659" s="19"/>
      <c r="G2659" s="20"/>
      <c r="H2659" s="19"/>
    </row>
    <row r="2660">
      <c r="A2660" s="9"/>
      <c r="B2660" s="15"/>
      <c r="C2660" s="9"/>
      <c r="D2660" s="15"/>
      <c r="E2660" s="16"/>
      <c r="F2660" s="19"/>
      <c r="G2660" s="20"/>
      <c r="H2660" s="19"/>
    </row>
    <row r="2661">
      <c r="A2661" s="9"/>
      <c r="B2661" s="15"/>
      <c r="C2661" s="9"/>
      <c r="D2661" s="15"/>
      <c r="E2661" s="16"/>
      <c r="F2661" s="19"/>
      <c r="G2661" s="20"/>
      <c r="H2661" s="19"/>
    </row>
    <row r="2662">
      <c r="A2662" s="9"/>
      <c r="B2662" s="15"/>
      <c r="C2662" s="9"/>
      <c r="D2662" s="15"/>
      <c r="E2662" s="16"/>
      <c r="F2662" s="19"/>
      <c r="G2662" s="20"/>
      <c r="H2662" s="19"/>
    </row>
    <row r="2663">
      <c r="A2663" s="9"/>
      <c r="B2663" s="15"/>
      <c r="C2663" s="9"/>
      <c r="D2663" s="15"/>
      <c r="E2663" s="16"/>
      <c r="F2663" s="19"/>
      <c r="G2663" s="20"/>
      <c r="H2663" s="19"/>
    </row>
    <row r="2664">
      <c r="A2664" s="9"/>
      <c r="B2664" s="15"/>
      <c r="C2664" s="9"/>
      <c r="D2664" s="15"/>
      <c r="E2664" s="16"/>
      <c r="F2664" s="19"/>
      <c r="G2664" s="20"/>
      <c r="H2664" s="19"/>
    </row>
    <row r="2665">
      <c r="A2665" s="9"/>
      <c r="B2665" s="15"/>
      <c r="C2665" s="9"/>
      <c r="D2665" s="15"/>
      <c r="E2665" s="16"/>
      <c r="F2665" s="19"/>
      <c r="G2665" s="20"/>
      <c r="H2665" s="19"/>
    </row>
    <row r="2666">
      <c r="A2666" s="9"/>
      <c r="B2666" s="15"/>
      <c r="C2666" s="9"/>
      <c r="D2666" s="15"/>
      <c r="E2666" s="16"/>
      <c r="F2666" s="19"/>
      <c r="G2666" s="20"/>
      <c r="H2666" s="19"/>
    </row>
    <row r="2667">
      <c r="A2667" s="9"/>
      <c r="B2667" s="15"/>
      <c r="C2667" s="9"/>
      <c r="D2667" s="15"/>
      <c r="E2667" s="16"/>
      <c r="F2667" s="19"/>
      <c r="G2667" s="20"/>
      <c r="H2667" s="19"/>
    </row>
    <row r="2668">
      <c r="A2668" s="9"/>
      <c r="B2668" s="15"/>
      <c r="C2668" s="9"/>
      <c r="D2668" s="15"/>
      <c r="E2668" s="16"/>
      <c r="F2668" s="19"/>
      <c r="G2668" s="20"/>
      <c r="H2668" s="19"/>
    </row>
    <row r="2669">
      <c r="A2669" s="9"/>
      <c r="B2669" s="15"/>
      <c r="C2669" s="9"/>
      <c r="D2669" s="15"/>
      <c r="E2669" s="16"/>
      <c r="F2669" s="19"/>
      <c r="G2669" s="20"/>
      <c r="H2669" s="19"/>
    </row>
    <row r="2670">
      <c r="A2670" s="9"/>
      <c r="B2670" s="15"/>
      <c r="C2670" s="9"/>
      <c r="D2670" s="15"/>
      <c r="E2670" s="16"/>
      <c r="F2670" s="19"/>
      <c r="G2670" s="20"/>
      <c r="H2670" s="19"/>
    </row>
    <row r="2671">
      <c r="A2671" s="9"/>
      <c r="B2671" s="15"/>
      <c r="C2671" s="9"/>
      <c r="D2671" s="15"/>
      <c r="E2671" s="16"/>
      <c r="F2671" s="19"/>
      <c r="G2671" s="20"/>
      <c r="H2671" s="19"/>
    </row>
    <row r="2672">
      <c r="A2672" s="9"/>
      <c r="B2672" s="15"/>
      <c r="C2672" s="9"/>
      <c r="D2672" s="15"/>
      <c r="E2672" s="16"/>
      <c r="F2672" s="19"/>
      <c r="G2672" s="20"/>
      <c r="H2672" s="19"/>
    </row>
    <row r="2673">
      <c r="A2673" s="9"/>
      <c r="B2673" s="15"/>
      <c r="C2673" s="9"/>
      <c r="D2673" s="15"/>
      <c r="E2673" s="16"/>
      <c r="F2673" s="19"/>
      <c r="G2673" s="20"/>
      <c r="H2673" s="19"/>
    </row>
    <row r="2674">
      <c r="A2674" s="9"/>
      <c r="B2674" s="15"/>
      <c r="C2674" s="9"/>
      <c r="D2674" s="15"/>
      <c r="E2674" s="16"/>
      <c r="F2674" s="19"/>
      <c r="G2674" s="20"/>
      <c r="H2674" s="19"/>
    </row>
    <row r="2675">
      <c r="A2675" s="9"/>
      <c r="B2675" s="15"/>
      <c r="C2675" s="9"/>
      <c r="D2675" s="15"/>
      <c r="E2675" s="16"/>
      <c r="F2675" s="19"/>
      <c r="G2675" s="20"/>
      <c r="H2675" s="19"/>
    </row>
    <row r="2676">
      <c r="A2676" s="9"/>
      <c r="B2676" s="15"/>
      <c r="C2676" s="9"/>
      <c r="D2676" s="15"/>
      <c r="E2676" s="16"/>
      <c r="F2676" s="19"/>
      <c r="G2676" s="20"/>
      <c r="H2676" s="19"/>
    </row>
    <row r="2677">
      <c r="A2677" s="9"/>
      <c r="B2677" s="15"/>
      <c r="C2677" s="9"/>
      <c r="D2677" s="15"/>
      <c r="E2677" s="16"/>
      <c r="F2677" s="19"/>
      <c r="G2677" s="20"/>
      <c r="H2677" s="19"/>
    </row>
    <row r="2678">
      <c r="A2678" s="9"/>
      <c r="B2678" s="15"/>
      <c r="C2678" s="9"/>
      <c r="D2678" s="15"/>
      <c r="E2678" s="16"/>
      <c r="F2678" s="19"/>
      <c r="G2678" s="20"/>
      <c r="H2678" s="19"/>
    </row>
    <row r="2679">
      <c r="A2679" s="9"/>
      <c r="B2679" s="15"/>
      <c r="C2679" s="9"/>
      <c r="D2679" s="15"/>
      <c r="E2679" s="16"/>
      <c r="F2679" s="19"/>
      <c r="G2679" s="20"/>
      <c r="H2679" s="19"/>
    </row>
    <row r="2680">
      <c r="A2680" s="9"/>
      <c r="B2680" s="15"/>
      <c r="C2680" s="9"/>
      <c r="D2680" s="15"/>
      <c r="E2680" s="16"/>
      <c r="F2680" s="19"/>
      <c r="G2680" s="20"/>
      <c r="H2680" s="19"/>
    </row>
    <row r="2681">
      <c r="A2681" s="9"/>
      <c r="B2681" s="15"/>
      <c r="C2681" s="9"/>
      <c r="D2681" s="15"/>
      <c r="E2681" s="16"/>
      <c r="F2681" s="19"/>
      <c r="G2681" s="20"/>
      <c r="H2681" s="19"/>
    </row>
    <row r="2682">
      <c r="A2682" s="9"/>
      <c r="B2682" s="15"/>
      <c r="C2682" s="9"/>
      <c r="D2682" s="15"/>
      <c r="E2682" s="16"/>
      <c r="F2682" s="19"/>
      <c r="G2682" s="20"/>
      <c r="H2682" s="19"/>
    </row>
    <row r="2683">
      <c r="A2683" s="9"/>
      <c r="B2683" s="15"/>
      <c r="C2683" s="9"/>
      <c r="D2683" s="15"/>
      <c r="E2683" s="16"/>
      <c r="F2683" s="19"/>
      <c r="G2683" s="20"/>
      <c r="H2683" s="19"/>
    </row>
    <row r="2684">
      <c r="A2684" s="9"/>
      <c r="B2684" s="15"/>
      <c r="C2684" s="9"/>
      <c r="D2684" s="15"/>
      <c r="E2684" s="16"/>
      <c r="F2684" s="19"/>
      <c r="G2684" s="20"/>
      <c r="H2684" s="19"/>
    </row>
    <row r="2685">
      <c r="A2685" s="9"/>
      <c r="B2685" s="15"/>
      <c r="C2685" s="9"/>
      <c r="D2685" s="15"/>
      <c r="E2685" s="16"/>
      <c r="F2685" s="19"/>
      <c r="G2685" s="20"/>
      <c r="H2685" s="19"/>
    </row>
    <row r="2686">
      <c r="A2686" s="9"/>
      <c r="B2686" s="15"/>
      <c r="C2686" s="9"/>
      <c r="D2686" s="15"/>
      <c r="E2686" s="16"/>
      <c r="F2686" s="19"/>
      <c r="G2686" s="20"/>
      <c r="H2686" s="19"/>
    </row>
    <row r="2687">
      <c r="A2687" s="9"/>
      <c r="B2687" s="15"/>
      <c r="C2687" s="9"/>
      <c r="D2687" s="15"/>
      <c r="E2687" s="16"/>
      <c r="F2687" s="19"/>
      <c r="G2687" s="20"/>
      <c r="H2687" s="19"/>
    </row>
    <row r="2688">
      <c r="A2688" s="9"/>
      <c r="B2688" s="15"/>
      <c r="C2688" s="9"/>
      <c r="D2688" s="15"/>
      <c r="E2688" s="16"/>
      <c r="F2688" s="19"/>
      <c r="G2688" s="20"/>
      <c r="H2688" s="19"/>
    </row>
    <row r="2689">
      <c r="A2689" s="9"/>
      <c r="B2689" s="15"/>
      <c r="C2689" s="9"/>
      <c r="D2689" s="15"/>
      <c r="E2689" s="16"/>
      <c r="F2689" s="19"/>
      <c r="G2689" s="20"/>
      <c r="H2689" s="19"/>
    </row>
    <row r="2690">
      <c r="A2690" s="9"/>
      <c r="B2690" s="15"/>
      <c r="C2690" s="9"/>
      <c r="D2690" s="15"/>
      <c r="E2690" s="16"/>
      <c r="F2690" s="19"/>
      <c r="G2690" s="20"/>
      <c r="H2690" s="19"/>
    </row>
    <row r="2691">
      <c r="A2691" s="9"/>
      <c r="B2691" s="15"/>
      <c r="C2691" s="9"/>
      <c r="D2691" s="15"/>
      <c r="E2691" s="16"/>
      <c r="F2691" s="19"/>
      <c r="G2691" s="20"/>
      <c r="H2691" s="19"/>
    </row>
    <row r="2692">
      <c r="A2692" s="9"/>
      <c r="B2692" s="15"/>
      <c r="C2692" s="9"/>
      <c r="D2692" s="15"/>
      <c r="E2692" s="16"/>
      <c r="F2692" s="19"/>
      <c r="G2692" s="20"/>
      <c r="H2692" s="19"/>
    </row>
    <row r="2693">
      <c r="A2693" s="9"/>
      <c r="B2693" s="15"/>
      <c r="C2693" s="9"/>
      <c r="D2693" s="15"/>
      <c r="E2693" s="16"/>
      <c r="F2693" s="19"/>
      <c r="G2693" s="20"/>
      <c r="H2693" s="19"/>
    </row>
    <row r="2694">
      <c r="A2694" s="9"/>
      <c r="B2694" s="15"/>
      <c r="C2694" s="9"/>
      <c r="D2694" s="15"/>
      <c r="E2694" s="16"/>
      <c r="F2694" s="19"/>
      <c r="G2694" s="20"/>
      <c r="H2694" s="19"/>
    </row>
    <row r="2695">
      <c r="A2695" s="9"/>
      <c r="B2695" s="15"/>
      <c r="C2695" s="9"/>
      <c r="D2695" s="15"/>
      <c r="E2695" s="16"/>
      <c r="F2695" s="19"/>
      <c r="G2695" s="20"/>
      <c r="H2695" s="19"/>
    </row>
    <row r="2696">
      <c r="A2696" s="9"/>
      <c r="B2696" s="15"/>
      <c r="C2696" s="9"/>
      <c r="D2696" s="15"/>
      <c r="E2696" s="16"/>
      <c r="F2696" s="19"/>
      <c r="G2696" s="20"/>
      <c r="H2696" s="19"/>
    </row>
    <row r="2697">
      <c r="A2697" s="9"/>
      <c r="B2697" s="15"/>
      <c r="C2697" s="9"/>
      <c r="D2697" s="15"/>
      <c r="E2697" s="16"/>
      <c r="F2697" s="19"/>
      <c r="G2697" s="20"/>
      <c r="H2697" s="19"/>
    </row>
    <row r="2698">
      <c r="A2698" s="9"/>
      <c r="B2698" s="15"/>
      <c r="C2698" s="9"/>
      <c r="D2698" s="15"/>
      <c r="E2698" s="16"/>
      <c r="F2698" s="19"/>
      <c r="G2698" s="20"/>
      <c r="H2698" s="19"/>
    </row>
    <row r="2699">
      <c r="A2699" s="9"/>
      <c r="B2699" s="15"/>
      <c r="C2699" s="9"/>
      <c r="D2699" s="15"/>
      <c r="E2699" s="16"/>
      <c r="F2699" s="19"/>
      <c r="G2699" s="20"/>
      <c r="H2699" s="19"/>
    </row>
    <row r="2700">
      <c r="A2700" s="9"/>
      <c r="B2700" s="15"/>
      <c r="C2700" s="9"/>
      <c r="D2700" s="15"/>
      <c r="E2700" s="16"/>
      <c r="F2700" s="19"/>
      <c r="G2700" s="20"/>
      <c r="H2700" s="19"/>
    </row>
    <row r="2701">
      <c r="A2701" s="9"/>
      <c r="B2701" s="15"/>
      <c r="C2701" s="9"/>
      <c r="D2701" s="15"/>
      <c r="E2701" s="16"/>
      <c r="F2701" s="19"/>
      <c r="G2701" s="20"/>
      <c r="H2701" s="19"/>
    </row>
    <row r="2702">
      <c r="A2702" s="9"/>
      <c r="B2702" s="15"/>
      <c r="C2702" s="9"/>
      <c r="D2702" s="15"/>
      <c r="E2702" s="16"/>
      <c r="F2702" s="19"/>
      <c r="G2702" s="20"/>
      <c r="H2702" s="19"/>
    </row>
    <row r="2703">
      <c r="A2703" s="9"/>
      <c r="B2703" s="15"/>
      <c r="C2703" s="9"/>
      <c r="D2703" s="15"/>
      <c r="E2703" s="16"/>
      <c r="F2703" s="19"/>
      <c r="G2703" s="20"/>
      <c r="H2703" s="19"/>
    </row>
    <row r="2704">
      <c r="A2704" s="9"/>
      <c r="B2704" s="15"/>
      <c r="C2704" s="9"/>
      <c r="D2704" s="15"/>
      <c r="E2704" s="16"/>
      <c r="F2704" s="19"/>
      <c r="G2704" s="20"/>
      <c r="H2704" s="19"/>
    </row>
    <row r="2705">
      <c r="A2705" s="9"/>
      <c r="B2705" s="15"/>
      <c r="C2705" s="9"/>
      <c r="D2705" s="15"/>
      <c r="E2705" s="16"/>
      <c r="F2705" s="19"/>
      <c r="G2705" s="20"/>
      <c r="H2705" s="19"/>
    </row>
    <row r="2706">
      <c r="A2706" s="9"/>
      <c r="B2706" s="15"/>
      <c r="C2706" s="9"/>
      <c r="D2706" s="15"/>
      <c r="E2706" s="16"/>
      <c r="F2706" s="19"/>
      <c r="G2706" s="20"/>
      <c r="H2706" s="19"/>
    </row>
    <row r="2707">
      <c r="A2707" s="9"/>
      <c r="B2707" s="15"/>
      <c r="C2707" s="9"/>
      <c r="D2707" s="15"/>
      <c r="E2707" s="16"/>
      <c r="F2707" s="19"/>
      <c r="G2707" s="20"/>
      <c r="H2707" s="19"/>
    </row>
    <row r="2708">
      <c r="A2708" s="9"/>
      <c r="B2708" s="15"/>
      <c r="C2708" s="9"/>
      <c r="D2708" s="15"/>
      <c r="E2708" s="16"/>
      <c r="F2708" s="19"/>
      <c r="G2708" s="20"/>
      <c r="H2708" s="19"/>
    </row>
    <row r="2709">
      <c r="A2709" s="9"/>
      <c r="B2709" s="15"/>
      <c r="C2709" s="9"/>
      <c r="D2709" s="15"/>
      <c r="E2709" s="16"/>
      <c r="F2709" s="19"/>
      <c r="G2709" s="20"/>
      <c r="H2709" s="19"/>
    </row>
    <row r="2710">
      <c r="A2710" s="9"/>
      <c r="B2710" s="15"/>
      <c r="C2710" s="9"/>
      <c r="D2710" s="15"/>
      <c r="E2710" s="16"/>
      <c r="F2710" s="19"/>
      <c r="G2710" s="20"/>
      <c r="H2710" s="19"/>
    </row>
    <row r="2711">
      <c r="A2711" s="9"/>
      <c r="B2711" s="15"/>
      <c r="C2711" s="9"/>
      <c r="D2711" s="15"/>
      <c r="E2711" s="16"/>
      <c r="F2711" s="19"/>
      <c r="G2711" s="20"/>
      <c r="H2711" s="19"/>
    </row>
    <row r="2712">
      <c r="A2712" s="9"/>
      <c r="B2712" s="15"/>
      <c r="C2712" s="9"/>
      <c r="D2712" s="15"/>
      <c r="E2712" s="16"/>
      <c r="F2712" s="19"/>
      <c r="G2712" s="20"/>
      <c r="H2712" s="19"/>
    </row>
    <row r="2713">
      <c r="A2713" s="9"/>
      <c r="B2713" s="15"/>
      <c r="C2713" s="9"/>
      <c r="D2713" s="15"/>
      <c r="E2713" s="16"/>
      <c r="F2713" s="19"/>
      <c r="G2713" s="20"/>
      <c r="H2713" s="19"/>
    </row>
    <row r="2714">
      <c r="A2714" s="9"/>
      <c r="B2714" s="15"/>
      <c r="C2714" s="9"/>
      <c r="D2714" s="15"/>
      <c r="E2714" s="16"/>
      <c r="F2714" s="19"/>
      <c r="G2714" s="20"/>
      <c r="H2714" s="19"/>
    </row>
    <row r="2715">
      <c r="A2715" s="9"/>
      <c r="B2715" s="15"/>
      <c r="C2715" s="9"/>
      <c r="D2715" s="15"/>
      <c r="E2715" s="16"/>
      <c r="F2715" s="19"/>
      <c r="G2715" s="20"/>
      <c r="H2715" s="19"/>
    </row>
    <row r="2716">
      <c r="A2716" s="9"/>
      <c r="B2716" s="15"/>
      <c r="C2716" s="9"/>
      <c r="D2716" s="15"/>
      <c r="E2716" s="16"/>
      <c r="F2716" s="19"/>
      <c r="G2716" s="20"/>
      <c r="H2716" s="19"/>
    </row>
    <row r="2717">
      <c r="A2717" s="9"/>
      <c r="B2717" s="15"/>
      <c r="C2717" s="9"/>
      <c r="D2717" s="15"/>
      <c r="E2717" s="16"/>
      <c r="F2717" s="19"/>
      <c r="G2717" s="20"/>
      <c r="H2717" s="19"/>
    </row>
    <row r="2718">
      <c r="A2718" s="9"/>
      <c r="B2718" s="15"/>
      <c r="C2718" s="9"/>
      <c r="D2718" s="15"/>
      <c r="E2718" s="16"/>
      <c r="F2718" s="19"/>
      <c r="G2718" s="20"/>
      <c r="H2718" s="19"/>
    </row>
    <row r="2719">
      <c r="A2719" s="9"/>
      <c r="B2719" s="15"/>
      <c r="C2719" s="9"/>
      <c r="D2719" s="15"/>
      <c r="E2719" s="16"/>
      <c r="F2719" s="19"/>
      <c r="G2719" s="20"/>
      <c r="H2719" s="19"/>
    </row>
    <row r="2720">
      <c r="A2720" s="9"/>
      <c r="B2720" s="15"/>
      <c r="C2720" s="9"/>
      <c r="D2720" s="15"/>
      <c r="E2720" s="16"/>
      <c r="F2720" s="19"/>
      <c r="G2720" s="20"/>
      <c r="H2720" s="19"/>
    </row>
    <row r="2721">
      <c r="A2721" s="9"/>
      <c r="B2721" s="15"/>
      <c r="C2721" s="9"/>
      <c r="D2721" s="15"/>
      <c r="E2721" s="16"/>
      <c r="F2721" s="19"/>
      <c r="G2721" s="20"/>
      <c r="H2721" s="19"/>
    </row>
    <row r="2722">
      <c r="A2722" s="9"/>
      <c r="B2722" s="15"/>
      <c r="C2722" s="9"/>
      <c r="D2722" s="15"/>
      <c r="E2722" s="16"/>
      <c r="F2722" s="19"/>
      <c r="G2722" s="20"/>
      <c r="H2722" s="19"/>
    </row>
    <row r="2723">
      <c r="A2723" s="9"/>
      <c r="B2723" s="15"/>
      <c r="C2723" s="9"/>
      <c r="D2723" s="15"/>
      <c r="E2723" s="16"/>
      <c r="F2723" s="19"/>
      <c r="G2723" s="20"/>
      <c r="H2723" s="19"/>
    </row>
    <row r="2724">
      <c r="A2724" s="9"/>
      <c r="B2724" s="15"/>
      <c r="C2724" s="9"/>
      <c r="D2724" s="15"/>
      <c r="E2724" s="16"/>
      <c r="F2724" s="19"/>
      <c r="G2724" s="20"/>
      <c r="H2724" s="19"/>
    </row>
    <row r="2725">
      <c r="A2725" s="9"/>
      <c r="B2725" s="15"/>
      <c r="C2725" s="9"/>
      <c r="D2725" s="15"/>
      <c r="E2725" s="16"/>
      <c r="F2725" s="19"/>
      <c r="G2725" s="20"/>
      <c r="H2725" s="19"/>
    </row>
    <row r="2726">
      <c r="A2726" s="9"/>
      <c r="B2726" s="15"/>
      <c r="C2726" s="9"/>
      <c r="D2726" s="15"/>
      <c r="E2726" s="16"/>
      <c r="F2726" s="19"/>
      <c r="G2726" s="20"/>
      <c r="H2726" s="19"/>
    </row>
    <row r="2727">
      <c r="A2727" s="9"/>
      <c r="B2727" s="15"/>
      <c r="C2727" s="9"/>
      <c r="D2727" s="15"/>
      <c r="E2727" s="16"/>
      <c r="F2727" s="19"/>
      <c r="G2727" s="20"/>
      <c r="H2727" s="19"/>
    </row>
    <row r="2728">
      <c r="A2728" s="9"/>
      <c r="B2728" s="15"/>
      <c r="C2728" s="9"/>
      <c r="D2728" s="15"/>
      <c r="E2728" s="16"/>
      <c r="F2728" s="19"/>
      <c r="G2728" s="20"/>
      <c r="H2728" s="19"/>
    </row>
    <row r="2729">
      <c r="A2729" s="9"/>
      <c r="B2729" s="15"/>
      <c r="C2729" s="9"/>
      <c r="D2729" s="15"/>
      <c r="E2729" s="16"/>
      <c r="F2729" s="19"/>
      <c r="G2729" s="20"/>
      <c r="H2729" s="19"/>
    </row>
    <row r="2730">
      <c r="A2730" s="9"/>
      <c r="B2730" s="15"/>
      <c r="C2730" s="9"/>
      <c r="D2730" s="15"/>
      <c r="E2730" s="16"/>
      <c r="F2730" s="19"/>
      <c r="G2730" s="20"/>
      <c r="H2730" s="19"/>
    </row>
    <row r="2731">
      <c r="A2731" s="9"/>
      <c r="B2731" s="15"/>
      <c r="C2731" s="9"/>
      <c r="D2731" s="15"/>
      <c r="E2731" s="16"/>
      <c r="F2731" s="19"/>
      <c r="G2731" s="20"/>
      <c r="H2731" s="19"/>
    </row>
    <row r="2732">
      <c r="A2732" s="9"/>
      <c r="B2732" s="15"/>
      <c r="C2732" s="9"/>
      <c r="D2732" s="15"/>
      <c r="E2732" s="16"/>
      <c r="F2732" s="19"/>
      <c r="G2732" s="20"/>
      <c r="H2732" s="19"/>
    </row>
    <row r="2733">
      <c r="A2733" s="9"/>
      <c r="B2733" s="15"/>
      <c r="C2733" s="9"/>
      <c r="D2733" s="15"/>
      <c r="E2733" s="16"/>
      <c r="F2733" s="19"/>
      <c r="G2733" s="20"/>
      <c r="H2733" s="19"/>
    </row>
    <row r="2734">
      <c r="A2734" s="9"/>
      <c r="B2734" s="15"/>
      <c r="C2734" s="9"/>
      <c r="D2734" s="15"/>
      <c r="E2734" s="16"/>
      <c r="F2734" s="19"/>
      <c r="G2734" s="20"/>
      <c r="H2734" s="19"/>
    </row>
    <row r="2735">
      <c r="A2735" s="9"/>
      <c r="B2735" s="15"/>
      <c r="C2735" s="9"/>
      <c r="D2735" s="15"/>
      <c r="E2735" s="16"/>
      <c r="F2735" s="19"/>
      <c r="G2735" s="20"/>
      <c r="H2735" s="19"/>
    </row>
    <row r="2736">
      <c r="A2736" s="9"/>
      <c r="B2736" s="15"/>
      <c r="C2736" s="9"/>
      <c r="D2736" s="15"/>
      <c r="E2736" s="16"/>
      <c r="F2736" s="19"/>
      <c r="G2736" s="20"/>
      <c r="H2736" s="19"/>
    </row>
    <row r="2737">
      <c r="A2737" s="9"/>
      <c r="B2737" s="15"/>
      <c r="C2737" s="9"/>
      <c r="D2737" s="15"/>
      <c r="E2737" s="16"/>
      <c r="F2737" s="19"/>
      <c r="G2737" s="20"/>
      <c r="H2737" s="19"/>
    </row>
    <row r="2738">
      <c r="A2738" s="9"/>
      <c r="B2738" s="15"/>
      <c r="C2738" s="9"/>
      <c r="D2738" s="15"/>
      <c r="E2738" s="16"/>
      <c r="F2738" s="19"/>
      <c r="G2738" s="20"/>
      <c r="H2738" s="19"/>
    </row>
    <row r="2739">
      <c r="A2739" s="9"/>
      <c r="B2739" s="15"/>
      <c r="C2739" s="9"/>
      <c r="D2739" s="15"/>
      <c r="E2739" s="16"/>
      <c r="F2739" s="19"/>
      <c r="G2739" s="20"/>
      <c r="H2739" s="19"/>
    </row>
    <row r="2740">
      <c r="A2740" s="9"/>
      <c r="B2740" s="15"/>
      <c r="C2740" s="9"/>
      <c r="D2740" s="15"/>
      <c r="E2740" s="16"/>
      <c r="F2740" s="19"/>
      <c r="G2740" s="20"/>
      <c r="H2740" s="19"/>
    </row>
    <row r="2741">
      <c r="A2741" s="9"/>
      <c r="B2741" s="15"/>
      <c r="C2741" s="9"/>
      <c r="D2741" s="15"/>
      <c r="E2741" s="16"/>
      <c r="F2741" s="19"/>
      <c r="G2741" s="20"/>
      <c r="H2741" s="19"/>
    </row>
    <row r="2742">
      <c r="A2742" s="9"/>
      <c r="B2742" s="15"/>
      <c r="C2742" s="9"/>
      <c r="D2742" s="15"/>
      <c r="E2742" s="16"/>
      <c r="F2742" s="19"/>
      <c r="G2742" s="20"/>
      <c r="H2742" s="19"/>
    </row>
    <row r="2743">
      <c r="A2743" s="9"/>
      <c r="B2743" s="15"/>
      <c r="C2743" s="9"/>
      <c r="D2743" s="15"/>
      <c r="E2743" s="16"/>
      <c r="F2743" s="19"/>
      <c r="G2743" s="20"/>
      <c r="H2743" s="19"/>
    </row>
    <row r="2744">
      <c r="A2744" s="9"/>
      <c r="B2744" s="15"/>
      <c r="C2744" s="9"/>
      <c r="D2744" s="15"/>
      <c r="E2744" s="16"/>
      <c r="F2744" s="19"/>
      <c r="G2744" s="20"/>
      <c r="H2744" s="19"/>
    </row>
    <row r="2745">
      <c r="A2745" s="9"/>
      <c r="B2745" s="15"/>
      <c r="C2745" s="9"/>
      <c r="D2745" s="15"/>
      <c r="E2745" s="16"/>
      <c r="F2745" s="19"/>
      <c r="G2745" s="20"/>
      <c r="H2745" s="19"/>
    </row>
    <row r="2746">
      <c r="A2746" s="9"/>
      <c r="B2746" s="15"/>
      <c r="C2746" s="9"/>
      <c r="D2746" s="15"/>
      <c r="E2746" s="16"/>
      <c r="F2746" s="19"/>
      <c r="G2746" s="20"/>
      <c r="H2746" s="19"/>
    </row>
    <row r="2747">
      <c r="A2747" s="9"/>
      <c r="B2747" s="15"/>
      <c r="C2747" s="9"/>
      <c r="D2747" s="15"/>
      <c r="E2747" s="16"/>
      <c r="F2747" s="19"/>
      <c r="G2747" s="20"/>
      <c r="H2747" s="19"/>
    </row>
    <row r="2748">
      <c r="A2748" s="9"/>
      <c r="B2748" s="15"/>
      <c r="C2748" s="9"/>
      <c r="D2748" s="15"/>
      <c r="E2748" s="16"/>
      <c r="F2748" s="19"/>
      <c r="G2748" s="20"/>
      <c r="H2748" s="19"/>
    </row>
    <row r="2749">
      <c r="A2749" s="9"/>
      <c r="B2749" s="15"/>
      <c r="C2749" s="9"/>
      <c r="D2749" s="15"/>
      <c r="E2749" s="16"/>
      <c r="F2749" s="19"/>
      <c r="G2749" s="20"/>
      <c r="H2749" s="19"/>
    </row>
    <row r="2750">
      <c r="A2750" s="9"/>
      <c r="B2750" s="15"/>
      <c r="C2750" s="9"/>
      <c r="D2750" s="15"/>
      <c r="E2750" s="16"/>
      <c r="F2750" s="19"/>
      <c r="G2750" s="20"/>
      <c r="H2750" s="19"/>
    </row>
    <row r="2751">
      <c r="A2751" s="9"/>
      <c r="B2751" s="15"/>
      <c r="C2751" s="9"/>
      <c r="D2751" s="15"/>
      <c r="E2751" s="16"/>
      <c r="F2751" s="19"/>
      <c r="G2751" s="20"/>
      <c r="H2751" s="19"/>
    </row>
    <row r="2752">
      <c r="A2752" s="9"/>
      <c r="B2752" s="15"/>
      <c r="C2752" s="9"/>
      <c r="D2752" s="15"/>
      <c r="E2752" s="16"/>
      <c r="F2752" s="19"/>
      <c r="G2752" s="20"/>
      <c r="H2752" s="19"/>
    </row>
    <row r="2753">
      <c r="A2753" s="9"/>
      <c r="B2753" s="15"/>
      <c r="C2753" s="9"/>
      <c r="D2753" s="15"/>
      <c r="E2753" s="16"/>
      <c r="F2753" s="19"/>
      <c r="G2753" s="20"/>
      <c r="H2753" s="19"/>
    </row>
    <row r="2754">
      <c r="A2754" s="9"/>
      <c r="B2754" s="15"/>
      <c r="C2754" s="9"/>
      <c r="D2754" s="15"/>
      <c r="E2754" s="16"/>
      <c r="F2754" s="19"/>
      <c r="G2754" s="20"/>
      <c r="H2754" s="19"/>
    </row>
    <row r="2755">
      <c r="A2755" s="9"/>
      <c r="B2755" s="15"/>
      <c r="C2755" s="9"/>
      <c r="D2755" s="15"/>
      <c r="E2755" s="16"/>
      <c r="F2755" s="19"/>
      <c r="G2755" s="20"/>
      <c r="H2755" s="19"/>
    </row>
    <row r="2756">
      <c r="A2756" s="9"/>
      <c r="B2756" s="15"/>
      <c r="C2756" s="9"/>
      <c r="D2756" s="15"/>
      <c r="E2756" s="16"/>
      <c r="F2756" s="19"/>
      <c r="G2756" s="20"/>
      <c r="H2756" s="19"/>
    </row>
    <row r="2757">
      <c r="A2757" s="9"/>
      <c r="B2757" s="15"/>
      <c r="C2757" s="9"/>
      <c r="D2757" s="15"/>
      <c r="E2757" s="16"/>
      <c r="F2757" s="19"/>
      <c r="G2757" s="20"/>
      <c r="H2757" s="19"/>
    </row>
    <row r="2758">
      <c r="A2758" s="9"/>
      <c r="B2758" s="15"/>
      <c r="C2758" s="9"/>
      <c r="D2758" s="15"/>
      <c r="E2758" s="16"/>
      <c r="F2758" s="19"/>
      <c r="G2758" s="20"/>
      <c r="H2758" s="19"/>
    </row>
    <row r="2759">
      <c r="A2759" s="9"/>
      <c r="B2759" s="15"/>
      <c r="C2759" s="9"/>
      <c r="D2759" s="15"/>
      <c r="E2759" s="16"/>
      <c r="F2759" s="19"/>
      <c r="G2759" s="20"/>
      <c r="H2759" s="19"/>
    </row>
    <row r="2760">
      <c r="A2760" s="9"/>
      <c r="B2760" s="15"/>
      <c r="C2760" s="9"/>
      <c r="D2760" s="15"/>
      <c r="E2760" s="16"/>
      <c r="F2760" s="19"/>
      <c r="G2760" s="20"/>
      <c r="H2760" s="19"/>
    </row>
    <row r="2761">
      <c r="A2761" s="9"/>
      <c r="B2761" s="15"/>
      <c r="C2761" s="9"/>
      <c r="D2761" s="15"/>
      <c r="E2761" s="16"/>
      <c r="F2761" s="19"/>
      <c r="G2761" s="20"/>
      <c r="H2761" s="19"/>
    </row>
    <row r="2762">
      <c r="A2762" s="9"/>
      <c r="B2762" s="15"/>
      <c r="C2762" s="9"/>
      <c r="D2762" s="15"/>
      <c r="E2762" s="16"/>
      <c r="F2762" s="19"/>
      <c r="G2762" s="20"/>
      <c r="H2762" s="19"/>
    </row>
    <row r="2763">
      <c r="A2763" s="9"/>
      <c r="B2763" s="15"/>
      <c r="C2763" s="9"/>
      <c r="D2763" s="15"/>
      <c r="E2763" s="16"/>
      <c r="F2763" s="19"/>
      <c r="G2763" s="20"/>
      <c r="H2763" s="19"/>
    </row>
    <row r="2764">
      <c r="A2764" s="9"/>
      <c r="B2764" s="15"/>
      <c r="C2764" s="9"/>
      <c r="D2764" s="15"/>
      <c r="E2764" s="16"/>
      <c r="F2764" s="19"/>
      <c r="G2764" s="20"/>
      <c r="H2764" s="19"/>
    </row>
    <row r="2765">
      <c r="A2765" s="9"/>
      <c r="B2765" s="15"/>
      <c r="C2765" s="9"/>
      <c r="D2765" s="15"/>
      <c r="E2765" s="16"/>
      <c r="F2765" s="19"/>
      <c r="G2765" s="20"/>
      <c r="H2765" s="19"/>
    </row>
    <row r="2766">
      <c r="A2766" s="9"/>
      <c r="B2766" s="15"/>
      <c r="C2766" s="9"/>
      <c r="D2766" s="15"/>
      <c r="E2766" s="16"/>
      <c r="F2766" s="19"/>
      <c r="G2766" s="20"/>
      <c r="H2766" s="19"/>
    </row>
    <row r="2767">
      <c r="A2767" s="9"/>
      <c r="B2767" s="15"/>
      <c r="C2767" s="9"/>
      <c r="D2767" s="15"/>
      <c r="E2767" s="16"/>
      <c r="F2767" s="19"/>
      <c r="G2767" s="20"/>
      <c r="H2767" s="19"/>
    </row>
    <row r="2768">
      <c r="A2768" s="9"/>
      <c r="B2768" s="15"/>
      <c r="C2768" s="9"/>
      <c r="D2768" s="15"/>
      <c r="E2768" s="16"/>
      <c r="F2768" s="19"/>
      <c r="G2768" s="20"/>
      <c r="H2768" s="19"/>
    </row>
    <row r="2769">
      <c r="A2769" s="9"/>
      <c r="B2769" s="15"/>
      <c r="C2769" s="9"/>
      <c r="D2769" s="15"/>
      <c r="E2769" s="16"/>
      <c r="F2769" s="19"/>
      <c r="G2769" s="20"/>
      <c r="H2769" s="19"/>
    </row>
    <row r="2770">
      <c r="A2770" s="9"/>
      <c r="B2770" s="15"/>
      <c r="C2770" s="9"/>
      <c r="D2770" s="15"/>
      <c r="E2770" s="16"/>
      <c r="F2770" s="19"/>
      <c r="G2770" s="20"/>
      <c r="H2770" s="19"/>
    </row>
    <row r="2771">
      <c r="A2771" s="9"/>
      <c r="B2771" s="15"/>
      <c r="C2771" s="9"/>
      <c r="D2771" s="15"/>
      <c r="E2771" s="16"/>
      <c r="F2771" s="19"/>
      <c r="G2771" s="20"/>
      <c r="H2771" s="19"/>
    </row>
    <row r="2772">
      <c r="A2772" s="9"/>
      <c r="B2772" s="15"/>
      <c r="C2772" s="9"/>
      <c r="D2772" s="15"/>
      <c r="E2772" s="16"/>
      <c r="F2772" s="19"/>
      <c r="G2772" s="20"/>
      <c r="H2772" s="19"/>
    </row>
    <row r="2773">
      <c r="A2773" s="9"/>
      <c r="B2773" s="15"/>
      <c r="C2773" s="9"/>
      <c r="D2773" s="15"/>
      <c r="E2773" s="16"/>
      <c r="F2773" s="19"/>
      <c r="G2773" s="20"/>
      <c r="H2773" s="19"/>
    </row>
    <row r="2774">
      <c r="A2774" s="9"/>
      <c r="B2774" s="15"/>
      <c r="C2774" s="9"/>
      <c r="D2774" s="15"/>
      <c r="E2774" s="16"/>
      <c r="F2774" s="19"/>
      <c r="G2774" s="20"/>
      <c r="H2774" s="19"/>
    </row>
    <row r="2775">
      <c r="A2775" s="9"/>
      <c r="B2775" s="15"/>
      <c r="C2775" s="9"/>
      <c r="D2775" s="15"/>
      <c r="E2775" s="16"/>
      <c r="F2775" s="19"/>
      <c r="G2775" s="20"/>
      <c r="H2775" s="19"/>
    </row>
    <row r="2776">
      <c r="A2776" s="9"/>
      <c r="B2776" s="15"/>
      <c r="C2776" s="9"/>
      <c r="D2776" s="15"/>
      <c r="E2776" s="16"/>
      <c r="F2776" s="19"/>
      <c r="G2776" s="20"/>
      <c r="H2776" s="19"/>
    </row>
    <row r="2777">
      <c r="A2777" s="9"/>
      <c r="B2777" s="15"/>
      <c r="C2777" s="9"/>
      <c r="D2777" s="15"/>
      <c r="E2777" s="16"/>
      <c r="F2777" s="19"/>
      <c r="G2777" s="20"/>
      <c r="H2777" s="19"/>
    </row>
    <row r="2778">
      <c r="A2778" s="9"/>
      <c r="B2778" s="15"/>
      <c r="C2778" s="9"/>
      <c r="D2778" s="15"/>
      <c r="E2778" s="16"/>
      <c r="F2778" s="19"/>
      <c r="G2778" s="20"/>
      <c r="H2778" s="19"/>
    </row>
    <row r="2779">
      <c r="A2779" s="9"/>
      <c r="B2779" s="15"/>
      <c r="C2779" s="9"/>
      <c r="D2779" s="15"/>
      <c r="E2779" s="16"/>
      <c r="F2779" s="19"/>
      <c r="G2779" s="20"/>
      <c r="H2779" s="19"/>
    </row>
    <row r="2780">
      <c r="A2780" s="9"/>
      <c r="B2780" s="15"/>
      <c r="C2780" s="9"/>
      <c r="D2780" s="15"/>
      <c r="E2780" s="16"/>
      <c r="F2780" s="19"/>
      <c r="G2780" s="20"/>
      <c r="H2780" s="19"/>
    </row>
    <row r="2781">
      <c r="A2781" s="9"/>
      <c r="B2781" s="15"/>
      <c r="C2781" s="9"/>
      <c r="D2781" s="15"/>
      <c r="E2781" s="16"/>
      <c r="F2781" s="19"/>
      <c r="G2781" s="20"/>
      <c r="H2781" s="19"/>
    </row>
    <row r="2782">
      <c r="A2782" s="9"/>
      <c r="B2782" s="15"/>
      <c r="C2782" s="9"/>
      <c r="D2782" s="15"/>
      <c r="E2782" s="16"/>
      <c r="F2782" s="19"/>
      <c r="G2782" s="20"/>
      <c r="H2782" s="19"/>
    </row>
    <row r="2783">
      <c r="A2783" s="9"/>
      <c r="B2783" s="15"/>
      <c r="C2783" s="9"/>
      <c r="D2783" s="15"/>
      <c r="E2783" s="16"/>
      <c r="F2783" s="19"/>
      <c r="G2783" s="20"/>
      <c r="H2783" s="19"/>
    </row>
    <row r="2784">
      <c r="A2784" s="9"/>
      <c r="B2784" s="15"/>
      <c r="C2784" s="9"/>
      <c r="D2784" s="15"/>
      <c r="E2784" s="16"/>
      <c r="F2784" s="19"/>
      <c r="G2784" s="20"/>
      <c r="H2784" s="19"/>
    </row>
    <row r="2785">
      <c r="A2785" s="9"/>
      <c r="B2785" s="15"/>
      <c r="C2785" s="9"/>
      <c r="D2785" s="15"/>
      <c r="E2785" s="16"/>
      <c r="F2785" s="19"/>
      <c r="G2785" s="20"/>
      <c r="H2785" s="19"/>
    </row>
    <row r="2786">
      <c r="A2786" s="9"/>
      <c r="B2786" s="15"/>
      <c r="C2786" s="9"/>
      <c r="D2786" s="15"/>
      <c r="E2786" s="16"/>
      <c r="F2786" s="19"/>
      <c r="G2786" s="20"/>
      <c r="H2786" s="19"/>
    </row>
    <row r="2787">
      <c r="A2787" s="9"/>
      <c r="B2787" s="15"/>
      <c r="C2787" s="9"/>
      <c r="D2787" s="15"/>
      <c r="E2787" s="16"/>
      <c r="F2787" s="19"/>
      <c r="G2787" s="20"/>
      <c r="H2787" s="19"/>
    </row>
    <row r="2788">
      <c r="A2788" s="9"/>
      <c r="B2788" s="15"/>
      <c r="C2788" s="9"/>
      <c r="D2788" s="15"/>
      <c r="E2788" s="16"/>
      <c r="F2788" s="19"/>
      <c r="G2788" s="20"/>
      <c r="H2788" s="19"/>
    </row>
    <row r="2789">
      <c r="A2789" s="9"/>
      <c r="B2789" s="15"/>
      <c r="C2789" s="9"/>
      <c r="D2789" s="15"/>
      <c r="E2789" s="16"/>
      <c r="F2789" s="19"/>
      <c r="G2789" s="20"/>
      <c r="H2789" s="19"/>
    </row>
    <row r="2790">
      <c r="A2790" s="9"/>
      <c r="B2790" s="15"/>
      <c r="C2790" s="9"/>
      <c r="D2790" s="15"/>
      <c r="E2790" s="16"/>
      <c r="F2790" s="19"/>
      <c r="G2790" s="20"/>
      <c r="H2790" s="19"/>
    </row>
    <row r="2791">
      <c r="A2791" s="9"/>
      <c r="B2791" s="15"/>
      <c r="C2791" s="9"/>
      <c r="D2791" s="15"/>
      <c r="E2791" s="16"/>
      <c r="F2791" s="19"/>
      <c r="G2791" s="20"/>
      <c r="H2791" s="19"/>
    </row>
    <row r="2792">
      <c r="A2792" s="9"/>
      <c r="B2792" s="15"/>
      <c r="C2792" s="9"/>
      <c r="D2792" s="15"/>
      <c r="E2792" s="16"/>
      <c r="F2792" s="19"/>
      <c r="G2792" s="20"/>
      <c r="H2792" s="19"/>
    </row>
    <row r="2793">
      <c r="A2793" s="9"/>
      <c r="B2793" s="15"/>
      <c r="C2793" s="9"/>
      <c r="D2793" s="15"/>
      <c r="E2793" s="16"/>
      <c r="F2793" s="19"/>
      <c r="G2793" s="20"/>
      <c r="H2793" s="19"/>
    </row>
    <row r="2794">
      <c r="A2794" s="9"/>
      <c r="B2794" s="15"/>
      <c r="C2794" s="9"/>
      <c r="D2794" s="15"/>
      <c r="E2794" s="16"/>
      <c r="F2794" s="19"/>
      <c r="G2794" s="20"/>
      <c r="H2794" s="19"/>
    </row>
    <row r="2795">
      <c r="A2795" s="9"/>
      <c r="B2795" s="15"/>
      <c r="C2795" s="9"/>
      <c r="D2795" s="15"/>
      <c r="E2795" s="16"/>
      <c r="F2795" s="19"/>
      <c r="G2795" s="20"/>
      <c r="H2795" s="19"/>
    </row>
    <row r="2796">
      <c r="A2796" s="9"/>
      <c r="B2796" s="15"/>
      <c r="C2796" s="9"/>
      <c r="D2796" s="15"/>
      <c r="E2796" s="16"/>
      <c r="F2796" s="19"/>
      <c r="G2796" s="20"/>
      <c r="H2796" s="19"/>
    </row>
    <row r="2797">
      <c r="A2797" s="9"/>
      <c r="B2797" s="15"/>
      <c r="C2797" s="9"/>
      <c r="D2797" s="15"/>
      <c r="E2797" s="16"/>
      <c r="F2797" s="19"/>
      <c r="G2797" s="20"/>
      <c r="H2797" s="19"/>
    </row>
    <row r="2798">
      <c r="A2798" s="9"/>
      <c r="B2798" s="15"/>
      <c r="C2798" s="9"/>
      <c r="D2798" s="15"/>
      <c r="E2798" s="16"/>
      <c r="F2798" s="19"/>
      <c r="G2798" s="20"/>
      <c r="H2798" s="19"/>
    </row>
    <row r="2799">
      <c r="A2799" s="9"/>
      <c r="B2799" s="15"/>
      <c r="C2799" s="9"/>
      <c r="D2799" s="15"/>
      <c r="E2799" s="16"/>
      <c r="F2799" s="19"/>
      <c r="G2799" s="20"/>
      <c r="H2799" s="19"/>
    </row>
    <row r="2800">
      <c r="A2800" s="9"/>
      <c r="B2800" s="15"/>
      <c r="C2800" s="9"/>
      <c r="D2800" s="15"/>
      <c r="E2800" s="16"/>
      <c r="F2800" s="19"/>
      <c r="G2800" s="20"/>
      <c r="H2800" s="19"/>
    </row>
    <row r="2801">
      <c r="A2801" s="9"/>
      <c r="B2801" s="15"/>
      <c r="C2801" s="9"/>
      <c r="D2801" s="15"/>
      <c r="E2801" s="16"/>
      <c r="F2801" s="19"/>
      <c r="G2801" s="20"/>
      <c r="H2801" s="19"/>
    </row>
    <row r="2802">
      <c r="A2802" s="9"/>
      <c r="B2802" s="15"/>
      <c r="C2802" s="9"/>
      <c r="D2802" s="15"/>
      <c r="E2802" s="16"/>
      <c r="F2802" s="19"/>
      <c r="G2802" s="20"/>
      <c r="H2802" s="19"/>
    </row>
    <row r="2803">
      <c r="A2803" s="9"/>
      <c r="B2803" s="15"/>
      <c r="C2803" s="9"/>
      <c r="D2803" s="15"/>
      <c r="E2803" s="16"/>
      <c r="F2803" s="19"/>
      <c r="G2803" s="20"/>
      <c r="H2803" s="19"/>
    </row>
    <row r="2804">
      <c r="A2804" s="9"/>
      <c r="B2804" s="15"/>
      <c r="C2804" s="9"/>
      <c r="D2804" s="15"/>
      <c r="E2804" s="16"/>
      <c r="F2804" s="19"/>
      <c r="G2804" s="20"/>
      <c r="H2804" s="19"/>
    </row>
    <row r="2805">
      <c r="A2805" s="9"/>
      <c r="B2805" s="15"/>
      <c r="C2805" s="9"/>
      <c r="D2805" s="15"/>
      <c r="E2805" s="16"/>
      <c r="F2805" s="19"/>
      <c r="G2805" s="20"/>
      <c r="H2805" s="19"/>
    </row>
    <row r="2806">
      <c r="A2806" s="9"/>
      <c r="B2806" s="15"/>
      <c r="C2806" s="9"/>
      <c r="D2806" s="15"/>
      <c r="E2806" s="16"/>
      <c r="F2806" s="19"/>
      <c r="G2806" s="20"/>
      <c r="H2806" s="19"/>
    </row>
    <row r="2807">
      <c r="A2807" s="9"/>
      <c r="B2807" s="15"/>
      <c r="C2807" s="9"/>
      <c r="D2807" s="15"/>
      <c r="E2807" s="16"/>
      <c r="F2807" s="19"/>
      <c r="G2807" s="20"/>
      <c r="H2807" s="19"/>
    </row>
    <row r="2808">
      <c r="A2808" s="9"/>
      <c r="B2808" s="15"/>
      <c r="C2808" s="9"/>
      <c r="D2808" s="15"/>
      <c r="E2808" s="16"/>
      <c r="F2808" s="19"/>
      <c r="G2808" s="20"/>
      <c r="H2808" s="19"/>
    </row>
    <row r="2809">
      <c r="A2809" s="9"/>
      <c r="B2809" s="15"/>
      <c r="C2809" s="9"/>
      <c r="D2809" s="15"/>
      <c r="E2809" s="16"/>
      <c r="F2809" s="19"/>
      <c r="G2809" s="20"/>
      <c r="H2809" s="19"/>
    </row>
    <row r="2810">
      <c r="A2810" s="9"/>
      <c r="B2810" s="15"/>
      <c r="C2810" s="9"/>
      <c r="D2810" s="15"/>
      <c r="E2810" s="16"/>
      <c r="F2810" s="19"/>
      <c r="G2810" s="20"/>
      <c r="H2810" s="19"/>
    </row>
    <row r="2811">
      <c r="A2811" s="9"/>
      <c r="B2811" s="15"/>
      <c r="C2811" s="9"/>
      <c r="D2811" s="15"/>
      <c r="E2811" s="16"/>
      <c r="F2811" s="19"/>
      <c r="G2811" s="20"/>
      <c r="H2811" s="19"/>
    </row>
    <row r="2812">
      <c r="A2812" s="9"/>
      <c r="B2812" s="15"/>
      <c r="C2812" s="9"/>
      <c r="D2812" s="15"/>
      <c r="E2812" s="16"/>
      <c r="F2812" s="19"/>
      <c r="G2812" s="20"/>
      <c r="H2812" s="19"/>
    </row>
    <row r="2813">
      <c r="A2813" s="9"/>
      <c r="B2813" s="15"/>
      <c r="C2813" s="9"/>
      <c r="D2813" s="15"/>
      <c r="E2813" s="16"/>
      <c r="F2813" s="19"/>
      <c r="G2813" s="20"/>
      <c r="H2813" s="19"/>
    </row>
    <row r="2814">
      <c r="A2814" s="9"/>
      <c r="B2814" s="15"/>
      <c r="C2814" s="9"/>
      <c r="D2814" s="15"/>
      <c r="E2814" s="16"/>
      <c r="F2814" s="19"/>
      <c r="G2814" s="20"/>
      <c r="H2814" s="19"/>
    </row>
    <row r="2815">
      <c r="A2815" s="9"/>
      <c r="B2815" s="15"/>
      <c r="C2815" s="9"/>
      <c r="D2815" s="15"/>
      <c r="E2815" s="16"/>
      <c r="F2815" s="19"/>
      <c r="G2815" s="20"/>
      <c r="H2815" s="19"/>
    </row>
    <row r="2816">
      <c r="A2816" s="9"/>
      <c r="B2816" s="15"/>
      <c r="C2816" s="9"/>
      <c r="D2816" s="15"/>
      <c r="E2816" s="16"/>
      <c r="F2816" s="19"/>
      <c r="G2816" s="20"/>
      <c r="H2816" s="19"/>
    </row>
    <row r="2817">
      <c r="A2817" s="9"/>
      <c r="B2817" s="15"/>
      <c r="C2817" s="9"/>
      <c r="D2817" s="15"/>
      <c r="E2817" s="16"/>
      <c r="F2817" s="19"/>
      <c r="G2817" s="20"/>
      <c r="H2817" s="19"/>
    </row>
    <row r="2818">
      <c r="A2818" s="9"/>
      <c r="B2818" s="15"/>
      <c r="C2818" s="9"/>
      <c r="D2818" s="15"/>
      <c r="E2818" s="16"/>
      <c r="F2818" s="19"/>
      <c r="G2818" s="20"/>
      <c r="H2818" s="19"/>
    </row>
    <row r="2819">
      <c r="A2819" s="9"/>
      <c r="B2819" s="15"/>
      <c r="C2819" s="9"/>
      <c r="D2819" s="15"/>
      <c r="E2819" s="16"/>
      <c r="F2819" s="19"/>
      <c r="G2819" s="20"/>
      <c r="H2819" s="19"/>
    </row>
    <row r="2820">
      <c r="A2820" s="9"/>
      <c r="B2820" s="15"/>
      <c r="C2820" s="9"/>
      <c r="D2820" s="15"/>
      <c r="E2820" s="16"/>
      <c r="F2820" s="19"/>
      <c r="G2820" s="20"/>
      <c r="H2820" s="19"/>
    </row>
    <row r="2821">
      <c r="A2821" s="9"/>
      <c r="B2821" s="15"/>
      <c r="C2821" s="9"/>
      <c r="D2821" s="15"/>
      <c r="E2821" s="16"/>
      <c r="F2821" s="19"/>
      <c r="G2821" s="20"/>
      <c r="H2821" s="19"/>
    </row>
    <row r="2822">
      <c r="A2822" s="9"/>
      <c r="B2822" s="15"/>
      <c r="C2822" s="9"/>
      <c r="D2822" s="15"/>
      <c r="E2822" s="16"/>
      <c r="F2822" s="19"/>
      <c r="G2822" s="20"/>
      <c r="H2822" s="19"/>
    </row>
    <row r="2823">
      <c r="A2823" s="9"/>
      <c r="B2823" s="15"/>
      <c r="C2823" s="9"/>
      <c r="D2823" s="15"/>
      <c r="E2823" s="16"/>
      <c r="F2823" s="19"/>
      <c r="G2823" s="20"/>
      <c r="H2823" s="19"/>
    </row>
    <row r="2824">
      <c r="A2824" s="9"/>
      <c r="B2824" s="15"/>
      <c r="C2824" s="9"/>
      <c r="D2824" s="15"/>
      <c r="E2824" s="16"/>
      <c r="F2824" s="19"/>
      <c r="G2824" s="20"/>
      <c r="H2824" s="19"/>
    </row>
    <row r="2825">
      <c r="A2825" s="9"/>
      <c r="B2825" s="15"/>
      <c r="C2825" s="9"/>
      <c r="D2825" s="15"/>
      <c r="E2825" s="16"/>
      <c r="F2825" s="19"/>
      <c r="G2825" s="20"/>
      <c r="H2825" s="19"/>
    </row>
    <row r="2826">
      <c r="A2826" s="9"/>
      <c r="B2826" s="15"/>
      <c r="C2826" s="9"/>
      <c r="D2826" s="15"/>
      <c r="E2826" s="16"/>
      <c r="F2826" s="19"/>
      <c r="G2826" s="20"/>
      <c r="H2826" s="19"/>
    </row>
    <row r="2827">
      <c r="A2827" s="9"/>
      <c r="B2827" s="15"/>
      <c r="C2827" s="9"/>
      <c r="D2827" s="15"/>
      <c r="E2827" s="16"/>
      <c r="F2827" s="19"/>
      <c r="G2827" s="20"/>
      <c r="H2827" s="19"/>
    </row>
    <row r="2828">
      <c r="A2828" s="9"/>
      <c r="B2828" s="15"/>
      <c r="C2828" s="9"/>
      <c r="D2828" s="15"/>
      <c r="E2828" s="16"/>
      <c r="F2828" s="19"/>
      <c r="G2828" s="20"/>
      <c r="H2828" s="19"/>
    </row>
    <row r="2829">
      <c r="A2829" s="9"/>
      <c r="B2829" s="15"/>
      <c r="C2829" s="9"/>
      <c r="D2829" s="15"/>
      <c r="E2829" s="16"/>
      <c r="F2829" s="19"/>
      <c r="G2829" s="20"/>
      <c r="H2829" s="19"/>
    </row>
    <row r="2830">
      <c r="A2830" s="9"/>
      <c r="B2830" s="15"/>
      <c r="C2830" s="9"/>
      <c r="D2830" s="15"/>
      <c r="E2830" s="16"/>
      <c r="F2830" s="19"/>
      <c r="G2830" s="20"/>
      <c r="H2830" s="19"/>
    </row>
    <row r="2831">
      <c r="A2831" s="9"/>
      <c r="B2831" s="15"/>
      <c r="C2831" s="9"/>
      <c r="D2831" s="15"/>
      <c r="E2831" s="16"/>
      <c r="F2831" s="19"/>
      <c r="G2831" s="20"/>
      <c r="H2831" s="19"/>
    </row>
    <row r="2832">
      <c r="A2832" s="9"/>
      <c r="B2832" s="15"/>
      <c r="C2832" s="9"/>
      <c r="D2832" s="15"/>
      <c r="E2832" s="16"/>
      <c r="F2832" s="19"/>
      <c r="G2832" s="20"/>
      <c r="H2832" s="19"/>
    </row>
    <row r="2833">
      <c r="A2833" s="9"/>
      <c r="B2833" s="15"/>
      <c r="C2833" s="9"/>
      <c r="D2833" s="15"/>
      <c r="E2833" s="16"/>
      <c r="F2833" s="19"/>
      <c r="G2833" s="20"/>
      <c r="H2833" s="19"/>
    </row>
    <row r="2834">
      <c r="A2834" s="9"/>
      <c r="B2834" s="15"/>
      <c r="C2834" s="9"/>
      <c r="D2834" s="15"/>
      <c r="E2834" s="16"/>
      <c r="F2834" s="19"/>
      <c r="G2834" s="20"/>
      <c r="H2834" s="19"/>
    </row>
    <row r="2835">
      <c r="A2835" s="9"/>
      <c r="B2835" s="15"/>
      <c r="C2835" s="9"/>
      <c r="D2835" s="15"/>
      <c r="E2835" s="16"/>
      <c r="F2835" s="19"/>
      <c r="G2835" s="20"/>
      <c r="H2835" s="19"/>
    </row>
    <row r="2836">
      <c r="A2836" s="9"/>
      <c r="B2836" s="15"/>
      <c r="C2836" s="9"/>
      <c r="D2836" s="15"/>
      <c r="E2836" s="16"/>
      <c r="F2836" s="19"/>
      <c r="G2836" s="20"/>
      <c r="H2836" s="19"/>
    </row>
    <row r="2837">
      <c r="A2837" s="9"/>
      <c r="B2837" s="15"/>
      <c r="C2837" s="9"/>
      <c r="D2837" s="15"/>
      <c r="E2837" s="16"/>
      <c r="F2837" s="19"/>
      <c r="G2837" s="20"/>
      <c r="H2837" s="19"/>
    </row>
    <row r="2838">
      <c r="A2838" s="9"/>
      <c r="B2838" s="15"/>
      <c r="C2838" s="9"/>
      <c r="D2838" s="15"/>
      <c r="E2838" s="16"/>
      <c r="F2838" s="19"/>
      <c r="G2838" s="20"/>
      <c r="H2838" s="19"/>
    </row>
    <row r="2839">
      <c r="A2839" s="9"/>
      <c r="B2839" s="15"/>
      <c r="C2839" s="9"/>
      <c r="D2839" s="15"/>
      <c r="E2839" s="16"/>
      <c r="F2839" s="19"/>
      <c r="G2839" s="20"/>
      <c r="H2839" s="19"/>
    </row>
    <row r="2840">
      <c r="A2840" s="9"/>
      <c r="B2840" s="15"/>
      <c r="C2840" s="9"/>
      <c r="D2840" s="15"/>
      <c r="E2840" s="16"/>
      <c r="F2840" s="19"/>
      <c r="G2840" s="20"/>
      <c r="H2840" s="19"/>
    </row>
    <row r="2841">
      <c r="A2841" s="9"/>
      <c r="B2841" s="15"/>
      <c r="C2841" s="9"/>
      <c r="D2841" s="15"/>
      <c r="E2841" s="16"/>
      <c r="F2841" s="19"/>
      <c r="G2841" s="20"/>
      <c r="H2841" s="19"/>
    </row>
    <row r="2842">
      <c r="A2842" s="9"/>
      <c r="B2842" s="15"/>
      <c r="C2842" s="9"/>
      <c r="D2842" s="15"/>
      <c r="E2842" s="16"/>
      <c r="F2842" s="19"/>
      <c r="G2842" s="20"/>
      <c r="H2842" s="19"/>
    </row>
    <row r="2843">
      <c r="A2843" s="9"/>
      <c r="B2843" s="15"/>
      <c r="C2843" s="9"/>
      <c r="D2843" s="15"/>
      <c r="E2843" s="16"/>
      <c r="F2843" s="19"/>
      <c r="G2843" s="20"/>
      <c r="H2843" s="19"/>
    </row>
    <row r="2844">
      <c r="A2844" s="9"/>
      <c r="B2844" s="15"/>
      <c r="C2844" s="9"/>
      <c r="D2844" s="15"/>
      <c r="E2844" s="16"/>
      <c r="F2844" s="19"/>
      <c r="G2844" s="20"/>
      <c r="H2844" s="19"/>
    </row>
    <row r="2845">
      <c r="A2845" s="9"/>
      <c r="B2845" s="15"/>
      <c r="C2845" s="9"/>
      <c r="D2845" s="15"/>
      <c r="E2845" s="16"/>
      <c r="F2845" s="19"/>
      <c r="G2845" s="20"/>
      <c r="H2845" s="19"/>
    </row>
    <row r="2846">
      <c r="A2846" s="9"/>
      <c r="B2846" s="15"/>
      <c r="C2846" s="9"/>
      <c r="D2846" s="15"/>
      <c r="E2846" s="16"/>
      <c r="F2846" s="19"/>
      <c r="G2846" s="20"/>
      <c r="H2846" s="19"/>
    </row>
    <row r="2847">
      <c r="A2847" s="9"/>
      <c r="B2847" s="15"/>
      <c r="C2847" s="9"/>
      <c r="D2847" s="15"/>
      <c r="E2847" s="16"/>
      <c r="F2847" s="19"/>
      <c r="G2847" s="20"/>
      <c r="H2847" s="19"/>
    </row>
    <row r="2848">
      <c r="A2848" s="9"/>
      <c r="B2848" s="15"/>
      <c r="C2848" s="9"/>
      <c r="D2848" s="15"/>
      <c r="E2848" s="16"/>
      <c r="F2848" s="19"/>
      <c r="G2848" s="20"/>
      <c r="H2848" s="19"/>
    </row>
    <row r="2849">
      <c r="A2849" s="9"/>
      <c r="B2849" s="15"/>
      <c r="C2849" s="9"/>
      <c r="D2849" s="15"/>
      <c r="E2849" s="16"/>
      <c r="F2849" s="19"/>
      <c r="G2849" s="20"/>
      <c r="H2849" s="19"/>
    </row>
    <row r="2850">
      <c r="A2850" s="9"/>
      <c r="B2850" s="15"/>
      <c r="C2850" s="9"/>
      <c r="D2850" s="15"/>
      <c r="E2850" s="16"/>
      <c r="F2850" s="19"/>
      <c r="G2850" s="20"/>
      <c r="H2850" s="19"/>
    </row>
    <row r="2851">
      <c r="A2851" s="9"/>
      <c r="B2851" s="15"/>
      <c r="C2851" s="9"/>
      <c r="D2851" s="15"/>
      <c r="E2851" s="16"/>
      <c r="F2851" s="19"/>
      <c r="G2851" s="20"/>
      <c r="H2851" s="19"/>
    </row>
    <row r="2852">
      <c r="A2852" s="9"/>
      <c r="B2852" s="15"/>
      <c r="C2852" s="9"/>
      <c r="D2852" s="15"/>
      <c r="E2852" s="16"/>
      <c r="F2852" s="19"/>
      <c r="G2852" s="20"/>
      <c r="H2852" s="19"/>
    </row>
    <row r="2853">
      <c r="A2853" s="9"/>
      <c r="B2853" s="15"/>
      <c r="C2853" s="9"/>
      <c r="D2853" s="15"/>
      <c r="E2853" s="16"/>
      <c r="F2853" s="19"/>
      <c r="G2853" s="20"/>
      <c r="H2853" s="19"/>
    </row>
    <row r="2854">
      <c r="A2854" s="9"/>
      <c r="B2854" s="15"/>
      <c r="C2854" s="9"/>
      <c r="D2854" s="15"/>
      <c r="E2854" s="16"/>
      <c r="F2854" s="19"/>
      <c r="G2854" s="20"/>
      <c r="H2854" s="19"/>
    </row>
    <row r="2855">
      <c r="A2855" s="9"/>
      <c r="B2855" s="15"/>
      <c r="C2855" s="9"/>
      <c r="D2855" s="15"/>
      <c r="E2855" s="16"/>
      <c r="F2855" s="19"/>
      <c r="G2855" s="20"/>
      <c r="H2855" s="19"/>
    </row>
    <row r="2856">
      <c r="A2856" s="9"/>
      <c r="B2856" s="15"/>
      <c r="C2856" s="9"/>
      <c r="D2856" s="15"/>
      <c r="E2856" s="16"/>
      <c r="F2856" s="19"/>
      <c r="G2856" s="20"/>
      <c r="H2856" s="19"/>
    </row>
    <row r="2857">
      <c r="A2857" s="9"/>
      <c r="B2857" s="15"/>
      <c r="C2857" s="9"/>
      <c r="D2857" s="15"/>
      <c r="E2857" s="16"/>
      <c r="F2857" s="19"/>
      <c r="G2857" s="20"/>
      <c r="H2857" s="19"/>
    </row>
    <row r="2858">
      <c r="A2858" s="9"/>
      <c r="B2858" s="15"/>
      <c r="C2858" s="9"/>
      <c r="D2858" s="15"/>
      <c r="E2858" s="16"/>
      <c r="F2858" s="19"/>
      <c r="G2858" s="20"/>
      <c r="H2858" s="19"/>
    </row>
    <row r="2859">
      <c r="A2859" s="9"/>
      <c r="B2859" s="15"/>
      <c r="C2859" s="9"/>
      <c r="D2859" s="15"/>
      <c r="E2859" s="16"/>
      <c r="F2859" s="19"/>
      <c r="G2859" s="20"/>
      <c r="H2859" s="19"/>
    </row>
    <row r="2860">
      <c r="A2860" s="9"/>
      <c r="B2860" s="15"/>
      <c r="C2860" s="9"/>
      <c r="D2860" s="15"/>
      <c r="E2860" s="16"/>
      <c r="F2860" s="19"/>
      <c r="G2860" s="20"/>
      <c r="H2860" s="19"/>
    </row>
    <row r="2861">
      <c r="A2861" s="9"/>
      <c r="B2861" s="15"/>
      <c r="C2861" s="9"/>
      <c r="D2861" s="15"/>
      <c r="E2861" s="16"/>
      <c r="F2861" s="19"/>
      <c r="G2861" s="20"/>
      <c r="H2861" s="19"/>
    </row>
    <row r="2862">
      <c r="A2862" s="9"/>
      <c r="B2862" s="15"/>
      <c r="C2862" s="9"/>
      <c r="D2862" s="15"/>
      <c r="E2862" s="16"/>
      <c r="F2862" s="19"/>
      <c r="G2862" s="20"/>
      <c r="H2862" s="19"/>
    </row>
    <row r="2863">
      <c r="A2863" s="9"/>
      <c r="B2863" s="15"/>
      <c r="C2863" s="9"/>
      <c r="D2863" s="15"/>
      <c r="E2863" s="16"/>
      <c r="F2863" s="19"/>
      <c r="G2863" s="20"/>
      <c r="H2863" s="19"/>
    </row>
    <row r="2864">
      <c r="A2864" s="9"/>
      <c r="B2864" s="15"/>
      <c r="C2864" s="9"/>
      <c r="D2864" s="15"/>
      <c r="E2864" s="16"/>
      <c r="F2864" s="19"/>
      <c r="G2864" s="20"/>
      <c r="H2864" s="19"/>
    </row>
    <row r="2865">
      <c r="A2865" s="9"/>
      <c r="B2865" s="15"/>
      <c r="C2865" s="9"/>
      <c r="D2865" s="15"/>
      <c r="E2865" s="16"/>
      <c r="F2865" s="19"/>
      <c r="G2865" s="20"/>
      <c r="H2865" s="19"/>
    </row>
    <row r="2866">
      <c r="A2866" s="9"/>
      <c r="B2866" s="15"/>
      <c r="C2866" s="9"/>
      <c r="D2866" s="15"/>
      <c r="E2866" s="16"/>
      <c r="F2866" s="19"/>
      <c r="G2866" s="20"/>
      <c r="H2866" s="19"/>
    </row>
    <row r="2867">
      <c r="A2867" s="9"/>
      <c r="B2867" s="15"/>
      <c r="C2867" s="9"/>
      <c r="D2867" s="15"/>
      <c r="E2867" s="16"/>
      <c r="F2867" s="19"/>
      <c r="G2867" s="20"/>
      <c r="H2867" s="19"/>
    </row>
    <row r="2868">
      <c r="A2868" s="9"/>
      <c r="B2868" s="15"/>
      <c r="C2868" s="9"/>
      <c r="D2868" s="15"/>
      <c r="E2868" s="16"/>
      <c r="F2868" s="19"/>
      <c r="G2868" s="20"/>
      <c r="H2868" s="19"/>
    </row>
    <row r="2869">
      <c r="A2869" s="9"/>
      <c r="B2869" s="15"/>
      <c r="C2869" s="9"/>
      <c r="D2869" s="15"/>
      <c r="E2869" s="16"/>
      <c r="F2869" s="19"/>
      <c r="G2869" s="20"/>
      <c r="H2869" s="19"/>
    </row>
    <row r="2870">
      <c r="A2870" s="9"/>
      <c r="B2870" s="15"/>
      <c r="C2870" s="9"/>
      <c r="D2870" s="15"/>
      <c r="E2870" s="16"/>
      <c r="F2870" s="19"/>
      <c r="G2870" s="20"/>
      <c r="H2870" s="19"/>
    </row>
    <row r="2871">
      <c r="A2871" s="9"/>
      <c r="B2871" s="15"/>
      <c r="C2871" s="9"/>
      <c r="D2871" s="15"/>
      <c r="E2871" s="16"/>
      <c r="F2871" s="19"/>
      <c r="G2871" s="20"/>
      <c r="H2871" s="19"/>
    </row>
    <row r="2872">
      <c r="A2872" s="9"/>
      <c r="B2872" s="15"/>
      <c r="C2872" s="9"/>
      <c r="D2872" s="15"/>
      <c r="E2872" s="16"/>
      <c r="F2872" s="19"/>
      <c r="G2872" s="20"/>
      <c r="H2872" s="19"/>
    </row>
    <row r="2873">
      <c r="A2873" s="9"/>
      <c r="B2873" s="15"/>
      <c r="C2873" s="9"/>
      <c r="D2873" s="15"/>
      <c r="E2873" s="16"/>
      <c r="F2873" s="19"/>
      <c r="G2873" s="20"/>
      <c r="H2873" s="19"/>
    </row>
    <row r="2874">
      <c r="A2874" s="9"/>
      <c r="B2874" s="15"/>
      <c r="C2874" s="9"/>
      <c r="D2874" s="15"/>
      <c r="E2874" s="16"/>
      <c r="F2874" s="19"/>
      <c r="G2874" s="20"/>
      <c r="H2874" s="19"/>
    </row>
    <row r="2875">
      <c r="A2875" s="9"/>
      <c r="B2875" s="15"/>
      <c r="C2875" s="9"/>
      <c r="D2875" s="15"/>
      <c r="E2875" s="16"/>
      <c r="F2875" s="19"/>
      <c r="G2875" s="20"/>
      <c r="H2875" s="19"/>
    </row>
    <row r="2876">
      <c r="A2876" s="9"/>
      <c r="B2876" s="15"/>
      <c r="C2876" s="9"/>
      <c r="D2876" s="15"/>
      <c r="E2876" s="16"/>
      <c r="F2876" s="19"/>
      <c r="G2876" s="20"/>
      <c r="H2876" s="19"/>
    </row>
    <row r="2877">
      <c r="A2877" s="9"/>
      <c r="B2877" s="15"/>
      <c r="C2877" s="9"/>
      <c r="D2877" s="15"/>
      <c r="E2877" s="16"/>
      <c r="F2877" s="19"/>
      <c r="G2877" s="20"/>
      <c r="H2877" s="19"/>
    </row>
    <row r="2878">
      <c r="A2878" s="9"/>
      <c r="B2878" s="15"/>
      <c r="C2878" s="9"/>
      <c r="D2878" s="15"/>
      <c r="E2878" s="16"/>
      <c r="F2878" s="19"/>
      <c r="G2878" s="20"/>
      <c r="H2878" s="19"/>
    </row>
    <row r="2879">
      <c r="A2879" s="9"/>
      <c r="B2879" s="15"/>
      <c r="C2879" s="9"/>
      <c r="D2879" s="15"/>
      <c r="E2879" s="16"/>
      <c r="F2879" s="19"/>
      <c r="G2879" s="20"/>
      <c r="H2879" s="19"/>
    </row>
    <row r="2880">
      <c r="A2880" s="9"/>
      <c r="B2880" s="15"/>
      <c r="C2880" s="9"/>
      <c r="D2880" s="15"/>
      <c r="E2880" s="16"/>
      <c r="F2880" s="19"/>
      <c r="G2880" s="20"/>
      <c r="H2880" s="19"/>
    </row>
    <row r="2881">
      <c r="A2881" s="9"/>
      <c r="B2881" s="15"/>
      <c r="C2881" s="9"/>
      <c r="D2881" s="15"/>
      <c r="E2881" s="16"/>
      <c r="F2881" s="19"/>
      <c r="G2881" s="20"/>
      <c r="H2881" s="19"/>
    </row>
    <row r="2882">
      <c r="A2882" s="9"/>
      <c r="B2882" s="15"/>
      <c r="C2882" s="9"/>
      <c r="D2882" s="15"/>
      <c r="E2882" s="16"/>
      <c r="F2882" s="19"/>
      <c r="G2882" s="20"/>
      <c r="H2882" s="19"/>
    </row>
    <row r="2883">
      <c r="A2883" s="9"/>
      <c r="B2883" s="15"/>
      <c r="C2883" s="9"/>
      <c r="D2883" s="15"/>
      <c r="E2883" s="16"/>
      <c r="F2883" s="19"/>
      <c r="G2883" s="20"/>
      <c r="H2883" s="19"/>
    </row>
    <row r="2884">
      <c r="A2884" s="9"/>
      <c r="B2884" s="15"/>
      <c r="C2884" s="9"/>
      <c r="D2884" s="15"/>
      <c r="E2884" s="16"/>
      <c r="F2884" s="19"/>
      <c r="G2884" s="20"/>
      <c r="H2884" s="19"/>
    </row>
    <row r="2885">
      <c r="A2885" s="9"/>
      <c r="B2885" s="15"/>
      <c r="C2885" s="9"/>
      <c r="D2885" s="15"/>
      <c r="E2885" s="16"/>
      <c r="F2885" s="19"/>
      <c r="G2885" s="20"/>
      <c r="H2885" s="19"/>
    </row>
    <row r="2886">
      <c r="A2886" s="9"/>
      <c r="B2886" s="15"/>
      <c r="C2886" s="9"/>
      <c r="D2886" s="15"/>
      <c r="E2886" s="16"/>
      <c r="F2886" s="19"/>
      <c r="G2886" s="20"/>
      <c r="H2886" s="19"/>
    </row>
    <row r="2887">
      <c r="A2887" s="9"/>
      <c r="B2887" s="15"/>
      <c r="C2887" s="9"/>
      <c r="D2887" s="15"/>
      <c r="E2887" s="16"/>
      <c r="F2887" s="19"/>
      <c r="G2887" s="20"/>
      <c r="H2887" s="19"/>
    </row>
    <row r="2888">
      <c r="A2888" s="9"/>
      <c r="B2888" s="15"/>
      <c r="C2888" s="9"/>
      <c r="D2888" s="15"/>
      <c r="E2888" s="16"/>
      <c r="F2888" s="19"/>
      <c r="G2888" s="20"/>
      <c r="H2888" s="19"/>
    </row>
    <row r="2889">
      <c r="A2889" s="9"/>
      <c r="B2889" s="15"/>
      <c r="C2889" s="9"/>
      <c r="D2889" s="15"/>
      <c r="E2889" s="16"/>
      <c r="F2889" s="19"/>
      <c r="G2889" s="20"/>
      <c r="H2889" s="19"/>
    </row>
    <row r="2890">
      <c r="A2890" s="9"/>
      <c r="B2890" s="15"/>
      <c r="C2890" s="9"/>
      <c r="D2890" s="15"/>
      <c r="E2890" s="16"/>
      <c r="F2890" s="19"/>
      <c r="G2890" s="20"/>
      <c r="H2890" s="19"/>
    </row>
    <row r="2891">
      <c r="A2891" s="9"/>
      <c r="B2891" s="15"/>
      <c r="C2891" s="9"/>
      <c r="D2891" s="15"/>
      <c r="E2891" s="16"/>
      <c r="F2891" s="19"/>
      <c r="G2891" s="20"/>
      <c r="H2891" s="19"/>
    </row>
    <row r="2892">
      <c r="A2892" s="9"/>
      <c r="B2892" s="15"/>
      <c r="C2892" s="9"/>
      <c r="D2892" s="15"/>
      <c r="E2892" s="16"/>
      <c r="F2892" s="19"/>
      <c r="G2892" s="20"/>
      <c r="H2892" s="19"/>
    </row>
    <row r="2893">
      <c r="A2893" s="9"/>
      <c r="B2893" s="15"/>
      <c r="C2893" s="9"/>
      <c r="D2893" s="15"/>
      <c r="E2893" s="16"/>
      <c r="F2893" s="19"/>
      <c r="G2893" s="20"/>
      <c r="H2893" s="19"/>
    </row>
    <row r="2894">
      <c r="A2894" s="9"/>
      <c r="B2894" s="15"/>
      <c r="C2894" s="9"/>
      <c r="D2894" s="15"/>
      <c r="E2894" s="16"/>
      <c r="F2894" s="19"/>
      <c r="G2894" s="20"/>
      <c r="H2894" s="19"/>
    </row>
    <row r="2895">
      <c r="A2895" s="9"/>
      <c r="B2895" s="15"/>
      <c r="C2895" s="9"/>
      <c r="D2895" s="15"/>
      <c r="E2895" s="16"/>
      <c r="F2895" s="19"/>
      <c r="G2895" s="20"/>
      <c r="H2895" s="19"/>
    </row>
    <row r="2896">
      <c r="A2896" s="9"/>
      <c r="B2896" s="15"/>
      <c r="C2896" s="9"/>
      <c r="D2896" s="15"/>
      <c r="E2896" s="16"/>
      <c r="F2896" s="19"/>
      <c r="G2896" s="20"/>
      <c r="H2896" s="19"/>
    </row>
    <row r="2897">
      <c r="A2897" s="9"/>
      <c r="B2897" s="15"/>
      <c r="C2897" s="9"/>
      <c r="D2897" s="15"/>
      <c r="E2897" s="16"/>
      <c r="F2897" s="19"/>
      <c r="G2897" s="20"/>
      <c r="H2897" s="19"/>
    </row>
    <row r="2898">
      <c r="A2898" s="9"/>
      <c r="B2898" s="15"/>
      <c r="C2898" s="9"/>
      <c r="D2898" s="15"/>
      <c r="E2898" s="16"/>
      <c r="F2898" s="19"/>
      <c r="G2898" s="20"/>
      <c r="H2898" s="19"/>
    </row>
    <row r="2899">
      <c r="A2899" s="9"/>
      <c r="B2899" s="15"/>
      <c r="C2899" s="9"/>
      <c r="D2899" s="15"/>
      <c r="E2899" s="16"/>
      <c r="F2899" s="19"/>
      <c r="G2899" s="20"/>
      <c r="H2899" s="19"/>
    </row>
    <row r="2900">
      <c r="A2900" s="9"/>
      <c r="B2900" s="15"/>
      <c r="C2900" s="9"/>
      <c r="D2900" s="15"/>
      <c r="E2900" s="16"/>
      <c r="F2900" s="19"/>
      <c r="G2900" s="20"/>
      <c r="H2900" s="19"/>
    </row>
    <row r="2901">
      <c r="A2901" s="9"/>
      <c r="B2901" s="15"/>
      <c r="C2901" s="9"/>
      <c r="D2901" s="15"/>
      <c r="E2901" s="16"/>
      <c r="F2901" s="19"/>
      <c r="G2901" s="20"/>
      <c r="H2901" s="19"/>
    </row>
    <row r="2902">
      <c r="A2902" s="9"/>
      <c r="B2902" s="15"/>
      <c r="C2902" s="9"/>
      <c r="D2902" s="15"/>
      <c r="E2902" s="16"/>
      <c r="F2902" s="19"/>
      <c r="G2902" s="20"/>
      <c r="H2902" s="19"/>
    </row>
    <row r="2903">
      <c r="A2903" s="9"/>
      <c r="B2903" s="15"/>
      <c r="C2903" s="9"/>
      <c r="D2903" s="15"/>
      <c r="E2903" s="16"/>
      <c r="F2903" s="19"/>
      <c r="G2903" s="20"/>
      <c r="H2903" s="19"/>
    </row>
    <row r="2904">
      <c r="A2904" s="9"/>
      <c r="B2904" s="15"/>
      <c r="C2904" s="9"/>
      <c r="D2904" s="15"/>
      <c r="E2904" s="16"/>
      <c r="F2904" s="19"/>
      <c r="G2904" s="20"/>
      <c r="H2904" s="19"/>
    </row>
    <row r="2905">
      <c r="A2905" s="9"/>
      <c r="B2905" s="15"/>
      <c r="C2905" s="9"/>
      <c r="D2905" s="15"/>
      <c r="E2905" s="16"/>
      <c r="F2905" s="19"/>
      <c r="G2905" s="20"/>
      <c r="H2905" s="19"/>
    </row>
    <row r="2906">
      <c r="A2906" s="9"/>
      <c r="B2906" s="15"/>
      <c r="C2906" s="9"/>
      <c r="D2906" s="15"/>
      <c r="E2906" s="16"/>
      <c r="F2906" s="19"/>
      <c r="G2906" s="20"/>
      <c r="H2906" s="19"/>
    </row>
    <row r="2907">
      <c r="A2907" s="9"/>
      <c r="B2907" s="15"/>
      <c r="C2907" s="9"/>
      <c r="D2907" s="15"/>
      <c r="E2907" s="16"/>
      <c r="F2907" s="19"/>
      <c r="G2907" s="20"/>
      <c r="H2907" s="19"/>
    </row>
    <row r="2908">
      <c r="A2908" s="9"/>
      <c r="B2908" s="15"/>
      <c r="C2908" s="9"/>
      <c r="D2908" s="15"/>
      <c r="E2908" s="16"/>
      <c r="F2908" s="19"/>
      <c r="G2908" s="20"/>
      <c r="H2908" s="19"/>
    </row>
    <row r="2909">
      <c r="A2909" s="9"/>
      <c r="B2909" s="15"/>
      <c r="C2909" s="9"/>
      <c r="D2909" s="15"/>
      <c r="E2909" s="16"/>
      <c r="F2909" s="19"/>
      <c r="G2909" s="20"/>
      <c r="H2909" s="19"/>
    </row>
    <row r="2910">
      <c r="A2910" s="9"/>
      <c r="B2910" s="15"/>
      <c r="C2910" s="9"/>
      <c r="D2910" s="15"/>
      <c r="E2910" s="16"/>
      <c r="F2910" s="19"/>
      <c r="G2910" s="20"/>
      <c r="H2910" s="19"/>
    </row>
    <row r="2911">
      <c r="A2911" s="9"/>
      <c r="B2911" s="15"/>
      <c r="C2911" s="9"/>
      <c r="D2911" s="15"/>
      <c r="E2911" s="16"/>
      <c r="F2911" s="19"/>
      <c r="G2911" s="20"/>
      <c r="H2911" s="19"/>
    </row>
    <row r="2912">
      <c r="A2912" s="9"/>
      <c r="B2912" s="15"/>
      <c r="C2912" s="9"/>
      <c r="D2912" s="15"/>
      <c r="E2912" s="16"/>
      <c r="F2912" s="19"/>
      <c r="G2912" s="20"/>
      <c r="H2912" s="19"/>
    </row>
    <row r="2913">
      <c r="A2913" s="9"/>
      <c r="B2913" s="15"/>
      <c r="C2913" s="9"/>
      <c r="D2913" s="15"/>
      <c r="E2913" s="16"/>
      <c r="F2913" s="19"/>
      <c r="G2913" s="20"/>
      <c r="H2913" s="19"/>
    </row>
    <row r="2914">
      <c r="A2914" s="9"/>
      <c r="B2914" s="15"/>
      <c r="C2914" s="9"/>
      <c r="D2914" s="15"/>
      <c r="E2914" s="16"/>
      <c r="F2914" s="19"/>
      <c r="G2914" s="20"/>
      <c r="H2914" s="19"/>
    </row>
    <row r="2915">
      <c r="A2915" s="9"/>
      <c r="B2915" s="15"/>
      <c r="C2915" s="9"/>
      <c r="D2915" s="15"/>
      <c r="E2915" s="16"/>
      <c r="F2915" s="19"/>
      <c r="G2915" s="20"/>
      <c r="H2915" s="19"/>
    </row>
    <row r="2916">
      <c r="A2916" s="9"/>
      <c r="B2916" s="15"/>
      <c r="C2916" s="9"/>
      <c r="D2916" s="15"/>
      <c r="E2916" s="16"/>
      <c r="F2916" s="19"/>
      <c r="G2916" s="20"/>
      <c r="H2916" s="19"/>
    </row>
    <row r="2917">
      <c r="A2917" s="9"/>
      <c r="B2917" s="15"/>
      <c r="C2917" s="9"/>
      <c r="D2917" s="15"/>
      <c r="E2917" s="16"/>
      <c r="F2917" s="19"/>
      <c r="G2917" s="20"/>
      <c r="H2917" s="19"/>
    </row>
    <row r="2918">
      <c r="A2918" s="9"/>
      <c r="B2918" s="15"/>
      <c r="C2918" s="9"/>
      <c r="D2918" s="15"/>
      <c r="E2918" s="16"/>
      <c r="F2918" s="19"/>
      <c r="G2918" s="20"/>
      <c r="H2918" s="19"/>
    </row>
    <row r="2919">
      <c r="A2919" s="9"/>
      <c r="B2919" s="15"/>
      <c r="C2919" s="9"/>
      <c r="D2919" s="15"/>
      <c r="E2919" s="16"/>
      <c r="F2919" s="19"/>
      <c r="G2919" s="20"/>
      <c r="H2919" s="19"/>
    </row>
    <row r="2920">
      <c r="A2920" s="9"/>
      <c r="B2920" s="15"/>
      <c r="C2920" s="9"/>
      <c r="D2920" s="15"/>
      <c r="E2920" s="16"/>
      <c r="F2920" s="19"/>
      <c r="G2920" s="20"/>
      <c r="H2920" s="19"/>
    </row>
    <row r="2921">
      <c r="A2921" s="9"/>
      <c r="B2921" s="15"/>
      <c r="C2921" s="9"/>
      <c r="D2921" s="15"/>
      <c r="E2921" s="16"/>
      <c r="F2921" s="19"/>
      <c r="G2921" s="20"/>
      <c r="H2921" s="19"/>
    </row>
    <row r="2922">
      <c r="A2922" s="9"/>
      <c r="B2922" s="15"/>
      <c r="C2922" s="9"/>
      <c r="D2922" s="15"/>
      <c r="E2922" s="16"/>
      <c r="F2922" s="19"/>
      <c r="G2922" s="20"/>
      <c r="H2922" s="19"/>
    </row>
    <row r="2923">
      <c r="A2923" s="9"/>
      <c r="B2923" s="15"/>
      <c r="C2923" s="9"/>
      <c r="D2923" s="15"/>
      <c r="E2923" s="16"/>
      <c r="F2923" s="19"/>
      <c r="G2923" s="20"/>
      <c r="H2923" s="19"/>
    </row>
    <row r="2924">
      <c r="A2924" s="9"/>
      <c r="B2924" s="15"/>
      <c r="C2924" s="9"/>
      <c r="D2924" s="15"/>
      <c r="E2924" s="16"/>
      <c r="F2924" s="19"/>
      <c r="G2924" s="20"/>
      <c r="H2924" s="19"/>
    </row>
    <row r="2925">
      <c r="A2925" s="9"/>
      <c r="B2925" s="15"/>
      <c r="C2925" s="9"/>
      <c r="D2925" s="15"/>
      <c r="E2925" s="16"/>
      <c r="F2925" s="19"/>
      <c r="G2925" s="20"/>
      <c r="H2925" s="19"/>
    </row>
    <row r="2926">
      <c r="A2926" s="9"/>
      <c r="B2926" s="15"/>
      <c r="C2926" s="9"/>
      <c r="D2926" s="15"/>
      <c r="E2926" s="16"/>
      <c r="F2926" s="19"/>
      <c r="G2926" s="20"/>
      <c r="H2926" s="19"/>
    </row>
    <row r="2927">
      <c r="A2927" s="9"/>
      <c r="B2927" s="15"/>
      <c r="C2927" s="9"/>
      <c r="D2927" s="15"/>
      <c r="E2927" s="16"/>
      <c r="F2927" s="19"/>
      <c r="G2927" s="20"/>
      <c r="H2927" s="19"/>
    </row>
    <row r="2928">
      <c r="A2928" s="9"/>
      <c r="B2928" s="15"/>
      <c r="C2928" s="9"/>
      <c r="D2928" s="15"/>
      <c r="E2928" s="16"/>
      <c r="F2928" s="19"/>
      <c r="G2928" s="20"/>
      <c r="H2928" s="19"/>
    </row>
    <row r="2929">
      <c r="A2929" s="9"/>
      <c r="B2929" s="15"/>
      <c r="C2929" s="9"/>
      <c r="D2929" s="15"/>
      <c r="E2929" s="16"/>
      <c r="F2929" s="19"/>
      <c r="G2929" s="20"/>
      <c r="H2929" s="19"/>
    </row>
    <row r="2930">
      <c r="A2930" s="9"/>
      <c r="B2930" s="15"/>
      <c r="C2930" s="9"/>
      <c r="D2930" s="15"/>
      <c r="E2930" s="16"/>
      <c r="F2930" s="19"/>
      <c r="G2930" s="20"/>
      <c r="H2930" s="19"/>
    </row>
    <row r="2931">
      <c r="A2931" s="9"/>
      <c r="B2931" s="15"/>
      <c r="C2931" s="9"/>
      <c r="D2931" s="15"/>
      <c r="E2931" s="16"/>
      <c r="F2931" s="19"/>
      <c r="G2931" s="20"/>
      <c r="H2931" s="19"/>
    </row>
    <row r="2932">
      <c r="A2932" s="9"/>
      <c r="B2932" s="15"/>
      <c r="C2932" s="9"/>
      <c r="D2932" s="15"/>
      <c r="E2932" s="16"/>
      <c r="F2932" s="19"/>
      <c r="G2932" s="20"/>
      <c r="H2932" s="19"/>
    </row>
    <row r="2933">
      <c r="A2933" s="9"/>
      <c r="B2933" s="15"/>
      <c r="C2933" s="9"/>
      <c r="D2933" s="15"/>
      <c r="E2933" s="16"/>
      <c r="F2933" s="19"/>
      <c r="G2933" s="20"/>
      <c r="H2933" s="19"/>
    </row>
    <row r="2934">
      <c r="A2934" s="9"/>
      <c r="B2934" s="15"/>
      <c r="C2934" s="9"/>
      <c r="D2934" s="15"/>
      <c r="E2934" s="16"/>
      <c r="F2934" s="19"/>
      <c r="G2934" s="20"/>
      <c r="H2934" s="19"/>
    </row>
    <row r="2935">
      <c r="A2935" s="9"/>
      <c r="B2935" s="15"/>
      <c r="C2935" s="9"/>
      <c r="D2935" s="15"/>
      <c r="E2935" s="16"/>
      <c r="F2935" s="19"/>
      <c r="G2935" s="20"/>
      <c r="H2935" s="19"/>
    </row>
    <row r="2936">
      <c r="A2936" s="9"/>
      <c r="B2936" s="15"/>
      <c r="C2936" s="9"/>
      <c r="D2936" s="15"/>
      <c r="E2936" s="16"/>
      <c r="F2936" s="19"/>
      <c r="G2936" s="20"/>
      <c r="H2936" s="19"/>
    </row>
    <row r="2937">
      <c r="A2937" s="9"/>
      <c r="B2937" s="15"/>
      <c r="C2937" s="9"/>
      <c r="D2937" s="15"/>
      <c r="E2937" s="16"/>
      <c r="F2937" s="19"/>
      <c r="G2937" s="20"/>
      <c r="H2937" s="19"/>
    </row>
    <row r="2938">
      <c r="A2938" s="9"/>
      <c r="B2938" s="15"/>
      <c r="C2938" s="9"/>
      <c r="D2938" s="15"/>
      <c r="E2938" s="16"/>
      <c r="F2938" s="19"/>
      <c r="G2938" s="20"/>
      <c r="H2938" s="19"/>
    </row>
    <row r="2939">
      <c r="A2939" s="9"/>
      <c r="B2939" s="15"/>
      <c r="C2939" s="9"/>
      <c r="D2939" s="15"/>
      <c r="E2939" s="16"/>
      <c r="F2939" s="19"/>
      <c r="G2939" s="20"/>
      <c r="H2939" s="19"/>
    </row>
    <row r="2940">
      <c r="A2940" s="9"/>
      <c r="B2940" s="15"/>
      <c r="C2940" s="9"/>
      <c r="D2940" s="15"/>
      <c r="E2940" s="16"/>
      <c r="F2940" s="19"/>
      <c r="G2940" s="20"/>
      <c r="H2940" s="19"/>
    </row>
    <row r="2941">
      <c r="A2941" s="9"/>
      <c r="B2941" s="15"/>
      <c r="C2941" s="9"/>
      <c r="D2941" s="15"/>
      <c r="E2941" s="16"/>
      <c r="F2941" s="19"/>
      <c r="G2941" s="20"/>
      <c r="H2941" s="19"/>
    </row>
    <row r="2942">
      <c r="A2942" s="9"/>
      <c r="B2942" s="15"/>
      <c r="C2942" s="9"/>
      <c r="D2942" s="15"/>
      <c r="E2942" s="16"/>
      <c r="F2942" s="19"/>
      <c r="G2942" s="20"/>
      <c r="H2942" s="19"/>
    </row>
    <row r="2943">
      <c r="A2943" s="9"/>
      <c r="B2943" s="15"/>
      <c r="C2943" s="9"/>
      <c r="D2943" s="15"/>
      <c r="E2943" s="16"/>
      <c r="F2943" s="19"/>
      <c r="G2943" s="20"/>
      <c r="H2943" s="19"/>
    </row>
    <row r="2944">
      <c r="A2944" s="9"/>
      <c r="B2944" s="15"/>
      <c r="C2944" s="9"/>
      <c r="D2944" s="15"/>
      <c r="E2944" s="16"/>
      <c r="F2944" s="19"/>
      <c r="G2944" s="20"/>
      <c r="H2944" s="19"/>
    </row>
    <row r="2945">
      <c r="A2945" s="9"/>
      <c r="B2945" s="15"/>
      <c r="C2945" s="9"/>
      <c r="D2945" s="15"/>
      <c r="E2945" s="16"/>
      <c r="F2945" s="19"/>
      <c r="G2945" s="20"/>
      <c r="H2945" s="19"/>
    </row>
    <row r="2946">
      <c r="A2946" s="9"/>
      <c r="B2946" s="15"/>
      <c r="C2946" s="9"/>
      <c r="D2946" s="15"/>
      <c r="E2946" s="16"/>
      <c r="F2946" s="19"/>
      <c r="G2946" s="20"/>
      <c r="H2946" s="19"/>
    </row>
    <row r="2947">
      <c r="A2947" s="9"/>
      <c r="B2947" s="15"/>
      <c r="C2947" s="9"/>
      <c r="D2947" s="15"/>
      <c r="E2947" s="16"/>
      <c r="F2947" s="19"/>
      <c r="G2947" s="20"/>
      <c r="H2947" s="19"/>
    </row>
    <row r="2948">
      <c r="A2948" s="9"/>
      <c r="B2948" s="15"/>
      <c r="C2948" s="9"/>
      <c r="D2948" s="15"/>
      <c r="E2948" s="16"/>
      <c r="F2948" s="19"/>
      <c r="G2948" s="20"/>
      <c r="H2948" s="19"/>
    </row>
    <row r="2949">
      <c r="A2949" s="9"/>
      <c r="B2949" s="15"/>
      <c r="C2949" s="9"/>
      <c r="D2949" s="15"/>
      <c r="E2949" s="16"/>
      <c r="F2949" s="19"/>
      <c r="G2949" s="20"/>
      <c r="H2949" s="19"/>
    </row>
    <row r="2950">
      <c r="A2950" s="9"/>
      <c r="B2950" s="15"/>
      <c r="C2950" s="9"/>
      <c r="D2950" s="15"/>
      <c r="E2950" s="16"/>
      <c r="F2950" s="19"/>
      <c r="G2950" s="20"/>
      <c r="H2950" s="19"/>
    </row>
    <row r="2951">
      <c r="A2951" s="9"/>
      <c r="B2951" s="15"/>
      <c r="C2951" s="9"/>
      <c r="D2951" s="15"/>
      <c r="E2951" s="16"/>
      <c r="F2951" s="19"/>
      <c r="G2951" s="20"/>
      <c r="H2951" s="19"/>
    </row>
    <row r="2952">
      <c r="A2952" s="9"/>
      <c r="B2952" s="15"/>
      <c r="C2952" s="9"/>
      <c r="D2952" s="15"/>
      <c r="E2952" s="16"/>
      <c r="F2952" s="19"/>
      <c r="G2952" s="20"/>
      <c r="H2952" s="19"/>
    </row>
    <row r="2953">
      <c r="A2953" s="9"/>
      <c r="B2953" s="15"/>
      <c r="C2953" s="9"/>
      <c r="D2953" s="15"/>
      <c r="E2953" s="16"/>
      <c r="F2953" s="19"/>
      <c r="G2953" s="20"/>
      <c r="H2953" s="19"/>
    </row>
    <row r="2954">
      <c r="A2954" s="9"/>
      <c r="B2954" s="15"/>
      <c r="C2954" s="9"/>
      <c r="D2954" s="15"/>
      <c r="E2954" s="16"/>
      <c r="F2954" s="19"/>
      <c r="G2954" s="20"/>
      <c r="H2954" s="19"/>
    </row>
    <row r="2955">
      <c r="A2955" s="9"/>
      <c r="B2955" s="15"/>
      <c r="C2955" s="9"/>
      <c r="D2955" s="15"/>
      <c r="E2955" s="16"/>
      <c r="F2955" s="19"/>
      <c r="G2955" s="20"/>
      <c r="H2955" s="19"/>
    </row>
    <row r="2956">
      <c r="A2956" s="9"/>
      <c r="B2956" s="15"/>
      <c r="C2956" s="9"/>
      <c r="D2956" s="15"/>
      <c r="E2956" s="16"/>
      <c r="F2956" s="19"/>
      <c r="G2956" s="20"/>
      <c r="H2956" s="19"/>
    </row>
    <row r="2957">
      <c r="A2957" s="9"/>
      <c r="B2957" s="15"/>
      <c r="C2957" s="9"/>
      <c r="D2957" s="15"/>
      <c r="E2957" s="16"/>
      <c r="F2957" s="19"/>
      <c r="G2957" s="20"/>
      <c r="H2957" s="19"/>
    </row>
    <row r="2958">
      <c r="A2958" s="9"/>
      <c r="B2958" s="15"/>
      <c r="C2958" s="9"/>
      <c r="D2958" s="15"/>
      <c r="E2958" s="16"/>
      <c r="F2958" s="19"/>
      <c r="G2958" s="20"/>
      <c r="H2958" s="19"/>
    </row>
    <row r="2959">
      <c r="A2959" s="9"/>
      <c r="B2959" s="15"/>
      <c r="C2959" s="9"/>
      <c r="D2959" s="15"/>
      <c r="E2959" s="16"/>
      <c r="F2959" s="19"/>
      <c r="G2959" s="20"/>
      <c r="H2959" s="19"/>
    </row>
    <row r="2960">
      <c r="A2960" s="9"/>
      <c r="B2960" s="15"/>
      <c r="C2960" s="9"/>
      <c r="D2960" s="15"/>
      <c r="E2960" s="16"/>
      <c r="F2960" s="19"/>
      <c r="G2960" s="20"/>
      <c r="H2960" s="19"/>
    </row>
    <row r="2961">
      <c r="A2961" s="9"/>
      <c r="B2961" s="15"/>
      <c r="C2961" s="9"/>
      <c r="D2961" s="15"/>
      <c r="E2961" s="16"/>
      <c r="F2961" s="19"/>
      <c r="G2961" s="20"/>
      <c r="H2961" s="19"/>
    </row>
    <row r="2962">
      <c r="A2962" s="9"/>
      <c r="B2962" s="15"/>
      <c r="C2962" s="9"/>
      <c r="D2962" s="15"/>
      <c r="E2962" s="16"/>
      <c r="F2962" s="19"/>
      <c r="G2962" s="20"/>
      <c r="H2962" s="19"/>
    </row>
    <row r="2963">
      <c r="A2963" s="9"/>
      <c r="B2963" s="15"/>
      <c r="C2963" s="9"/>
      <c r="D2963" s="15"/>
      <c r="E2963" s="16"/>
      <c r="F2963" s="19"/>
      <c r="G2963" s="20"/>
      <c r="H2963" s="19"/>
    </row>
    <row r="2964">
      <c r="A2964" s="9"/>
      <c r="B2964" s="15"/>
      <c r="C2964" s="9"/>
      <c r="D2964" s="15"/>
      <c r="E2964" s="16"/>
      <c r="F2964" s="19"/>
      <c r="G2964" s="20"/>
      <c r="H2964" s="19"/>
    </row>
    <row r="2965">
      <c r="A2965" s="9"/>
      <c r="B2965" s="15"/>
      <c r="C2965" s="9"/>
      <c r="D2965" s="15"/>
      <c r="E2965" s="16"/>
      <c r="F2965" s="19"/>
      <c r="G2965" s="20"/>
      <c r="H2965" s="19"/>
    </row>
    <row r="2966">
      <c r="A2966" s="9"/>
      <c r="B2966" s="15"/>
      <c r="C2966" s="9"/>
      <c r="D2966" s="15"/>
      <c r="E2966" s="16"/>
      <c r="F2966" s="19"/>
      <c r="G2966" s="20"/>
      <c r="H2966" s="19"/>
    </row>
    <row r="2967">
      <c r="A2967" s="9"/>
      <c r="B2967" s="15"/>
      <c r="C2967" s="9"/>
      <c r="D2967" s="15"/>
      <c r="E2967" s="16"/>
      <c r="F2967" s="19"/>
      <c r="G2967" s="20"/>
      <c r="H2967" s="19"/>
    </row>
    <row r="2968">
      <c r="A2968" s="9"/>
      <c r="B2968" s="15"/>
      <c r="C2968" s="9"/>
      <c r="D2968" s="15"/>
      <c r="E2968" s="16"/>
      <c r="F2968" s="19"/>
      <c r="G2968" s="20"/>
      <c r="H2968" s="19"/>
    </row>
    <row r="2969">
      <c r="A2969" s="9"/>
      <c r="B2969" s="15"/>
      <c r="C2969" s="9"/>
      <c r="D2969" s="15"/>
      <c r="E2969" s="16"/>
      <c r="F2969" s="19"/>
      <c r="G2969" s="20"/>
      <c r="H2969" s="19"/>
    </row>
    <row r="2970">
      <c r="A2970" s="9"/>
      <c r="B2970" s="15"/>
      <c r="C2970" s="9"/>
      <c r="D2970" s="15"/>
      <c r="E2970" s="16"/>
      <c r="F2970" s="19"/>
      <c r="G2970" s="20"/>
      <c r="H2970" s="19"/>
    </row>
    <row r="2971">
      <c r="A2971" s="9"/>
      <c r="B2971" s="15"/>
      <c r="C2971" s="9"/>
      <c r="D2971" s="15"/>
      <c r="E2971" s="16"/>
      <c r="F2971" s="19"/>
      <c r="G2971" s="20"/>
      <c r="H2971" s="19"/>
    </row>
    <row r="2972">
      <c r="A2972" s="9"/>
      <c r="B2972" s="15"/>
      <c r="C2972" s="9"/>
      <c r="D2972" s="15"/>
      <c r="E2972" s="16"/>
      <c r="F2972" s="19"/>
      <c r="G2972" s="20"/>
      <c r="H2972" s="19"/>
    </row>
    <row r="2973">
      <c r="A2973" s="9"/>
      <c r="B2973" s="15"/>
      <c r="C2973" s="9"/>
      <c r="D2973" s="15"/>
      <c r="E2973" s="16"/>
      <c r="F2973" s="19"/>
      <c r="G2973" s="20"/>
      <c r="H2973" s="19"/>
    </row>
    <row r="2974">
      <c r="A2974" s="9"/>
      <c r="B2974" s="15"/>
      <c r="C2974" s="9"/>
      <c r="D2974" s="15"/>
      <c r="E2974" s="16"/>
      <c r="F2974" s="19"/>
      <c r="G2974" s="20"/>
      <c r="H2974" s="19"/>
    </row>
    <row r="2975">
      <c r="A2975" s="9"/>
      <c r="B2975" s="15"/>
      <c r="C2975" s="9"/>
      <c r="D2975" s="15"/>
      <c r="E2975" s="16"/>
      <c r="F2975" s="19"/>
      <c r="G2975" s="20"/>
      <c r="H2975" s="19"/>
    </row>
    <row r="2976">
      <c r="A2976" s="9"/>
      <c r="B2976" s="15"/>
      <c r="C2976" s="9"/>
      <c r="D2976" s="15"/>
      <c r="E2976" s="16"/>
      <c r="F2976" s="19"/>
      <c r="G2976" s="20"/>
      <c r="H2976" s="19"/>
    </row>
    <row r="2977">
      <c r="A2977" s="9"/>
      <c r="B2977" s="15"/>
      <c r="C2977" s="9"/>
      <c r="D2977" s="15"/>
      <c r="E2977" s="16"/>
      <c r="F2977" s="19"/>
      <c r="G2977" s="20"/>
      <c r="H2977" s="19"/>
    </row>
    <row r="2978">
      <c r="A2978" s="9"/>
      <c r="B2978" s="15"/>
      <c r="C2978" s="9"/>
      <c r="D2978" s="15"/>
      <c r="E2978" s="16"/>
      <c r="F2978" s="19"/>
      <c r="G2978" s="20"/>
      <c r="H2978" s="19"/>
    </row>
    <row r="2979">
      <c r="A2979" s="9"/>
      <c r="B2979" s="15"/>
      <c r="C2979" s="9"/>
      <c r="D2979" s="15"/>
      <c r="E2979" s="16"/>
      <c r="F2979" s="19"/>
      <c r="G2979" s="20"/>
      <c r="H2979" s="19"/>
    </row>
    <row r="2980">
      <c r="A2980" s="9"/>
      <c r="B2980" s="15"/>
      <c r="C2980" s="9"/>
      <c r="D2980" s="15"/>
      <c r="E2980" s="16"/>
      <c r="F2980" s="19"/>
      <c r="G2980" s="20"/>
      <c r="H2980" s="19"/>
    </row>
    <row r="2981">
      <c r="A2981" s="9"/>
      <c r="B2981" s="15"/>
      <c r="C2981" s="9"/>
      <c r="D2981" s="15"/>
      <c r="E2981" s="16"/>
      <c r="F2981" s="19"/>
      <c r="G2981" s="20"/>
      <c r="H2981" s="19"/>
    </row>
    <row r="2982">
      <c r="A2982" s="9"/>
      <c r="B2982" s="15"/>
      <c r="C2982" s="9"/>
      <c r="D2982" s="15"/>
      <c r="E2982" s="16"/>
      <c r="F2982" s="19"/>
      <c r="G2982" s="20"/>
      <c r="H2982" s="19"/>
    </row>
    <row r="2983">
      <c r="A2983" s="9"/>
      <c r="B2983" s="15"/>
      <c r="C2983" s="9"/>
      <c r="D2983" s="15"/>
      <c r="E2983" s="16"/>
      <c r="F2983" s="19"/>
      <c r="G2983" s="20"/>
      <c r="H2983" s="19"/>
    </row>
    <row r="2984">
      <c r="A2984" s="9"/>
      <c r="B2984" s="15"/>
      <c r="C2984" s="9"/>
      <c r="D2984" s="15"/>
      <c r="E2984" s="16"/>
      <c r="F2984" s="19"/>
      <c r="G2984" s="20"/>
      <c r="H2984" s="19"/>
    </row>
    <row r="2985">
      <c r="A2985" s="9"/>
      <c r="B2985" s="15"/>
      <c r="C2985" s="9"/>
      <c r="D2985" s="15"/>
      <c r="E2985" s="16"/>
      <c r="F2985" s="19"/>
      <c r="G2985" s="20"/>
      <c r="H2985" s="19"/>
    </row>
    <row r="2986">
      <c r="A2986" s="9"/>
      <c r="B2986" s="15"/>
      <c r="C2986" s="9"/>
      <c r="D2986" s="15"/>
      <c r="E2986" s="16"/>
      <c r="F2986" s="19"/>
      <c r="G2986" s="20"/>
      <c r="H2986" s="19"/>
    </row>
    <row r="2987">
      <c r="A2987" s="9"/>
      <c r="B2987" s="15"/>
      <c r="C2987" s="9"/>
      <c r="D2987" s="15"/>
      <c r="E2987" s="16"/>
      <c r="F2987" s="19"/>
      <c r="G2987" s="20"/>
      <c r="H2987" s="19"/>
    </row>
    <row r="2988">
      <c r="A2988" s="9"/>
      <c r="B2988" s="15"/>
      <c r="C2988" s="9"/>
      <c r="D2988" s="15"/>
      <c r="E2988" s="16"/>
      <c r="F2988" s="19"/>
      <c r="G2988" s="20"/>
      <c r="H2988" s="19"/>
    </row>
    <row r="2989">
      <c r="A2989" s="9"/>
      <c r="B2989" s="15"/>
      <c r="C2989" s="9"/>
      <c r="D2989" s="15"/>
      <c r="E2989" s="16"/>
      <c r="F2989" s="19"/>
      <c r="G2989" s="20"/>
      <c r="H2989" s="19"/>
    </row>
    <row r="2990">
      <c r="A2990" s="9"/>
      <c r="B2990" s="15"/>
      <c r="C2990" s="9"/>
      <c r="D2990" s="15"/>
      <c r="E2990" s="16"/>
      <c r="F2990" s="19"/>
      <c r="G2990" s="20"/>
      <c r="H2990" s="19"/>
    </row>
    <row r="2991">
      <c r="A2991" s="9"/>
      <c r="B2991" s="15"/>
      <c r="C2991" s="9"/>
      <c r="D2991" s="15"/>
      <c r="E2991" s="16"/>
      <c r="F2991" s="19"/>
      <c r="G2991" s="20"/>
      <c r="H2991" s="19"/>
    </row>
    <row r="2992">
      <c r="A2992" s="9"/>
      <c r="B2992" s="15"/>
      <c r="C2992" s="9"/>
      <c r="D2992" s="15"/>
      <c r="E2992" s="16"/>
      <c r="F2992" s="19"/>
      <c r="G2992" s="20"/>
      <c r="H2992" s="19"/>
    </row>
    <row r="2993">
      <c r="A2993" s="9"/>
      <c r="B2993" s="15"/>
      <c r="C2993" s="9"/>
      <c r="D2993" s="15"/>
      <c r="E2993" s="16"/>
      <c r="F2993" s="19"/>
      <c r="G2993" s="20"/>
      <c r="H2993" s="19"/>
    </row>
    <row r="2994">
      <c r="A2994" s="9"/>
      <c r="B2994" s="15"/>
      <c r="C2994" s="9"/>
      <c r="D2994" s="15"/>
      <c r="E2994" s="16"/>
      <c r="F2994" s="19"/>
      <c r="G2994" s="20"/>
      <c r="H2994" s="19"/>
    </row>
    <row r="2995">
      <c r="A2995" s="9"/>
      <c r="B2995" s="15"/>
      <c r="C2995" s="9"/>
      <c r="D2995" s="15"/>
      <c r="E2995" s="16"/>
      <c r="F2995" s="19"/>
      <c r="G2995" s="20"/>
      <c r="H2995" s="19"/>
    </row>
    <row r="2996">
      <c r="A2996" s="9"/>
      <c r="B2996" s="15"/>
      <c r="C2996" s="9"/>
      <c r="D2996" s="15"/>
      <c r="E2996" s="16"/>
      <c r="F2996" s="19"/>
      <c r="G2996" s="20"/>
      <c r="H2996" s="19"/>
    </row>
    <row r="2997">
      <c r="A2997" s="9"/>
      <c r="B2997" s="15"/>
      <c r="C2997" s="9"/>
      <c r="D2997" s="15"/>
      <c r="E2997" s="16"/>
      <c r="F2997" s="19"/>
      <c r="G2997" s="20"/>
      <c r="H2997" s="19"/>
    </row>
    <row r="2998">
      <c r="A2998" s="9"/>
      <c r="B2998" s="15"/>
      <c r="C2998" s="9"/>
      <c r="D2998" s="15"/>
      <c r="E2998" s="16"/>
      <c r="F2998" s="19"/>
      <c r="G2998" s="20"/>
      <c r="H2998" s="19"/>
    </row>
    <row r="2999">
      <c r="A2999" s="9"/>
      <c r="B2999" s="15"/>
      <c r="C2999" s="9"/>
      <c r="D2999" s="15"/>
      <c r="E2999" s="16"/>
      <c r="F2999" s="19"/>
      <c r="G2999" s="20"/>
      <c r="H2999" s="19"/>
    </row>
    <row r="3000">
      <c r="A3000" s="9"/>
      <c r="B3000" s="15"/>
      <c r="C3000" s="9"/>
      <c r="D3000" s="15"/>
      <c r="E3000" s="16"/>
      <c r="F3000" s="19"/>
      <c r="G3000" s="20"/>
      <c r="H3000" s="19"/>
    </row>
    <row r="3001">
      <c r="A3001" s="9"/>
      <c r="B3001" s="15"/>
      <c r="C3001" s="9"/>
      <c r="D3001" s="15"/>
      <c r="E3001" s="16"/>
      <c r="F3001" s="19"/>
      <c r="G3001" s="20"/>
      <c r="H3001" s="19"/>
    </row>
    <row r="3002">
      <c r="A3002" s="9"/>
      <c r="B3002" s="15"/>
      <c r="C3002" s="9"/>
      <c r="D3002" s="15"/>
      <c r="E3002" s="16"/>
      <c r="F3002" s="19"/>
      <c r="G3002" s="20"/>
      <c r="H3002" s="19"/>
    </row>
    <row r="3003">
      <c r="A3003" s="9"/>
      <c r="B3003" s="15"/>
      <c r="C3003" s="9"/>
      <c r="D3003" s="15"/>
      <c r="E3003" s="16"/>
      <c r="F3003" s="19"/>
      <c r="G3003" s="20"/>
      <c r="H3003" s="19"/>
    </row>
    <row r="3004">
      <c r="A3004" s="9"/>
      <c r="B3004" s="15"/>
      <c r="C3004" s="9"/>
      <c r="D3004" s="15"/>
      <c r="E3004" s="16"/>
      <c r="F3004" s="19"/>
      <c r="G3004" s="20"/>
      <c r="H3004" s="19"/>
    </row>
    <row r="3005">
      <c r="A3005" s="9"/>
      <c r="B3005" s="15"/>
      <c r="C3005" s="9"/>
      <c r="D3005" s="15"/>
      <c r="E3005" s="16"/>
      <c r="F3005" s="19"/>
      <c r="G3005" s="20"/>
      <c r="H3005" s="19"/>
    </row>
    <row r="3006">
      <c r="A3006" s="9"/>
      <c r="B3006" s="15"/>
      <c r="C3006" s="9"/>
      <c r="D3006" s="15"/>
      <c r="E3006" s="16"/>
      <c r="F3006" s="19"/>
      <c r="G3006" s="20"/>
      <c r="H3006" s="19"/>
    </row>
    <row r="3007">
      <c r="A3007" s="9"/>
      <c r="B3007" s="15"/>
      <c r="C3007" s="9"/>
      <c r="D3007" s="15"/>
      <c r="E3007" s="16"/>
      <c r="F3007" s="19"/>
      <c r="G3007" s="20"/>
      <c r="H3007" s="19"/>
    </row>
    <row r="3008">
      <c r="A3008" s="9"/>
      <c r="B3008" s="15"/>
      <c r="C3008" s="9"/>
      <c r="D3008" s="15"/>
      <c r="E3008" s="16"/>
      <c r="F3008" s="19"/>
      <c r="G3008" s="20"/>
      <c r="H3008" s="19"/>
    </row>
    <row r="3009">
      <c r="A3009" s="9"/>
      <c r="B3009" s="15"/>
      <c r="C3009" s="9"/>
      <c r="D3009" s="15"/>
      <c r="E3009" s="16"/>
      <c r="F3009" s="19"/>
      <c r="G3009" s="20"/>
      <c r="H3009" s="19"/>
    </row>
    <row r="3010">
      <c r="A3010" s="9"/>
      <c r="B3010" s="15"/>
      <c r="C3010" s="9"/>
      <c r="D3010" s="15"/>
      <c r="E3010" s="16"/>
      <c r="F3010" s="19"/>
      <c r="G3010" s="20"/>
      <c r="H3010" s="19"/>
    </row>
    <row r="3011">
      <c r="A3011" s="9"/>
      <c r="B3011" s="15"/>
      <c r="C3011" s="9"/>
      <c r="D3011" s="15"/>
      <c r="E3011" s="16"/>
      <c r="F3011" s="19"/>
      <c r="G3011" s="20"/>
      <c r="H3011" s="19"/>
    </row>
    <row r="3012">
      <c r="A3012" s="9"/>
      <c r="B3012" s="15"/>
      <c r="C3012" s="9"/>
      <c r="D3012" s="15"/>
      <c r="E3012" s="16"/>
      <c r="F3012" s="19"/>
      <c r="G3012" s="20"/>
      <c r="H3012" s="19"/>
    </row>
    <row r="3013">
      <c r="A3013" s="9"/>
      <c r="B3013" s="15"/>
      <c r="C3013" s="9"/>
      <c r="D3013" s="15"/>
      <c r="E3013" s="16"/>
      <c r="F3013" s="19"/>
      <c r="G3013" s="20"/>
      <c r="H3013" s="19"/>
    </row>
    <row r="3014">
      <c r="A3014" s="9"/>
      <c r="B3014" s="15"/>
      <c r="C3014" s="9"/>
      <c r="D3014" s="15"/>
      <c r="E3014" s="16"/>
      <c r="F3014" s="19"/>
      <c r="G3014" s="20"/>
      <c r="H3014" s="19"/>
    </row>
    <row r="3015">
      <c r="A3015" s="9"/>
      <c r="B3015" s="15"/>
      <c r="C3015" s="9"/>
      <c r="D3015" s="15"/>
      <c r="E3015" s="16"/>
      <c r="F3015" s="19"/>
      <c r="G3015" s="20"/>
      <c r="H3015" s="19"/>
    </row>
    <row r="3016">
      <c r="A3016" s="9"/>
      <c r="B3016" s="15"/>
      <c r="C3016" s="9"/>
      <c r="D3016" s="15"/>
      <c r="E3016" s="16"/>
      <c r="F3016" s="19"/>
      <c r="G3016" s="20"/>
      <c r="H3016" s="19"/>
    </row>
    <row r="3017">
      <c r="A3017" s="9"/>
      <c r="B3017" s="15"/>
      <c r="C3017" s="9"/>
      <c r="D3017" s="15"/>
      <c r="E3017" s="16"/>
      <c r="F3017" s="19"/>
      <c r="G3017" s="20"/>
      <c r="H3017" s="19"/>
    </row>
    <row r="3018">
      <c r="A3018" s="9"/>
      <c r="B3018" s="15"/>
      <c r="C3018" s="9"/>
      <c r="D3018" s="15"/>
      <c r="E3018" s="16"/>
      <c r="F3018" s="19"/>
      <c r="G3018" s="20"/>
      <c r="H3018" s="19"/>
    </row>
    <row r="3019">
      <c r="A3019" s="9"/>
      <c r="B3019" s="15"/>
      <c r="C3019" s="9"/>
      <c r="D3019" s="15"/>
      <c r="E3019" s="16"/>
      <c r="F3019" s="19"/>
      <c r="G3019" s="20"/>
      <c r="H3019" s="19"/>
    </row>
    <row r="3020">
      <c r="A3020" s="9"/>
      <c r="B3020" s="15"/>
      <c r="C3020" s="9"/>
      <c r="D3020" s="15"/>
      <c r="E3020" s="16"/>
      <c r="F3020" s="19"/>
      <c r="G3020" s="20"/>
      <c r="H3020" s="19"/>
    </row>
    <row r="3021">
      <c r="A3021" s="9"/>
      <c r="B3021" s="15"/>
      <c r="C3021" s="9"/>
      <c r="D3021" s="15"/>
      <c r="E3021" s="16"/>
      <c r="F3021" s="19"/>
      <c r="G3021" s="20"/>
      <c r="H3021" s="19"/>
    </row>
    <row r="3022">
      <c r="A3022" s="9"/>
      <c r="B3022" s="15"/>
      <c r="C3022" s="9"/>
      <c r="D3022" s="15"/>
      <c r="E3022" s="16"/>
      <c r="F3022" s="19"/>
      <c r="G3022" s="20"/>
      <c r="H3022" s="19"/>
    </row>
    <row r="3023">
      <c r="A3023" s="9"/>
      <c r="B3023" s="15"/>
      <c r="C3023" s="9"/>
      <c r="D3023" s="15"/>
      <c r="E3023" s="16"/>
      <c r="F3023" s="19"/>
      <c r="G3023" s="20"/>
      <c r="H3023" s="19"/>
    </row>
    <row r="3024">
      <c r="A3024" s="9"/>
      <c r="B3024" s="15"/>
      <c r="C3024" s="9"/>
      <c r="D3024" s="15"/>
      <c r="E3024" s="16"/>
      <c r="F3024" s="19"/>
      <c r="G3024" s="20"/>
      <c r="H3024" s="19"/>
    </row>
    <row r="3025">
      <c r="A3025" s="9"/>
      <c r="B3025" s="15"/>
      <c r="C3025" s="9"/>
      <c r="D3025" s="15"/>
      <c r="E3025" s="16"/>
      <c r="F3025" s="19"/>
      <c r="G3025" s="20"/>
      <c r="H3025" s="19"/>
    </row>
    <row r="3026">
      <c r="A3026" s="9"/>
      <c r="B3026" s="15"/>
      <c r="C3026" s="9"/>
      <c r="D3026" s="15"/>
      <c r="E3026" s="16"/>
      <c r="F3026" s="19"/>
      <c r="G3026" s="20"/>
      <c r="H3026" s="19"/>
    </row>
    <row r="3027">
      <c r="A3027" s="9"/>
      <c r="B3027" s="15"/>
      <c r="C3027" s="9"/>
      <c r="D3027" s="15"/>
      <c r="E3027" s="16"/>
      <c r="F3027" s="19"/>
      <c r="G3027" s="20"/>
      <c r="H3027" s="19"/>
    </row>
    <row r="3028">
      <c r="A3028" s="9"/>
      <c r="B3028" s="15"/>
      <c r="C3028" s="9"/>
      <c r="D3028" s="15"/>
      <c r="E3028" s="16"/>
      <c r="F3028" s="19"/>
      <c r="G3028" s="20"/>
      <c r="H3028" s="19"/>
    </row>
    <row r="3029">
      <c r="A3029" s="9"/>
      <c r="B3029" s="15"/>
      <c r="C3029" s="9"/>
      <c r="D3029" s="15"/>
      <c r="E3029" s="16"/>
      <c r="F3029" s="19"/>
      <c r="G3029" s="20"/>
      <c r="H3029" s="19"/>
    </row>
    <row r="3030">
      <c r="A3030" s="9"/>
      <c r="B3030" s="15"/>
      <c r="C3030" s="9"/>
      <c r="D3030" s="15"/>
      <c r="E3030" s="16"/>
      <c r="F3030" s="19"/>
      <c r="G3030" s="20"/>
      <c r="H3030" s="19"/>
    </row>
    <row r="3031">
      <c r="A3031" s="9"/>
      <c r="B3031" s="15"/>
      <c r="C3031" s="9"/>
      <c r="D3031" s="15"/>
      <c r="E3031" s="16"/>
      <c r="F3031" s="19"/>
      <c r="G3031" s="20"/>
      <c r="H3031" s="19"/>
    </row>
    <row r="3032">
      <c r="A3032" s="9"/>
      <c r="B3032" s="15"/>
      <c r="C3032" s="9"/>
      <c r="D3032" s="15"/>
      <c r="E3032" s="16"/>
      <c r="F3032" s="19"/>
      <c r="G3032" s="20"/>
      <c r="H3032" s="19"/>
    </row>
    <row r="3033">
      <c r="A3033" s="9"/>
      <c r="B3033" s="15"/>
      <c r="C3033" s="9"/>
      <c r="D3033" s="15"/>
      <c r="E3033" s="16"/>
      <c r="F3033" s="19"/>
      <c r="G3033" s="20"/>
      <c r="H3033" s="19"/>
    </row>
    <row r="3034">
      <c r="A3034" s="9"/>
      <c r="B3034" s="15"/>
      <c r="C3034" s="9"/>
      <c r="D3034" s="15"/>
      <c r="E3034" s="16"/>
      <c r="F3034" s="19"/>
      <c r="G3034" s="20"/>
      <c r="H3034" s="19"/>
    </row>
    <row r="3035">
      <c r="A3035" s="9"/>
      <c r="B3035" s="15"/>
      <c r="C3035" s="9"/>
      <c r="D3035" s="15"/>
      <c r="E3035" s="16"/>
      <c r="F3035" s="19"/>
      <c r="G3035" s="20"/>
      <c r="H3035" s="19"/>
    </row>
    <row r="3036">
      <c r="A3036" s="9"/>
      <c r="B3036" s="15"/>
      <c r="C3036" s="9"/>
      <c r="D3036" s="15"/>
      <c r="E3036" s="16"/>
      <c r="F3036" s="19"/>
      <c r="G3036" s="20"/>
      <c r="H3036" s="19"/>
    </row>
    <row r="3037">
      <c r="A3037" s="9"/>
      <c r="B3037" s="15"/>
      <c r="C3037" s="9"/>
      <c r="D3037" s="15"/>
      <c r="E3037" s="16"/>
      <c r="F3037" s="19"/>
      <c r="G3037" s="20"/>
      <c r="H3037" s="19"/>
    </row>
    <row r="3038">
      <c r="A3038" s="9"/>
      <c r="B3038" s="15"/>
      <c r="C3038" s="9"/>
      <c r="D3038" s="15"/>
      <c r="E3038" s="16"/>
      <c r="F3038" s="19"/>
      <c r="G3038" s="20"/>
      <c r="H3038" s="19"/>
    </row>
    <row r="3039">
      <c r="A3039" s="9"/>
      <c r="B3039" s="15"/>
      <c r="C3039" s="9"/>
      <c r="D3039" s="15"/>
      <c r="E3039" s="16"/>
      <c r="F3039" s="19"/>
      <c r="G3039" s="20"/>
      <c r="H3039" s="19"/>
    </row>
    <row r="3040">
      <c r="A3040" s="9"/>
      <c r="B3040" s="15"/>
      <c r="C3040" s="9"/>
      <c r="D3040" s="15"/>
      <c r="E3040" s="16"/>
      <c r="F3040" s="19"/>
      <c r="G3040" s="20"/>
      <c r="H3040" s="19"/>
    </row>
    <row r="3041">
      <c r="A3041" s="9"/>
      <c r="B3041" s="15"/>
      <c r="C3041" s="9"/>
      <c r="D3041" s="15"/>
      <c r="E3041" s="16"/>
      <c r="F3041" s="19"/>
      <c r="G3041" s="20"/>
      <c r="H3041" s="19"/>
    </row>
    <row r="3042">
      <c r="A3042" s="9"/>
      <c r="B3042" s="15"/>
      <c r="C3042" s="9"/>
      <c r="D3042" s="15"/>
      <c r="E3042" s="16"/>
      <c r="F3042" s="19"/>
      <c r="G3042" s="20"/>
      <c r="H3042" s="19"/>
    </row>
    <row r="3043">
      <c r="A3043" s="9"/>
      <c r="B3043" s="15"/>
      <c r="C3043" s="9"/>
      <c r="D3043" s="15"/>
      <c r="E3043" s="16"/>
      <c r="F3043" s="19"/>
      <c r="G3043" s="20"/>
      <c r="H3043" s="19"/>
    </row>
    <row r="3044">
      <c r="A3044" s="9"/>
      <c r="B3044" s="15"/>
      <c r="C3044" s="9"/>
      <c r="D3044" s="15"/>
      <c r="E3044" s="16"/>
      <c r="F3044" s="19"/>
      <c r="G3044" s="20"/>
      <c r="H3044" s="19"/>
    </row>
    <row r="3045">
      <c r="A3045" s="9"/>
      <c r="B3045" s="15"/>
      <c r="C3045" s="9"/>
      <c r="D3045" s="15"/>
      <c r="E3045" s="16"/>
      <c r="F3045" s="19"/>
      <c r="G3045" s="20"/>
      <c r="H3045" s="19"/>
    </row>
    <row r="3046">
      <c r="A3046" s="9"/>
      <c r="B3046" s="15"/>
      <c r="C3046" s="9"/>
      <c r="D3046" s="15"/>
      <c r="E3046" s="16"/>
      <c r="F3046" s="19"/>
      <c r="G3046" s="20"/>
      <c r="H3046" s="19"/>
    </row>
    <row r="3047">
      <c r="A3047" s="9"/>
      <c r="B3047" s="15"/>
      <c r="C3047" s="9"/>
      <c r="D3047" s="15"/>
      <c r="E3047" s="16"/>
      <c r="F3047" s="19"/>
      <c r="G3047" s="20"/>
      <c r="H3047" s="19"/>
    </row>
    <row r="3048">
      <c r="A3048" s="9"/>
      <c r="B3048" s="15"/>
      <c r="C3048" s="9"/>
      <c r="D3048" s="15"/>
      <c r="E3048" s="16"/>
      <c r="F3048" s="19"/>
      <c r="G3048" s="20"/>
      <c r="H3048" s="19"/>
    </row>
    <row r="3049">
      <c r="A3049" s="9"/>
      <c r="B3049" s="15"/>
      <c r="C3049" s="9"/>
      <c r="D3049" s="15"/>
      <c r="E3049" s="16"/>
      <c r="F3049" s="19"/>
      <c r="G3049" s="20"/>
      <c r="H3049" s="19"/>
    </row>
    <row r="3050">
      <c r="A3050" s="9"/>
      <c r="B3050" s="15"/>
      <c r="C3050" s="9"/>
      <c r="D3050" s="15"/>
      <c r="E3050" s="16"/>
      <c r="F3050" s="19"/>
      <c r="G3050" s="20"/>
      <c r="H3050" s="19"/>
    </row>
    <row r="3051">
      <c r="A3051" s="9"/>
      <c r="B3051" s="15"/>
      <c r="C3051" s="9"/>
      <c r="D3051" s="15"/>
      <c r="E3051" s="16"/>
      <c r="F3051" s="19"/>
      <c r="G3051" s="20"/>
      <c r="H3051" s="19"/>
    </row>
    <row r="3052">
      <c r="A3052" s="9"/>
      <c r="B3052" s="15"/>
      <c r="C3052" s="9"/>
      <c r="D3052" s="15"/>
      <c r="E3052" s="16"/>
      <c r="F3052" s="19"/>
      <c r="G3052" s="20"/>
      <c r="H3052" s="19"/>
    </row>
    <row r="3053">
      <c r="A3053" s="9"/>
      <c r="B3053" s="15"/>
      <c r="C3053" s="9"/>
      <c r="D3053" s="15"/>
      <c r="E3053" s="16"/>
      <c r="F3053" s="19"/>
      <c r="G3053" s="20"/>
      <c r="H3053" s="19"/>
    </row>
    <row r="3054">
      <c r="A3054" s="9"/>
      <c r="B3054" s="15"/>
      <c r="C3054" s="9"/>
      <c r="D3054" s="15"/>
      <c r="E3054" s="16"/>
      <c r="F3054" s="19"/>
      <c r="G3054" s="20"/>
      <c r="H3054" s="19"/>
    </row>
    <row r="3055">
      <c r="A3055" s="9"/>
      <c r="B3055" s="15"/>
      <c r="C3055" s="9"/>
      <c r="D3055" s="15"/>
      <c r="E3055" s="16"/>
      <c r="F3055" s="19"/>
      <c r="G3055" s="20"/>
      <c r="H3055" s="19"/>
    </row>
    <row r="3056">
      <c r="A3056" s="9"/>
      <c r="B3056" s="15"/>
      <c r="C3056" s="9"/>
      <c r="D3056" s="15"/>
      <c r="E3056" s="16"/>
      <c r="F3056" s="19"/>
      <c r="G3056" s="20"/>
      <c r="H3056" s="19"/>
    </row>
    <row r="3057">
      <c r="A3057" s="9"/>
      <c r="B3057" s="15"/>
      <c r="C3057" s="9"/>
      <c r="D3057" s="15"/>
      <c r="E3057" s="16"/>
      <c r="F3057" s="19"/>
      <c r="G3057" s="20"/>
      <c r="H3057" s="19"/>
    </row>
    <row r="3058">
      <c r="A3058" s="9"/>
      <c r="B3058" s="15"/>
      <c r="C3058" s="9"/>
      <c r="D3058" s="15"/>
      <c r="E3058" s="16"/>
      <c r="F3058" s="19"/>
      <c r="G3058" s="20"/>
      <c r="H3058" s="19"/>
    </row>
    <row r="3059">
      <c r="A3059" s="9"/>
      <c r="B3059" s="15"/>
      <c r="C3059" s="9"/>
      <c r="D3059" s="15"/>
      <c r="E3059" s="16"/>
      <c r="F3059" s="19"/>
      <c r="G3059" s="20"/>
      <c r="H3059" s="19"/>
    </row>
    <row r="3060">
      <c r="A3060" s="9"/>
      <c r="B3060" s="15"/>
      <c r="C3060" s="9"/>
      <c r="D3060" s="15"/>
      <c r="E3060" s="16"/>
      <c r="F3060" s="19"/>
      <c r="G3060" s="20"/>
      <c r="H3060" s="19"/>
    </row>
    <row r="3061">
      <c r="A3061" s="9"/>
      <c r="B3061" s="15"/>
      <c r="C3061" s="9"/>
      <c r="D3061" s="15"/>
      <c r="E3061" s="16"/>
      <c r="F3061" s="19"/>
      <c r="G3061" s="20"/>
      <c r="H3061" s="19"/>
    </row>
    <row r="3062">
      <c r="A3062" s="9"/>
      <c r="B3062" s="15"/>
      <c r="C3062" s="9"/>
      <c r="D3062" s="15"/>
      <c r="E3062" s="16"/>
      <c r="F3062" s="19"/>
      <c r="G3062" s="20"/>
      <c r="H3062" s="19"/>
    </row>
    <row r="3063">
      <c r="A3063" s="9"/>
      <c r="B3063" s="15"/>
      <c r="C3063" s="9"/>
      <c r="D3063" s="15"/>
      <c r="E3063" s="16"/>
      <c r="F3063" s="19"/>
      <c r="G3063" s="20"/>
      <c r="H3063" s="19"/>
    </row>
    <row r="3064">
      <c r="A3064" s="9"/>
      <c r="B3064" s="15"/>
      <c r="C3064" s="9"/>
      <c r="D3064" s="15"/>
      <c r="E3064" s="16"/>
      <c r="F3064" s="19"/>
      <c r="G3064" s="20"/>
      <c r="H3064" s="19"/>
    </row>
    <row r="3065">
      <c r="A3065" s="9"/>
      <c r="B3065" s="15"/>
      <c r="C3065" s="9"/>
      <c r="D3065" s="15"/>
      <c r="E3065" s="16"/>
      <c r="F3065" s="19"/>
      <c r="G3065" s="20"/>
      <c r="H3065" s="19"/>
    </row>
    <row r="3066">
      <c r="A3066" s="9"/>
      <c r="B3066" s="15"/>
      <c r="C3066" s="9"/>
      <c r="D3066" s="15"/>
      <c r="E3066" s="16"/>
      <c r="F3066" s="19"/>
      <c r="G3066" s="20"/>
      <c r="H3066" s="19"/>
    </row>
    <row r="3067">
      <c r="A3067" s="9"/>
      <c r="B3067" s="15"/>
      <c r="C3067" s="9"/>
      <c r="D3067" s="15"/>
      <c r="E3067" s="16"/>
      <c r="F3067" s="19"/>
      <c r="G3067" s="20"/>
      <c r="H3067" s="19"/>
    </row>
    <row r="3068">
      <c r="A3068" s="9"/>
      <c r="B3068" s="15"/>
      <c r="C3068" s="9"/>
      <c r="D3068" s="15"/>
      <c r="E3068" s="16"/>
      <c r="F3068" s="19"/>
      <c r="G3068" s="20"/>
      <c r="H3068" s="19"/>
    </row>
    <row r="3069">
      <c r="A3069" s="9"/>
      <c r="B3069" s="15"/>
      <c r="C3069" s="9"/>
      <c r="D3069" s="15"/>
      <c r="E3069" s="16"/>
      <c r="F3069" s="19"/>
      <c r="G3069" s="20"/>
      <c r="H3069" s="19"/>
    </row>
    <row r="3070">
      <c r="A3070" s="9"/>
      <c r="B3070" s="15"/>
      <c r="C3070" s="9"/>
      <c r="D3070" s="15"/>
      <c r="E3070" s="16"/>
      <c r="F3070" s="19"/>
      <c r="G3070" s="20"/>
      <c r="H3070" s="19"/>
    </row>
    <row r="3071">
      <c r="A3071" s="9"/>
      <c r="B3071" s="15"/>
      <c r="C3071" s="9"/>
      <c r="D3071" s="15"/>
      <c r="E3071" s="16"/>
      <c r="F3071" s="19"/>
      <c r="G3071" s="20"/>
      <c r="H3071" s="19"/>
    </row>
    <row r="3072">
      <c r="A3072" s="9"/>
      <c r="B3072" s="15"/>
      <c r="C3072" s="9"/>
      <c r="D3072" s="15"/>
      <c r="E3072" s="16"/>
      <c r="F3072" s="19"/>
      <c r="G3072" s="20"/>
      <c r="H3072" s="19"/>
    </row>
    <row r="3073">
      <c r="A3073" s="9"/>
      <c r="B3073" s="15"/>
      <c r="C3073" s="9"/>
      <c r="D3073" s="15"/>
      <c r="E3073" s="16"/>
      <c r="F3073" s="19"/>
      <c r="G3073" s="20"/>
      <c r="H3073" s="19"/>
    </row>
    <row r="3074">
      <c r="A3074" s="9"/>
      <c r="B3074" s="15"/>
      <c r="C3074" s="9"/>
      <c r="D3074" s="15"/>
      <c r="E3074" s="16"/>
      <c r="F3074" s="19"/>
      <c r="G3074" s="20"/>
      <c r="H3074" s="19"/>
    </row>
    <row r="3075">
      <c r="A3075" s="9"/>
      <c r="B3075" s="15"/>
      <c r="C3075" s="9"/>
      <c r="D3075" s="15"/>
      <c r="E3075" s="16"/>
      <c r="F3075" s="19"/>
      <c r="G3075" s="20"/>
      <c r="H3075" s="19"/>
    </row>
    <row r="3076">
      <c r="A3076" s="9"/>
      <c r="B3076" s="15"/>
      <c r="C3076" s="9"/>
      <c r="D3076" s="15"/>
      <c r="E3076" s="16"/>
      <c r="F3076" s="19"/>
      <c r="G3076" s="20"/>
      <c r="H3076" s="19"/>
    </row>
    <row r="3077">
      <c r="A3077" s="9"/>
      <c r="B3077" s="15"/>
      <c r="C3077" s="9"/>
      <c r="D3077" s="15"/>
      <c r="E3077" s="16"/>
      <c r="F3077" s="19"/>
      <c r="G3077" s="20"/>
      <c r="H3077" s="19"/>
    </row>
    <row r="3078">
      <c r="A3078" s="9"/>
      <c r="B3078" s="15"/>
      <c r="C3078" s="9"/>
      <c r="D3078" s="15"/>
      <c r="E3078" s="16"/>
      <c r="F3078" s="19"/>
      <c r="G3078" s="20"/>
      <c r="H3078" s="19"/>
    </row>
    <row r="3079">
      <c r="A3079" s="9"/>
      <c r="B3079" s="15"/>
      <c r="C3079" s="9"/>
      <c r="D3079" s="15"/>
      <c r="E3079" s="16"/>
      <c r="F3079" s="19"/>
      <c r="G3079" s="20"/>
      <c r="H3079" s="19"/>
    </row>
    <row r="3080">
      <c r="A3080" s="9"/>
      <c r="B3080" s="15"/>
      <c r="C3080" s="9"/>
      <c r="D3080" s="15"/>
      <c r="E3080" s="16"/>
      <c r="F3080" s="19"/>
      <c r="G3080" s="20"/>
      <c r="H3080" s="19"/>
    </row>
    <row r="3081">
      <c r="A3081" s="9"/>
      <c r="B3081" s="15"/>
      <c r="C3081" s="9"/>
      <c r="D3081" s="15"/>
      <c r="E3081" s="16"/>
      <c r="F3081" s="19"/>
      <c r="G3081" s="20"/>
      <c r="H3081" s="19"/>
    </row>
    <row r="3082">
      <c r="A3082" s="9"/>
      <c r="B3082" s="15"/>
      <c r="C3082" s="9"/>
      <c r="D3082" s="15"/>
      <c r="E3082" s="16"/>
      <c r="F3082" s="19"/>
      <c r="G3082" s="20"/>
      <c r="H3082" s="19"/>
    </row>
    <row r="3083">
      <c r="A3083" s="9"/>
      <c r="B3083" s="15"/>
      <c r="C3083" s="9"/>
      <c r="D3083" s="15"/>
      <c r="E3083" s="16"/>
      <c r="F3083" s="19"/>
      <c r="G3083" s="20"/>
      <c r="H3083" s="19"/>
    </row>
    <row r="3084">
      <c r="A3084" s="9"/>
      <c r="B3084" s="15"/>
      <c r="C3084" s="9"/>
      <c r="D3084" s="15"/>
      <c r="E3084" s="16"/>
      <c r="F3084" s="19"/>
      <c r="G3084" s="20"/>
      <c r="H3084" s="19"/>
    </row>
    <row r="3085">
      <c r="A3085" s="9"/>
      <c r="B3085" s="15"/>
      <c r="C3085" s="9"/>
      <c r="D3085" s="15"/>
      <c r="E3085" s="16"/>
      <c r="F3085" s="19"/>
      <c r="G3085" s="20"/>
      <c r="H3085" s="19"/>
    </row>
    <row r="3086">
      <c r="A3086" s="9"/>
      <c r="B3086" s="15"/>
      <c r="C3086" s="9"/>
      <c r="D3086" s="15"/>
      <c r="E3086" s="16"/>
      <c r="F3086" s="19"/>
      <c r="G3086" s="20"/>
      <c r="H3086" s="19"/>
    </row>
    <row r="3087">
      <c r="A3087" s="9"/>
      <c r="B3087" s="15"/>
      <c r="C3087" s="9"/>
      <c r="D3087" s="15"/>
      <c r="E3087" s="16"/>
      <c r="F3087" s="19"/>
      <c r="G3087" s="20"/>
      <c r="H3087" s="19"/>
    </row>
    <row r="3088">
      <c r="A3088" s="9"/>
      <c r="B3088" s="15"/>
      <c r="C3088" s="9"/>
      <c r="D3088" s="15"/>
      <c r="E3088" s="16"/>
      <c r="F3088" s="19"/>
      <c r="G3088" s="20"/>
      <c r="H3088" s="19"/>
    </row>
    <row r="3089">
      <c r="A3089" s="9"/>
      <c r="B3089" s="15"/>
      <c r="C3089" s="9"/>
      <c r="D3089" s="15"/>
      <c r="E3089" s="16"/>
      <c r="F3089" s="19"/>
      <c r="G3089" s="20"/>
      <c r="H3089" s="19"/>
    </row>
    <row r="3090">
      <c r="A3090" s="9"/>
      <c r="B3090" s="15"/>
      <c r="C3090" s="9"/>
      <c r="D3090" s="15"/>
      <c r="E3090" s="16"/>
      <c r="F3090" s="19"/>
      <c r="G3090" s="20"/>
      <c r="H3090" s="19"/>
    </row>
    <row r="3091">
      <c r="A3091" s="9"/>
      <c r="B3091" s="15"/>
      <c r="C3091" s="9"/>
      <c r="D3091" s="15"/>
      <c r="E3091" s="16"/>
      <c r="F3091" s="19"/>
      <c r="G3091" s="20"/>
      <c r="H3091" s="19"/>
    </row>
    <row r="3092">
      <c r="A3092" s="9"/>
      <c r="B3092" s="15"/>
      <c r="C3092" s="9"/>
      <c r="D3092" s="15"/>
      <c r="E3092" s="16"/>
      <c r="F3092" s="19"/>
      <c r="G3092" s="20"/>
      <c r="H3092" s="19"/>
    </row>
    <row r="3093">
      <c r="A3093" s="9"/>
      <c r="B3093" s="15"/>
      <c r="C3093" s="9"/>
      <c r="D3093" s="15"/>
      <c r="E3093" s="16"/>
      <c r="F3093" s="19"/>
      <c r="G3093" s="20"/>
      <c r="H3093" s="19"/>
    </row>
    <row r="3094">
      <c r="A3094" s="9"/>
      <c r="B3094" s="15"/>
      <c r="C3094" s="9"/>
      <c r="D3094" s="15"/>
      <c r="E3094" s="16"/>
      <c r="F3094" s="19"/>
      <c r="G3094" s="20"/>
      <c r="H3094" s="19"/>
    </row>
    <row r="3095">
      <c r="A3095" s="9"/>
      <c r="B3095" s="15"/>
      <c r="C3095" s="9"/>
      <c r="D3095" s="15"/>
      <c r="E3095" s="16"/>
      <c r="F3095" s="19"/>
      <c r="G3095" s="20"/>
      <c r="H3095" s="19"/>
    </row>
    <row r="3096">
      <c r="A3096" s="9"/>
      <c r="B3096" s="15"/>
      <c r="C3096" s="9"/>
      <c r="D3096" s="15"/>
      <c r="E3096" s="16"/>
      <c r="F3096" s="19"/>
      <c r="G3096" s="20"/>
      <c r="H3096" s="19"/>
    </row>
    <row r="3097">
      <c r="A3097" s="9"/>
      <c r="B3097" s="15"/>
      <c r="C3097" s="9"/>
      <c r="D3097" s="15"/>
      <c r="E3097" s="16"/>
      <c r="F3097" s="19"/>
      <c r="G3097" s="20"/>
      <c r="H3097" s="19"/>
    </row>
    <row r="3098">
      <c r="A3098" s="9"/>
      <c r="B3098" s="15"/>
      <c r="C3098" s="9"/>
      <c r="D3098" s="15"/>
      <c r="E3098" s="16"/>
      <c r="F3098" s="19"/>
      <c r="G3098" s="20"/>
      <c r="H3098" s="19"/>
    </row>
    <row r="3099">
      <c r="A3099" s="9"/>
      <c r="B3099" s="15"/>
      <c r="C3099" s="9"/>
      <c r="D3099" s="15"/>
      <c r="E3099" s="16"/>
      <c r="F3099" s="19"/>
      <c r="G3099" s="20"/>
      <c r="H3099" s="19"/>
    </row>
    <row r="3100">
      <c r="A3100" s="9"/>
      <c r="B3100" s="15"/>
      <c r="C3100" s="9"/>
      <c r="D3100" s="15"/>
      <c r="E3100" s="16"/>
      <c r="F3100" s="19"/>
      <c r="G3100" s="20"/>
      <c r="H3100" s="19"/>
    </row>
    <row r="3101">
      <c r="A3101" s="9"/>
      <c r="B3101" s="15"/>
      <c r="C3101" s="9"/>
      <c r="D3101" s="15"/>
      <c r="E3101" s="16"/>
      <c r="F3101" s="19"/>
      <c r="G3101" s="20"/>
      <c r="H3101" s="19"/>
    </row>
    <row r="3102">
      <c r="A3102" s="9"/>
      <c r="B3102" s="15"/>
      <c r="C3102" s="9"/>
      <c r="D3102" s="15"/>
      <c r="E3102" s="16"/>
      <c r="F3102" s="19"/>
      <c r="G3102" s="20"/>
      <c r="H3102" s="19"/>
    </row>
    <row r="3103">
      <c r="A3103" s="9"/>
      <c r="B3103" s="15"/>
      <c r="C3103" s="9"/>
      <c r="D3103" s="15"/>
      <c r="E3103" s="16"/>
      <c r="F3103" s="19"/>
      <c r="G3103" s="20"/>
      <c r="H3103" s="19"/>
    </row>
    <row r="3104">
      <c r="A3104" s="9"/>
      <c r="B3104" s="15"/>
      <c r="C3104" s="9"/>
      <c r="D3104" s="15"/>
      <c r="E3104" s="16"/>
      <c r="F3104" s="19"/>
      <c r="G3104" s="20"/>
      <c r="H3104" s="19"/>
    </row>
    <row r="3105">
      <c r="A3105" s="9"/>
      <c r="B3105" s="15"/>
      <c r="C3105" s="9"/>
      <c r="D3105" s="15"/>
      <c r="E3105" s="16"/>
      <c r="F3105" s="19"/>
      <c r="G3105" s="20"/>
      <c r="H3105" s="19"/>
    </row>
    <row r="3106">
      <c r="A3106" s="9"/>
      <c r="B3106" s="15"/>
      <c r="C3106" s="9"/>
      <c r="D3106" s="15"/>
      <c r="E3106" s="16"/>
      <c r="F3106" s="19"/>
      <c r="G3106" s="20"/>
      <c r="H3106" s="19"/>
    </row>
    <row r="3107">
      <c r="A3107" s="9"/>
      <c r="B3107" s="15"/>
      <c r="C3107" s="9"/>
      <c r="D3107" s="15"/>
      <c r="E3107" s="16"/>
      <c r="F3107" s="19"/>
      <c r="G3107" s="20"/>
      <c r="H3107" s="19"/>
    </row>
    <row r="3108">
      <c r="A3108" s="9"/>
      <c r="B3108" s="15"/>
      <c r="C3108" s="9"/>
      <c r="D3108" s="15"/>
      <c r="E3108" s="16"/>
      <c r="F3108" s="19"/>
      <c r="G3108" s="20"/>
      <c r="H3108" s="19"/>
    </row>
    <row r="3109">
      <c r="A3109" s="9"/>
      <c r="B3109" s="15"/>
      <c r="C3109" s="9"/>
      <c r="D3109" s="15"/>
      <c r="E3109" s="16"/>
      <c r="F3109" s="19"/>
      <c r="G3109" s="20"/>
      <c r="H3109" s="19"/>
    </row>
    <row r="3110">
      <c r="A3110" s="9"/>
      <c r="B3110" s="15"/>
      <c r="C3110" s="9"/>
      <c r="D3110" s="15"/>
      <c r="E3110" s="16"/>
      <c r="F3110" s="19"/>
      <c r="G3110" s="20"/>
      <c r="H3110" s="19"/>
    </row>
    <row r="3111">
      <c r="A3111" s="9"/>
      <c r="B3111" s="15"/>
      <c r="C3111" s="9"/>
      <c r="D3111" s="15"/>
      <c r="E3111" s="16"/>
      <c r="F3111" s="19"/>
      <c r="G3111" s="20"/>
      <c r="H3111" s="19"/>
    </row>
    <row r="3112">
      <c r="A3112" s="9"/>
      <c r="B3112" s="15"/>
      <c r="C3112" s="9"/>
      <c r="D3112" s="15"/>
      <c r="E3112" s="16"/>
      <c r="F3112" s="19"/>
      <c r="G3112" s="20"/>
      <c r="H3112" s="19"/>
    </row>
    <row r="3113">
      <c r="A3113" s="9"/>
      <c r="B3113" s="15"/>
      <c r="C3113" s="9"/>
      <c r="D3113" s="15"/>
      <c r="E3113" s="16"/>
      <c r="F3113" s="19"/>
      <c r="G3113" s="20"/>
      <c r="H3113" s="19"/>
    </row>
    <row r="3114">
      <c r="A3114" s="9"/>
      <c r="B3114" s="15"/>
      <c r="C3114" s="9"/>
      <c r="D3114" s="15"/>
      <c r="E3114" s="16"/>
      <c r="F3114" s="19"/>
      <c r="G3114" s="20"/>
      <c r="H3114" s="19"/>
    </row>
    <row r="3115">
      <c r="A3115" s="9"/>
      <c r="B3115" s="15"/>
      <c r="C3115" s="9"/>
      <c r="D3115" s="15"/>
      <c r="E3115" s="16"/>
      <c r="F3115" s="19"/>
      <c r="G3115" s="20"/>
      <c r="H3115" s="19"/>
    </row>
    <row r="3116">
      <c r="A3116" s="9"/>
      <c r="B3116" s="15"/>
      <c r="C3116" s="9"/>
      <c r="D3116" s="15"/>
      <c r="E3116" s="16"/>
      <c r="F3116" s="19"/>
      <c r="G3116" s="20"/>
      <c r="H3116" s="19"/>
    </row>
    <row r="3117">
      <c r="A3117" s="9"/>
      <c r="B3117" s="15"/>
      <c r="C3117" s="9"/>
      <c r="D3117" s="15"/>
      <c r="E3117" s="16"/>
      <c r="F3117" s="19"/>
      <c r="G3117" s="20"/>
      <c r="H3117" s="19"/>
    </row>
    <row r="3118">
      <c r="A3118" s="9"/>
      <c r="B3118" s="15"/>
      <c r="C3118" s="9"/>
      <c r="D3118" s="15"/>
      <c r="E3118" s="16"/>
      <c r="F3118" s="19"/>
      <c r="G3118" s="20"/>
      <c r="H3118" s="19"/>
    </row>
    <row r="3119">
      <c r="A3119" s="9"/>
      <c r="B3119" s="15"/>
      <c r="C3119" s="9"/>
      <c r="D3119" s="15"/>
      <c r="E3119" s="16"/>
      <c r="F3119" s="19"/>
      <c r="G3119" s="20"/>
      <c r="H3119" s="19"/>
    </row>
    <row r="3120">
      <c r="A3120" s="9"/>
      <c r="B3120" s="15"/>
      <c r="C3120" s="9"/>
      <c r="D3120" s="15"/>
      <c r="E3120" s="16"/>
      <c r="F3120" s="19"/>
      <c r="G3120" s="20"/>
      <c r="H3120" s="19"/>
    </row>
    <row r="3121">
      <c r="A3121" s="9"/>
      <c r="B3121" s="15"/>
      <c r="C3121" s="9"/>
      <c r="D3121" s="15"/>
      <c r="E3121" s="16"/>
      <c r="F3121" s="19"/>
      <c r="G3121" s="20"/>
      <c r="H3121" s="19"/>
    </row>
    <row r="3122">
      <c r="A3122" s="9"/>
      <c r="B3122" s="15"/>
      <c r="C3122" s="9"/>
      <c r="D3122" s="15"/>
      <c r="E3122" s="16"/>
      <c r="F3122" s="19"/>
      <c r="G3122" s="20"/>
      <c r="H3122" s="19"/>
    </row>
    <row r="3123">
      <c r="A3123" s="9"/>
      <c r="B3123" s="15"/>
      <c r="C3123" s="9"/>
      <c r="D3123" s="15"/>
      <c r="E3123" s="16"/>
      <c r="F3123" s="19"/>
      <c r="G3123" s="20"/>
      <c r="H3123" s="19"/>
    </row>
    <row r="3124">
      <c r="A3124" s="9"/>
      <c r="B3124" s="15"/>
      <c r="C3124" s="9"/>
      <c r="D3124" s="15"/>
      <c r="E3124" s="16"/>
      <c r="F3124" s="19"/>
      <c r="G3124" s="20"/>
      <c r="H3124" s="19"/>
    </row>
    <row r="3125">
      <c r="A3125" s="9"/>
      <c r="B3125" s="15"/>
      <c r="C3125" s="9"/>
      <c r="D3125" s="15"/>
      <c r="E3125" s="16"/>
      <c r="F3125" s="19"/>
      <c r="G3125" s="20"/>
      <c r="H3125" s="19"/>
    </row>
    <row r="3126">
      <c r="A3126" s="9"/>
      <c r="B3126" s="15"/>
      <c r="C3126" s="9"/>
      <c r="D3126" s="15"/>
      <c r="E3126" s="16"/>
      <c r="F3126" s="19"/>
      <c r="G3126" s="20"/>
      <c r="H3126" s="19"/>
    </row>
    <row r="3127">
      <c r="A3127" s="9"/>
      <c r="B3127" s="15"/>
      <c r="C3127" s="9"/>
      <c r="D3127" s="15"/>
      <c r="E3127" s="16"/>
      <c r="F3127" s="19"/>
      <c r="G3127" s="20"/>
      <c r="H3127" s="19"/>
    </row>
    <row r="3128">
      <c r="A3128" s="9"/>
      <c r="B3128" s="15"/>
      <c r="C3128" s="9"/>
      <c r="D3128" s="15"/>
      <c r="E3128" s="16"/>
      <c r="F3128" s="19"/>
      <c r="G3128" s="20"/>
      <c r="H3128" s="19"/>
    </row>
    <row r="3129">
      <c r="A3129" s="9"/>
      <c r="B3129" s="15"/>
      <c r="C3129" s="9"/>
      <c r="D3129" s="15"/>
      <c r="E3129" s="16"/>
      <c r="F3129" s="19"/>
      <c r="G3129" s="20"/>
      <c r="H3129" s="19"/>
    </row>
    <row r="3130">
      <c r="A3130" s="9"/>
      <c r="B3130" s="15"/>
      <c r="C3130" s="9"/>
      <c r="D3130" s="15"/>
      <c r="E3130" s="16"/>
      <c r="F3130" s="19"/>
      <c r="G3130" s="20"/>
      <c r="H3130" s="19"/>
    </row>
    <row r="3131">
      <c r="A3131" s="9"/>
      <c r="B3131" s="15"/>
      <c r="C3131" s="9"/>
      <c r="D3131" s="15"/>
      <c r="E3131" s="16"/>
      <c r="F3131" s="19"/>
      <c r="G3131" s="20"/>
      <c r="H3131" s="19"/>
    </row>
    <row r="3132">
      <c r="A3132" s="9"/>
      <c r="B3132" s="15"/>
      <c r="C3132" s="9"/>
      <c r="D3132" s="15"/>
      <c r="E3132" s="16"/>
      <c r="F3132" s="19"/>
      <c r="G3132" s="20"/>
      <c r="H3132" s="19"/>
    </row>
    <row r="3133">
      <c r="A3133" s="9"/>
      <c r="B3133" s="15"/>
      <c r="C3133" s="9"/>
      <c r="D3133" s="15"/>
      <c r="E3133" s="16"/>
      <c r="F3133" s="19"/>
      <c r="G3133" s="20"/>
      <c r="H3133" s="19"/>
    </row>
    <row r="3134">
      <c r="A3134" s="9"/>
      <c r="B3134" s="15"/>
      <c r="C3134" s="9"/>
      <c r="D3134" s="15"/>
      <c r="E3134" s="16"/>
      <c r="F3134" s="19"/>
      <c r="G3134" s="20"/>
      <c r="H3134" s="19"/>
    </row>
    <row r="3135">
      <c r="A3135" s="9"/>
      <c r="B3135" s="15"/>
      <c r="C3135" s="9"/>
      <c r="D3135" s="15"/>
      <c r="E3135" s="16"/>
      <c r="F3135" s="19"/>
      <c r="G3135" s="20"/>
      <c r="H3135" s="19"/>
    </row>
    <row r="3136">
      <c r="A3136" s="9"/>
      <c r="B3136" s="15"/>
      <c r="C3136" s="9"/>
      <c r="D3136" s="15"/>
      <c r="E3136" s="16"/>
      <c r="F3136" s="19"/>
      <c r="G3136" s="20"/>
      <c r="H3136" s="19"/>
    </row>
    <row r="3137">
      <c r="A3137" s="9"/>
      <c r="B3137" s="15"/>
      <c r="C3137" s="9"/>
      <c r="D3137" s="15"/>
      <c r="E3137" s="16"/>
      <c r="F3137" s="19"/>
      <c r="G3137" s="20"/>
      <c r="H3137" s="19"/>
    </row>
    <row r="3138">
      <c r="A3138" s="9"/>
      <c r="B3138" s="15"/>
      <c r="C3138" s="9"/>
      <c r="D3138" s="15"/>
      <c r="E3138" s="16"/>
      <c r="F3138" s="19"/>
      <c r="G3138" s="20"/>
      <c r="H3138" s="19"/>
    </row>
    <row r="3139">
      <c r="A3139" s="9"/>
      <c r="B3139" s="15"/>
      <c r="C3139" s="9"/>
      <c r="D3139" s="15"/>
      <c r="E3139" s="16"/>
      <c r="F3139" s="19"/>
      <c r="G3139" s="20"/>
      <c r="H3139" s="19"/>
    </row>
    <row r="3140">
      <c r="A3140" s="9"/>
      <c r="B3140" s="15"/>
      <c r="C3140" s="9"/>
      <c r="D3140" s="15"/>
      <c r="E3140" s="16"/>
      <c r="F3140" s="19"/>
      <c r="G3140" s="20"/>
      <c r="H3140" s="19"/>
    </row>
    <row r="3141">
      <c r="A3141" s="9"/>
      <c r="B3141" s="15"/>
      <c r="C3141" s="9"/>
      <c r="D3141" s="15"/>
      <c r="E3141" s="16"/>
      <c r="F3141" s="19"/>
      <c r="G3141" s="20"/>
      <c r="H3141" s="19"/>
    </row>
    <row r="3142">
      <c r="A3142" s="9"/>
      <c r="B3142" s="15"/>
      <c r="C3142" s="9"/>
      <c r="D3142" s="15"/>
      <c r="E3142" s="16"/>
      <c r="F3142" s="19"/>
      <c r="G3142" s="20"/>
      <c r="H3142" s="19"/>
    </row>
    <row r="3143">
      <c r="A3143" s="9"/>
      <c r="B3143" s="15"/>
      <c r="C3143" s="9"/>
      <c r="D3143" s="15"/>
      <c r="E3143" s="16"/>
      <c r="F3143" s="19"/>
      <c r="G3143" s="20"/>
      <c r="H3143" s="19"/>
    </row>
    <row r="3144">
      <c r="A3144" s="9"/>
      <c r="B3144" s="15"/>
      <c r="C3144" s="9"/>
      <c r="D3144" s="15"/>
      <c r="E3144" s="16"/>
      <c r="F3144" s="19"/>
      <c r="G3144" s="20"/>
      <c r="H3144" s="19"/>
    </row>
    <row r="3145">
      <c r="A3145" s="9"/>
      <c r="B3145" s="15"/>
      <c r="C3145" s="9"/>
      <c r="D3145" s="15"/>
      <c r="E3145" s="16"/>
      <c r="F3145" s="19"/>
      <c r="G3145" s="20"/>
      <c r="H3145" s="19"/>
    </row>
    <row r="3146">
      <c r="A3146" s="9"/>
      <c r="B3146" s="15"/>
      <c r="C3146" s="9"/>
      <c r="D3146" s="15"/>
      <c r="E3146" s="16"/>
      <c r="F3146" s="19"/>
      <c r="G3146" s="20"/>
      <c r="H3146" s="19"/>
    </row>
    <row r="3147">
      <c r="A3147" s="9"/>
      <c r="B3147" s="15"/>
      <c r="C3147" s="9"/>
      <c r="D3147" s="15"/>
      <c r="E3147" s="16"/>
      <c r="F3147" s="19"/>
      <c r="G3147" s="20"/>
      <c r="H3147" s="19"/>
    </row>
    <row r="3148">
      <c r="A3148" s="9"/>
      <c r="B3148" s="15"/>
      <c r="C3148" s="9"/>
      <c r="D3148" s="15"/>
      <c r="E3148" s="16"/>
      <c r="F3148" s="19"/>
      <c r="G3148" s="20"/>
      <c r="H3148" s="19"/>
    </row>
    <row r="3149">
      <c r="A3149" s="9"/>
      <c r="B3149" s="15"/>
      <c r="C3149" s="9"/>
      <c r="D3149" s="15"/>
      <c r="E3149" s="16"/>
      <c r="F3149" s="19"/>
      <c r="G3149" s="20"/>
      <c r="H3149" s="19"/>
    </row>
    <row r="3150">
      <c r="A3150" s="9"/>
      <c r="B3150" s="15"/>
      <c r="C3150" s="9"/>
      <c r="D3150" s="15"/>
      <c r="E3150" s="16"/>
      <c r="F3150" s="19"/>
      <c r="G3150" s="20"/>
      <c r="H3150" s="19"/>
    </row>
    <row r="3151">
      <c r="A3151" s="9"/>
      <c r="B3151" s="15"/>
      <c r="C3151" s="9"/>
      <c r="D3151" s="15"/>
      <c r="E3151" s="16"/>
      <c r="F3151" s="19"/>
      <c r="G3151" s="20"/>
      <c r="H3151" s="19"/>
    </row>
    <row r="3152">
      <c r="A3152" s="9"/>
      <c r="B3152" s="15"/>
      <c r="C3152" s="9"/>
      <c r="D3152" s="15"/>
      <c r="E3152" s="16"/>
      <c r="F3152" s="19"/>
      <c r="G3152" s="20"/>
      <c r="H3152" s="19"/>
    </row>
    <row r="3153">
      <c r="A3153" s="9"/>
      <c r="B3153" s="15"/>
      <c r="C3153" s="9"/>
      <c r="D3153" s="15"/>
      <c r="E3153" s="16"/>
      <c r="F3153" s="19"/>
      <c r="G3153" s="20"/>
      <c r="H3153" s="19"/>
    </row>
    <row r="3154">
      <c r="A3154" s="9"/>
      <c r="B3154" s="15"/>
      <c r="C3154" s="9"/>
      <c r="D3154" s="15"/>
      <c r="E3154" s="16"/>
      <c r="F3154" s="19"/>
      <c r="G3154" s="20"/>
      <c r="H3154" s="19"/>
    </row>
    <row r="3155">
      <c r="A3155" s="9"/>
      <c r="B3155" s="15"/>
      <c r="C3155" s="9"/>
      <c r="D3155" s="15"/>
      <c r="E3155" s="16"/>
      <c r="F3155" s="19"/>
      <c r="G3155" s="20"/>
      <c r="H3155" s="19"/>
    </row>
    <row r="3156">
      <c r="A3156" s="9"/>
      <c r="B3156" s="15"/>
      <c r="C3156" s="9"/>
      <c r="D3156" s="15"/>
      <c r="E3156" s="16"/>
      <c r="F3156" s="19"/>
      <c r="G3156" s="20"/>
      <c r="H3156" s="19"/>
    </row>
    <row r="3157">
      <c r="A3157" s="9"/>
      <c r="B3157" s="15"/>
      <c r="C3157" s="9"/>
      <c r="D3157" s="15"/>
      <c r="E3157" s="16"/>
      <c r="F3157" s="19"/>
      <c r="G3157" s="20"/>
      <c r="H3157" s="19"/>
    </row>
    <row r="3158">
      <c r="A3158" s="9"/>
      <c r="B3158" s="15"/>
      <c r="C3158" s="9"/>
      <c r="D3158" s="15"/>
      <c r="E3158" s="16"/>
      <c r="F3158" s="19"/>
      <c r="G3158" s="20"/>
      <c r="H3158" s="19"/>
    </row>
    <row r="3159">
      <c r="A3159" s="9"/>
      <c r="B3159" s="15"/>
      <c r="C3159" s="9"/>
      <c r="D3159" s="15"/>
      <c r="E3159" s="16"/>
      <c r="F3159" s="19"/>
      <c r="G3159" s="20"/>
      <c r="H3159" s="19"/>
    </row>
    <row r="3160">
      <c r="A3160" s="9"/>
      <c r="B3160" s="15"/>
      <c r="C3160" s="9"/>
      <c r="D3160" s="15"/>
      <c r="E3160" s="16"/>
      <c r="F3160" s="19"/>
      <c r="G3160" s="20"/>
      <c r="H3160" s="19"/>
    </row>
    <row r="3161">
      <c r="A3161" s="9"/>
      <c r="B3161" s="15"/>
      <c r="C3161" s="9"/>
      <c r="D3161" s="15"/>
      <c r="E3161" s="16"/>
      <c r="F3161" s="19"/>
      <c r="G3161" s="20"/>
      <c r="H3161" s="19"/>
    </row>
    <row r="3162">
      <c r="A3162" s="9"/>
      <c r="B3162" s="15"/>
      <c r="C3162" s="9"/>
      <c r="D3162" s="15"/>
      <c r="E3162" s="16"/>
      <c r="F3162" s="19"/>
      <c r="G3162" s="20"/>
      <c r="H3162" s="19"/>
    </row>
    <row r="3163">
      <c r="A3163" s="9"/>
      <c r="B3163" s="15"/>
      <c r="C3163" s="9"/>
      <c r="D3163" s="15"/>
      <c r="E3163" s="16"/>
      <c r="F3163" s="19"/>
      <c r="G3163" s="20"/>
      <c r="H3163" s="19"/>
    </row>
    <row r="3164">
      <c r="A3164" s="9"/>
      <c r="B3164" s="15"/>
      <c r="C3164" s="9"/>
      <c r="D3164" s="15"/>
      <c r="E3164" s="16"/>
      <c r="F3164" s="19"/>
      <c r="G3164" s="20"/>
      <c r="H3164" s="19"/>
    </row>
    <row r="3165">
      <c r="A3165" s="9"/>
      <c r="B3165" s="15"/>
      <c r="C3165" s="9"/>
      <c r="D3165" s="15"/>
      <c r="E3165" s="16"/>
      <c r="F3165" s="19"/>
      <c r="G3165" s="20"/>
      <c r="H3165" s="19"/>
    </row>
    <row r="3166">
      <c r="A3166" s="9"/>
      <c r="B3166" s="15"/>
      <c r="C3166" s="9"/>
      <c r="D3166" s="15"/>
      <c r="E3166" s="16"/>
      <c r="F3166" s="19"/>
      <c r="G3166" s="20"/>
      <c r="H3166" s="19"/>
    </row>
    <row r="3167">
      <c r="A3167" s="9"/>
      <c r="B3167" s="15"/>
      <c r="C3167" s="9"/>
      <c r="D3167" s="15"/>
      <c r="E3167" s="16"/>
      <c r="F3167" s="19"/>
      <c r="G3167" s="20"/>
      <c r="H3167" s="19"/>
    </row>
    <row r="3168">
      <c r="A3168" s="9"/>
      <c r="B3168" s="15"/>
      <c r="C3168" s="9"/>
      <c r="D3168" s="15"/>
      <c r="E3168" s="16"/>
      <c r="F3168" s="19"/>
      <c r="G3168" s="20"/>
      <c r="H3168" s="19"/>
    </row>
    <row r="3169">
      <c r="A3169" s="9"/>
      <c r="B3169" s="15"/>
      <c r="C3169" s="9"/>
      <c r="D3169" s="15"/>
      <c r="E3169" s="16"/>
      <c r="F3169" s="19"/>
      <c r="G3169" s="20"/>
      <c r="H3169" s="19"/>
    </row>
    <row r="3170">
      <c r="A3170" s="9"/>
      <c r="B3170" s="15"/>
      <c r="C3170" s="9"/>
      <c r="D3170" s="15"/>
      <c r="E3170" s="16"/>
      <c r="F3170" s="19"/>
      <c r="G3170" s="20"/>
      <c r="H3170" s="19"/>
    </row>
    <row r="3171">
      <c r="A3171" s="9"/>
      <c r="B3171" s="15"/>
      <c r="C3171" s="9"/>
      <c r="D3171" s="15"/>
      <c r="E3171" s="16"/>
      <c r="F3171" s="19"/>
      <c r="G3171" s="20"/>
      <c r="H3171" s="19"/>
    </row>
    <row r="3172">
      <c r="A3172" s="9"/>
      <c r="B3172" s="15"/>
      <c r="C3172" s="9"/>
      <c r="D3172" s="15"/>
      <c r="E3172" s="16"/>
      <c r="F3172" s="19"/>
      <c r="G3172" s="20"/>
      <c r="H3172" s="19"/>
    </row>
    <row r="3173">
      <c r="A3173" s="9"/>
      <c r="B3173" s="15"/>
      <c r="C3173" s="9"/>
      <c r="D3173" s="15"/>
      <c r="E3173" s="16"/>
      <c r="F3173" s="19"/>
      <c r="G3173" s="20"/>
      <c r="H3173" s="19"/>
    </row>
    <row r="3174">
      <c r="A3174" s="9"/>
      <c r="B3174" s="15"/>
      <c r="C3174" s="9"/>
      <c r="D3174" s="15"/>
      <c r="E3174" s="16"/>
      <c r="F3174" s="19"/>
      <c r="G3174" s="20"/>
      <c r="H3174" s="19"/>
    </row>
    <row r="3175">
      <c r="A3175" s="9"/>
      <c r="B3175" s="15"/>
      <c r="C3175" s="9"/>
      <c r="D3175" s="15"/>
      <c r="E3175" s="16"/>
      <c r="F3175" s="19"/>
      <c r="G3175" s="20"/>
      <c r="H3175" s="19"/>
    </row>
    <row r="3176">
      <c r="A3176" s="9"/>
      <c r="B3176" s="15"/>
      <c r="C3176" s="9"/>
      <c r="D3176" s="15"/>
      <c r="E3176" s="16"/>
      <c r="F3176" s="19"/>
      <c r="G3176" s="20"/>
      <c r="H3176" s="19"/>
    </row>
    <row r="3177">
      <c r="A3177" s="9"/>
      <c r="B3177" s="15"/>
      <c r="C3177" s="9"/>
      <c r="D3177" s="15"/>
      <c r="E3177" s="16"/>
      <c r="F3177" s="19"/>
      <c r="G3177" s="20"/>
      <c r="H3177" s="19"/>
    </row>
    <row r="3178">
      <c r="A3178" s="9"/>
      <c r="B3178" s="15"/>
      <c r="C3178" s="9"/>
      <c r="D3178" s="15"/>
      <c r="E3178" s="16"/>
      <c r="F3178" s="19"/>
      <c r="G3178" s="20"/>
      <c r="H3178" s="19"/>
    </row>
    <row r="3179">
      <c r="A3179" s="9"/>
      <c r="B3179" s="15"/>
      <c r="C3179" s="9"/>
      <c r="D3179" s="15"/>
      <c r="E3179" s="16"/>
      <c r="F3179" s="19"/>
      <c r="G3179" s="20"/>
      <c r="H3179" s="19"/>
    </row>
    <row r="3180">
      <c r="A3180" s="9"/>
      <c r="B3180" s="15"/>
      <c r="C3180" s="9"/>
      <c r="D3180" s="15"/>
      <c r="E3180" s="16"/>
      <c r="F3180" s="19"/>
      <c r="G3180" s="20"/>
      <c r="H3180" s="19"/>
    </row>
    <row r="3181">
      <c r="A3181" s="9"/>
      <c r="B3181" s="15"/>
      <c r="C3181" s="9"/>
      <c r="D3181" s="15"/>
      <c r="E3181" s="16"/>
      <c r="F3181" s="19"/>
      <c r="G3181" s="20"/>
      <c r="H3181" s="19"/>
    </row>
    <row r="3182">
      <c r="A3182" s="9"/>
      <c r="B3182" s="15"/>
      <c r="C3182" s="9"/>
      <c r="D3182" s="15"/>
      <c r="E3182" s="16"/>
      <c r="F3182" s="19"/>
      <c r="G3182" s="20"/>
      <c r="H3182" s="19"/>
    </row>
    <row r="3183">
      <c r="A3183" s="9"/>
      <c r="B3183" s="15"/>
      <c r="C3183" s="9"/>
      <c r="D3183" s="15"/>
      <c r="E3183" s="16"/>
      <c r="F3183" s="19"/>
      <c r="G3183" s="20"/>
      <c r="H3183" s="19"/>
    </row>
    <row r="3184">
      <c r="A3184" s="9"/>
      <c r="B3184" s="15"/>
      <c r="C3184" s="9"/>
      <c r="D3184" s="15"/>
      <c r="E3184" s="16"/>
      <c r="F3184" s="19"/>
      <c r="G3184" s="20"/>
      <c r="H3184" s="19"/>
    </row>
    <row r="3185">
      <c r="A3185" s="9"/>
      <c r="B3185" s="15"/>
      <c r="C3185" s="9"/>
      <c r="D3185" s="15"/>
      <c r="E3185" s="16"/>
      <c r="F3185" s="19"/>
      <c r="G3185" s="20"/>
      <c r="H3185" s="19"/>
    </row>
    <row r="3186">
      <c r="A3186" s="9"/>
      <c r="B3186" s="15"/>
      <c r="C3186" s="9"/>
      <c r="D3186" s="15"/>
      <c r="E3186" s="16"/>
      <c r="F3186" s="19"/>
      <c r="G3186" s="20"/>
      <c r="H3186" s="19"/>
    </row>
    <row r="3187">
      <c r="A3187" s="9"/>
      <c r="B3187" s="15"/>
      <c r="C3187" s="9"/>
      <c r="D3187" s="15"/>
      <c r="E3187" s="16"/>
      <c r="F3187" s="19"/>
      <c r="G3187" s="20"/>
      <c r="H3187" s="19"/>
    </row>
    <row r="3188">
      <c r="A3188" s="9"/>
      <c r="B3188" s="15"/>
      <c r="C3188" s="9"/>
      <c r="D3188" s="15"/>
      <c r="E3188" s="16"/>
      <c r="F3188" s="19"/>
      <c r="G3188" s="20"/>
      <c r="H3188" s="19"/>
    </row>
    <row r="3189">
      <c r="A3189" s="9"/>
      <c r="B3189" s="15"/>
      <c r="C3189" s="9"/>
      <c r="D3189" s="15"/>
      <c r="E3189" s="16"/>
      <c r="F3189" s="19"/>
      <c r="G3189" s="20"/>
      <c r="H3189" s="19"/>
    </row>
    <row r="3190">
      <c r="A3190" s="9"/>
      <c r="B3190" s="15"/>
      <c r="C3190" s="9"/>
      <c r="D3190" s="15"/>
      <c r="E3190" s="16"/>
      <c r="F3190" s="19"/>
      <c r="G3190" s="20"/>
      <c r="H3190" s="19"/>
    </row>
    <row r="3191">
      <c r="A3191" s="9"/>
      <c r="B3191" s="15"/>
      <c r="C3191" s="9"/>
      <c r="D3191" s="15"/>
      <c r="E3191" s="16"/>
      <c r="F3191" s="19"/>
      <c r="G3191" s="20"/>
      <c r="H3191" s="19"/>
    </row>
    <row r="3192">
      <c r="A3192" s="9"/>
      <c r="B3192" s="15"/>
      <c r="C3192" s="9"/>
      <c r="D3192" s="15"/>
      <c r="E3192" s="16"/>
      <c r="F3192" s="19"/>
      <c r="G3192" s="20"/>
      <c r="H3192" s="19"/>
    </row>
    <row r="3193">
      <c r="A3193" s="9"/>
      <c r="B3193" s="15"/>
      <c r="C3193" s="9"/>
      <c r="D3193" s="15"/>
      <c r="E3193" s="16"/>
      <c r="F3193" s="19"/>
      <c r="G3193" s="20"/>
      <c r="H3193" s="19"/>
    </row>
    <row r="3194">
      <c r="A3194" s="9"/>
      <c r="B3194" s="15"/>
      <c r="C3194" s="9"/>
      <c r="D3194" s="15"/>
      <c r="E3194" s="16"/>
      <c r="F3194" s="19"/>
      <c r="G3194" s="20"/>
      <c r="H3194" s="19"/>
    </row>
    <row r="3195">
      <c r="A3195" s="9"/>
      <c r="B3195" s="15"/>
      <c r="C3195" s="9"/>
      <c r="D3195" s="15"/>
      <c r="E3195" s="16"/>
      <c r="F3195" s="19"/>
      <c r="G3195" s="20"/>
      <c r="H3195" s="19"/>
    </row>
    <row r="3196">
      <c r="A3196" s="9"/>
      <c r="B3196" s="15"/>
      <c r="C3196" s="9"/>
      <c r="D3196" s="15"/>
      <c r="E3196" s="16"/>
      <c r="F3196" s="19"/>
      <c r="G3196" s="20"/>
      <c r="H3196" s="19"/>
    </row>
    <row r="3197">
      <c r="A3197" s="9"/>
      <c r="B3197" s="15"/>
      <c r="C3197" s="9"/>
      <c r="D3197" s="15"/>
      <c r="E3197" s="16"/>
      <c r="F3197" s="19"/>
      <c r="G3197" s="20"/>
      <c r="H3197" s="19"/>
    </row>
    <row r="3198">
      <c r="A3198" s="9"/>
      <c r="B3198" s="15"/>
      <c r="C3198" s="9"/>
      <c r="D3198" s="15"/>
      <c r="E3198" s="16"/>
      <c r="F3198" s="19"/>
      <c r="G3198" s="20"/>
      <c r="H3198" s="19"/>
    </row>
    <row r="3199">
      <c r="A3199" s="9"/>
      <c r="B3199" s="15"/>
      <c r="C3199" s="9"/>
      <c r="D3199" s="15"/>
      <c r="E3199" s="16"/>
      <c r="F3199" s="19"/>
      <c r="G3199" s="20"/>
      <c r="H3199" s="19"/>
    </row>
    <row r="3200">
      <c r="A3200" s="9"/>
      <c r="B3200" s="15"/>
      <c r="C3200" s="9"/>
      <c r="D3200" s="15"/>
      <c r="E3200" s="16"/>
      <c r="F3200" s="19"/>
      <c r="G3200" s="20"/>
      <c r="H3200" s="19"/>
    </row>
    <row r="3201">
      <c r="A3201" s="9"/>
      <c r="B3201" s="15"/>
      <c r="C3201" s="9"/>
      <c r="D3201" s="15"/>
      <c r="E3201" s="16"/>
      <c r="F3201" s="19"/>
      <c r="G3201" s="20"/>
      <c r="H3201" s="19"/>
    </row>
    <row r="3202">
      <c r="A3202" s="9"/>
      <c r="B3202" s="15"/>
      <c r="C3202" s="9"/>
      <c r="D3202" s="15"/>
      <c r="E3202" s="16"/>
      <c r="F3202" s="19"/>
      <c r="G3202" s="20"/>
      <c r="H3202" s="19"/>
    </row>
    <row r="3203">
      <c r="A3203" s="9"/>
      <c r="B3203" s="15"/>
      <c r="C3203" s="9"/>
      <c r="D3203" s="15"/>
      <c r="E3203" s="16"/>
      <c r="F3203" s="19"/>
      <c r="G3203" s="20"/>
      <c r="H3203" s="19"/>
    </row>
    <row r="3204">
      <c r="A3204" s="9"/>
      <c r="B3204" s="15"/>
      <c r="C3204" s="9"/>
      <c r="D3204" s="15"/>
      <c r="E3204" s="16"/>
      <c r="F3204" s="19"/>
      <c r="G3204" s="20"/>
      <c r="H3204" s="19"/>
    </row>
    <row r="3205">
      <c r="A3205" s="9"/>
      <c r="B3205" s="15"/>
      <c r="C3205" s="9"/>
      <c r="D3205" s="15"/>
      <c r="E3205" s="16"/>
      <c r="F3205" s="19"/>
      <c r="G3205" s="20"/>
      <c r="H3205" s="19"/>
    </row>
    <row r="3206">
      <c r="A3206" s="9"/>
      <c r="B3206" s="15"/>
      <c r="C3206" s="9"/>
      <c r="D3206" s="15"/>
      <c r="E3206" s="16"/>
      <c r="F3206" s="19"/>
      <c r="G3206" s="20"/>
      <c r="H3206" s="19"/>
    </row>
    <row r="3207">
      <c r="A3207" s="9"/>
      <c r="B3207" s="15"/>
      <c r="C3207" s="9"/>
      <c r="D3207" s="15"/>
      <c r="E3207" s="16"/>
      <c r="F3207" s="19"/>
      <c r="G3207" s="20"/>
      <c r="H3207" s="19"/>
    </row>
    <row r="3208">
      <c r="A3208" s="9"/>
      <c r="B3208" s="15"/>
      <c r="C3208" s="9"/>
      <c r="D3208" s="15"/>
      <c r="E3208" s="16"/>
      <c r="F3208" s="19"/>
      <c r="G3208" s="20"/>
      <c r="H3208" s="19"/>
    </row>
    <row r="3209">
      <c r="A3209" s="9"/>
      <c r="B3209" s="15"/>
      <c r="C3209" s="9"/>
      <c r="D3209" s="15"/>
      <c r="E3209" s="16"/>
      <c r="F3209" s="19"/>
      <c r="G3209" s="20"/>
      <c r="H3209" s="19"/>
    </row>
    <row r="3210">
      <c r="A3210" s="9"/>
      <c r="B3210" s="15"/>
      <c r="C3210" s="9"/>
      <c r="D3210" s="15"/>
      <c r="E3210" s="16"/>
      <c r="F3210" s="19"/>
      <c r="G3210" s="20"/>
      <c r="H3210" s="19"/>
    </row>
    <row r="3211">
      <c r="A3211" s="9"/>
      <c r="B3211" s="15"/>
      <c r="C3211" s="9"/>
      <c r="D3211" s="15"/>
      <c r="E3211" s="16"/>
      <c r="F3211" s="19"/>
      <c r="G3211" s="20"/>
      <c r="H3211" s="19"/>
    </row>
    <row r="3212">
      <c r="A3212" s="9"/>
      <c r="B3212" s="15"/>
      <c r="C3212" s="9"/>
      <c r="D3212" s="15"/>
      <c r="E3212" s="16"/>
      <c r="F3212" s="19"/>
      <c r="G3212" s="20"/>
      <c r="H3212" s="19"/>
    </row>
    <row r="3213">
      <c r="A3213" s="9"/>
      <c r="B3213" s="15"/>
      <c r="C3213" s="9"/>
      <c r="D3213" s="15"/>
      <c r="E3213" s="16"/>
      <c r="F3213" s="19"/>
      <c r="G3213" s="20"/>
      <c r="H3213" s="19"/>
    </row>
    <row r="3214">
      <c r="A3214" s="9"/>
      <c r="B3214" s="15"/>
      <c r="C3214" s="9"/>
      <c r="D3214" s="15"/>
      <c r="E3214" s="16"/>
      <c r="F3214" s="19"/>
      <c r="G3214" s="20"/>
      <c r="H3214" s="19"/>
    </row>
    <row r="3215">
      <c r="A3215" s="9"/>
      <c r="B3215" s="15"/>
      <c r="C3215" s="9"/>
      <c r="D3215" s="15"/>
      <c r="E3215" s="16"/>
      <c r="F3215" s="19"/>
      <c r="G3215" s="20"/>
      <c r="H3215" s="19"/>
    </row>
    <row r="3216">
      <c r="A3216" s="9"/>
      <c r="B3216" s="15"/>
      <c r="C3216" s="9"/>
      <c r="D3216" s="15"/>
      <c r="E3216" s="16"/>
      <c r="F3216" s="19"/>
      <c r="G3216" s="20"/>
      <c r="H3216" s="19"/>
    </row>
    <row r="3217">
      <c r="A3217" s="9"/>
      <c r="B3217" s="15"/>
      <c r="C3217" s="9"/>
      <c r="D3217" s="15"/>
      <c r="E3217" s="16"/>
      <c r="F3217" s="19"/>
      <c r="G3217" s="20"/>
      <c r="H3217" s="19"/>
    </row>
    <row r="3218">
      <c r="A3218" s="9"/>
      <c r="B3218" s="15"/>
      <c r="C3218" s="9"/>
      <c r="D3218" s="15"/>
      <c r="E3218" s="16"/>
      <c r="F3218" s="19"/>
      <c r="G3218" s="20"/>
      <c r="H3218" s="19"/>
    </row>
    <row r="3219">
      <c r="A3219" s="9"/>
      <c r="B3219" s="15"/>
      <c r="C3219" s="9"/>
      <c r="D3219" s="15"/>
      <c r="E3219" s="16"/>
      <c r="F3219" s="19"/>
      <c r="G3219" s="20"/>
      <c r="H3219" s="19"/>
    </row>
    <row r="3220">
      <c r="A3220" s="9"/>
      <c r="B3220" s="15"/>
      <c r="C3220" s="9"/>
      <c r="D3220" s="15"/>
      <c r="E3220" s="16"/>
      <c r="F3220" s="19"/>
      <c r="G3220" s="20"/>
      <c r="H3220" s="19"/>
    </row>
    <row r="3221">
      <c r="A3221" s="9"/>
      <c r="B3221" s="15"/>
      <c r="C3221" s="9"/>
      <c r="D3221" s="15"/>
      <c r="E3221" s="16"/>
      <c r="F3221" s="19"/>
      <c r="G3221" s="20"/>
      <c r="H3221" s="19"/>
    </row>
    <row r="3222">
      <c r="A3222" s="9"/>
      <c r="B3222" s="15"/>
      <c r="C3222" s="9"/>
      <c r="D3222" s="15"/>
      <c r="E3222" s="16"/>
      <c r="F3222" s="19"/>
      <c r="G3222" s="20"/>
      <c r="H3222" s="19"/>
    </row>
    <row r="3223">
      <c r="A3223" s="9"/>
      <c r="B3223" s="15"/>
      <c r="C3223" s="9"/>
      <c r="D3223" s="15"/>
      <c r="E3223" s="16"/>
      <c r="F3223" s="19"/>
      <c r="G3223" s="20"/>
      <c r="H3223" s="19"/>
    </row>
    <row r="3224">
      <c r="A3224" s="9"/>
      <c r="B3224" s="15"/>
      <c r="C3224" s="9"/>
      <c r="D3224" s="15"/>
      <c r="E3224" s="16"/>
      <c r="F3224" s="19"/>
      <c r="G3224" s="20"/>
      <c r="H3224" s="19"/>
    </row>
    <row r="3225">
      <c r="A3225" s="9"/>
      <c r="B3225" s="15"/>
      <c r="C3225" s="9"/>
      <c r="D3225" s="15"/>
      <c r="E3225" s="16"/>
      <c r="F3225" s="19"/>
      <c r="G3225" s="20"/>
      <c r="H3225" s="19"/>
    </row>
    <row r="3226">
      <c r="A3226" s="9"/>
      <c r="B3226" s="15"/>
      <c r="C3226" s="9"/>
      <c r="D3226" s="15"/>
      <c r="E3226" s="16"/>
      <c r="F3226" s="19"/>
      <c r="G3226" s="20"/>
      <c r="H3226" s="19"/>
    </row>
    <row r="3227">
      <c r="A3227" s="9"/>
      <c r="B3227" s="15"/>
      <c r="C3227" s="9"/>
      <c r="D3227" s="15"/>
      <c r="E3227" s="16"/>
      <c r="F3227" s="19"/>
      <c r="G3227" s="20"/>
      <c r="H3227" s="19"/>
    </row>
    <row r="3228">
      <c r="A3228" s="9"/>
      <c r="B3228" s="15"/>
      <c r="C3228" s="9"/>
      <c r="D3228" s="15"/>
      <c r="E3228" s="16"/>
      <c r="F3228" s="19"/>
      <c r="G3228" s="20"/>
      <c r="H3228" s="19"/>
    </row>
    <row r="3229">
      <c r="A3229" s="9"/>
      <c r="B3229" s="15"/>
      <c r="C3229" s="9"/>
      <c r="D3229" s="15"/>
      <c r="E3229" s="16"/>
      <c r="F3229" s="19"/>
      <c r="G3229" s="20"/>
      <c r="H3229" s="19"/>
    </row>
    <row r="3230">
      <c r="A3230" s="9"/>
      <c r="B3230" s="15"/>
      <c r="C3230" s="9"/>
      <c r="D3230" s="15"/>
      <c r="E3230" s="16"/>
      <c r="F3230" s="19"/>
      <c r="G3230" s="20"/>
      <c r="H3230" s="19"/>
    </row>
    <row r="3231">
      <c r="A3231" s="9"/>
      <c r="B3231" s="15"/>
      <c r="C3231" s="9"/>
      <c r="D3231" s="15"/>
      <c r="E3231" s="16"/>
      <c r="F3231" s="19"/>
      <c r="G3231" s="20"/>
      <c r="H3231" s="19"/>
    </row>
    <row r="3232">
      <c r="A3232" s="9"/>
      <c r="B3232" s="15"/>
      <c r="C3232" s="9"/>
      <c r="D3232" s="15"/>
      <c r="E3232" s="16"/>
      <c r="F3232" s="19"/>
      <c r="G3232" s="20"/>
      <c r="H3232" s="19"/>
    </row>
    <row r="3233">
      <c r="A3233" s="9"/>
      <c r="B3233" s="15"/>
      <c r="C3233" s="9"/>
      <c r="D3233" s="15"/>
      <c r="E3233" s="16"/>
      <c r="F3233" s="19"/>
      <c r="G3233" s="20"/>
      <c r="H3233" s="19"/>
    </row>
    <row r="3234">
      <c r="A3234" s="9"/>
      <c r="B3234" s="15"/>
      <c r="C3234" s="9"/>
      <c r="D3234" s="15"/>
      <c r="E3234" s="16"/>
      <c r="F3234" s="19"/>
      <c r="G3234" s="20"/>
      <c r="H3234" s="19"/>
    </row>
    <row r="3235">
      <c r="A3235" s="9"/>
      <c r="B3235" s="15"/>
      <c r="C3235" s="9"/>
      <c r="D3235" s="15"/>
      <c r="E3235" s="16"/>
      <c r="F3235" s="19"/>
      <c r="G3235" s="20"/>
      <c r="H3235" s="19"/>
    </row>
    <row r="3236">
      <c r="A3236" s="9"/>
      <c r="B3236" s="15"/>
      <c r="C3236" s="9"/>
      <c r="D3236" s="15"/>
      <c r="E3236" s="16"/>
      <c r="F3236" s="19"/>
      <c r="G3236" s="20"/>
      <c r="H3236" s="19"/>
    </row>
    <row r="3237">
      <c r="A3237" s="9"/>
      <c r="B3237" s="15"/>
      <c r="C3237" s="9"/>
      <c r="D3237" s="15"/>
      <c r="E3237" s="16"/>
      <c r="F3237" s="19"/>
      <c r="G3237" s="20"/>
      <c r="H3237" s="19"/>
    </row>
    <row r="3238">
      <c r="A3238" s="9"/>
      <c r="B3238" s="15"/>
      <c r="C3238" s="9"/>
      <c r="D3238" s="15"/>
      <c r="E3238" s="16"/>
      <c r="F3238" s="19"/>
      <c r="G3238" s="20"/>
      <c r="H3238" s="19"/>
    </row>
    <row r="3239">
      <c r="A3239" s="9"/>
      <c r="B3239" s="15"/>
      <c r="C3239" s="9"/>
      <c r="D3239" s="15"/>
      <c r="E3239" s="16"/>
      <c r="F3239" s="19"/>
      <c r="G3239" s="20"/>
      <c r="H3239" s="19"/>
    </row>
    <row r="3240">
      <c r="A3240" s="9"/>
      <c r="B3240" s="15"/>
      <c r="C3240" s="9"/>
      <c r="D3240" s="15"/>
      <c r="E3240" s="16"/>
      <c r="F3240" s="19"/>
      <c r="G3240" s="20"/>
      <c r="H3240" s="19"/>
    </row>
    <row r="3241">
      <c r="A3241" s="9"/>
      <c r="B3241" s="15"/>
      <c r="C3241" s="9"/>
      <c r="D3241" s="15"/>
      <c r="E3241" s="16"/>
      <c r="F3241" s="19"/>
      <c r="G3241" s="20"/>
      <c r="H3241" s="19"/>
    </row>
    <row r="3242">
      <c r="A3242" s="9"/>
      <c r="B3242" s="15"/>
      <c r="C3242" s="9"/>
      <c r="D3242" s="15"/>
      <c r="E3242" s="16"/>
      <c r="F3242" s="19"/>
      <c r="G3242" s="20"/>
      <c r="H3242" s="19"/>
    </row>
    <row r="3243">
      <c r="A3243" s="9"/>
      <c r="B3243" s="15"/>
      <c r="C3243" s="9"/>
      <c r="D3243" s="15"/>
      <c r="E3243" s="16"/>
      <c r="F3243" s="19"/>
      <c r="G3243" s="20"/>
      <c r="H3243" s="19"/>
    </row>
    <row r="3244">
      <c r="A3244" s="9"/>
      <c r="B3244" s="15"/>
      <c r="C3244" s="9"/>
      <c r="D3244" s="15"/>
      <c r="E3244" s="16"/>
      <c r="F3244" s="19"/>
      <c r="G3244" s="20"/>
      <c r="H3244" s="19"/>
    </row>
    <row r="3245">
      <c r="A3245" s="9"/>
      <c r="B3245" s="15"/>
      <c r="C3245" s="9"/>
      <c r="D3245" s="15"/>
      <c r="E3245" s="16"/>
      <c r="F3245" s="19"/>
      <c r="G3245" s="20"/>
      <c r="H3245" s="19"/>
    </row>
    <row r="3246">
      <c r="A3246" s="9"/>
      <c r="B3246" s="15"/>
      <c r="C3246" s="9"/>
      <c r="D3246" s="15"/>
      <c r="E3246" s="16"/>
      <c r="F3246" s="19"/>
      <c r="G3246" s="20"/>
      <c r="H3246" s="19"/>
    </row>
    <row r="3247">
      <c r="A3247" s="9"/>
      <c r="B3247" s="15"/>
      <c r="C3247" s="9"/>
      <c r="D3247" s="15"/>
      <c r="E3247" s="16"/>
      <c r="F3247" s="19"/>
      <c r="G3247" s="20"/>
      <c r="H3247" s="19"/>
    </row>
    <row r="3248">
      <c r="A3248" s="9"/>
      <c r="B3248" s="15"/>
      <c r="C3248" s="9"/>
      <c r="D3248" s="15"/>
      <c r="E3248" s="16"/>
      <c r="F3248" s="19"/>
      <c r="G3248" s="20"/>
      <c r="H3248" s="19"/>
    </row>
    <row r="3249">
      <c r="A3249" s="9"/>
      <c r="B3249" s="15"/>
      <c r="C3249" s="9"/>
      <c r="D3249" s="15"/>
      <c r="E3249" s="16"/>
      <c r="F3249" s="19"/>
      <c r="G3249" s="20"/>
      <c r="H3249" s="19"/>
    </row>
    <row r="3250">
      <c r="A3250" s="9"/>
      <c r="B3250" s="15"/>
      <c r="C3250" s="9"/>
      <c r="D3250" s="15"/>
      <c r="E3250" s="16"/>
      <c r="F3250" s="19"/>
      <c r="G3250" s="20"/>
      <c r="H3250" s="19"/>
    </row>
    <row r="3251">
      <c r="A3251" s="9"/>
      <c r="B3251" s="15"/>
      <c r="C3251" s="9"/>
      <c r="D3251" s="15"/>
      <c r="E3251" s="16"/>
      <c r="F3251" s="19"/>
      <c r="G3251" s="20"/>
      <c r="H3251" s="19"/>
    </row>
    <row r="3252">
      <c r="A3252" s="9"/>
      <c r="B3252" s="15"/>
      <c r="C3252" s="9"/>
      <c r="D3252" s="15"/>
      <c r="E3252" s="16"/>
      <c r="F3252" s="19"/>
      <c r="G3252" s="20"/>
      <c r="H3252" s="19"/>
    </row>
    <row r="3253">
      <c r="A3253" s="9"/>
      <c r="B3253" s="15"/>
      <c r="C3253" s="9"/>
      <c r="D3253" s="15"/>
      <c r="E3253" s="16"/>
      <c r="F3253" s="19"/>
      <c r="G3253" s="20"/>
      <c r="H3253" s="19"/>
    </row>
    <row r="3254">
      <c r="A3254" s="9"/>
      <c r="B3254" s="15"/>
      <c r="C3254" s="9"/>
      <c r="D3254" s="15"/>
      <c r="E3254" s="16"/>
      <c r="F3254" s="19"/>
      <c r="G3254" s="20"/>
      <c r="H3254" s="19"/>
    </row>
    <row r="3255">
      <c r="A3255" s="9"/>
      <c r="B3255" s="15"/>
      <c r="C3255" s="9"/>
      <c r="D3255" s="15"/>
      <c r="E3255" s="16"/>
      <c r="F3255" s="19"/>
      <c r="G3255" s="20"/>
      <c r="H3255" s="19"/>
    </row>
    <row r="3256">
      <c r="A3256" s="9"/>
      <c r="B3256" s="15"/>
      <c r="C3256" s="9"/>
      <c r="D3256" s="15"/>
      <c r="E3256" s="16"/>
      <c r="F3256" s="19"/>
      <c r="G3256" s="20"/>
      <c r="H3256" s="19"/>
    </row>
    <row r="3257">
      <c r="A3257" s="9"/>
      <c r="B3257" s="15"/>
      <c r="C3257" s="9"/>
      <c r="D3257" s="15"/>
      <c r="E3257" s="16"/>
      <c r="F3257" s="19"/>
      <c r="G3257" s="20"/>
      <c r="H3257" s="19"/>
    </row>
    <row r="3258">
      <c r="A3258" s="9"/>
      <c r="B3258" s="15"/>
      <c r="C3258" s="9"/>
      <c r="D3258" s="15"/>
      <c r="E3258" s="16"/>
      <c r="F3258" s="19"/>
      <c r="G3258" s="20"/>
      <c r="H3258" s="19"/>
    </row>
    <row r="3259">
      <c r="A3259" s="9"/>
      <c r="B3259" s="15"/>
      <c r="C3259" s="9"/>
      <c r="D3259" s="15"/>
      <c r="E3259" s="16"/>
      <c r="F3259" s="19"/>
      <c r="G3259" s="20"/>
      <c r="H3259" s="19"/>
    </row>
    <row r="3260">
      <c r="A3260" s="9"/>
      <c r="B3260" s="15"/>
      <c r="C3260" s="9"/>
      <c r="D3260" s="15"/>
      <c r="E3260" s="16"/>
      <c r="F3260" s="19"/>
      <c r="G3260" s="20"/>
      <c r="H3260" s="19"/>
    </row>
    <row r="3261">
      <c r="A3261" s="9"/>
      <c r="B3261" s="15"/>
      <c r="C3261" s="9"/>
      <c r="D3261" s="15"/>
      <c r="E3261" s="16"/>
      <c r="F3261" s="19"/>
      <c r="G3261" s="20"/>
      <c r="H3261" s="19"/>
    </row>
    <row r="3262">
      <c r="A3262" s="9"/>
      <c r="B3262" s="15"/>
      <c r="C3262" s="9"/>
      <c r="D3262" s="15"/>
      <c r="E3262" s="16"/>
      <c r="F3262" s="19"/>
      <c r="G3262" s="20"/>
      <c r="H3262" s="19"/>
    </row>
    <row r="3263">
      <c r="A3263" s="9"/>
      <c r="B3263" s="15"/>
      <c r="C3263" s="9"/>
      <c r="D3263" s="15"/>
      <c r="E3263" s="16"/>
      <c r="F3263" s="19"/>
      <c r="G3263" s="20"/>
      <c r="H3263" s="19"/>
    </row>
    <row r="3264">
      <c r="A3264" s="9"/>
      <c r="B3264" s="15"/>
      <c r="C3264" s="9"/>
      <c r="D3264" s="15"/>
      <c r="E3264" s="16"/>
      <c r="F3264" s="19"/>
      <c r="G3264" s="20"/>
      <c r="H3264" s="19"/>
    </row>
    <row r="3265">
      <c r="A3265" s="9"/>
      <c r="B3265" s="15"/>
      <c r="C3265" s="9"/>
      <c r="D3265" s="15"/>
      <c r="E3265" s="16"/>
      <c r="F3265" s="19"/>
      <c r="G3265" s="20"/>
      <c r="H3265" s="19"/>
    </row>
    <row r="3266">
      <c r="A3266" s="9"/>
      <c r="B3266" s="15"/>
      <c r="C3266" s="9"/>
      <c r="D3266" s="15"/>
      <c r="E3266" s="16"/>
      <c r="F3266" s="19"/>
      <c r="G3266" s="20"/>
      <c r="H3266" s="19"/>
    </row>
    <row r="3267">
      <c r="A3267" s="9"/>
      <c r="B3267" s="15"/>
      <c r="C3267" s="9"/>
      <c r="D3267" s="15"/>
      <c r="E3267" s="16"/>
      <c r="F3267" s="19"/>
      <c r="G3267" s="20"/>
      <c r="H3267" s="19"/>
    </row>
    <row r="3268">
      <c r="A3268" s="9"/>
      <c r="B3268" s="15"/>
      <c r="C3268" s="9"/>
      <c r="D3268" s="15"/>
      <c r="E3268" s="16"/>
      <c r="F3268" s="19"/>
      <c r="G3268" s="20"/>
      <c r="H3268" s="19"/>
    </row>
    <row r="3269">
      <c r="A3269" s="9"/>
      <c r="B3269" s="15"/>
      <c r="C3269" s="9"/>
      <c r="D3269" s="15"/>
      <c r="E3269" s="16"/>
      <c r="F3269" s="19"/>
      <c r="G3269" s="20"/>
      <c r="H3269" s="19"/>
    </row>
    <row r="3270">
      <c r="A3270" s="9"/>
      <c r="B3270" s="15"/>
      <c r="C3270" s="9"/>
      <c r="D3270" s="15"/>
      <c r="E3270" s="16"/>
      <c r="F3270" s="19"/>
      <c r="G3270" s="20"/>
      <c r="H3270" s="19"/>
    </row>
    <row r="3271">
      <c r="A3271" s="9"/>
      <c r="B3271" s="15"/>
      <c r="C3271" s="9"/>
      <c r="D3271" s="15"/>
      <c r="E3271" s="16"/>
      <c r="F3271" s="19"/>
      <c r="G3271" s="20"/>
      <c r="H3271" s="19"/>
    </row>
    <row r="3272">
      <c r="A3272" s="9"/>
      <c r="B3272" s="15"/>
      <c r="C3272" s="9"/>
      <c r="D3272" s="15"/>
      <c r="E3272" s="16"/>
      <c r="F3272" s="19"/>
      <c r="G3272" s="20"/>
      <c r="H3272" s="19"/>
    </row>
    <row r="3273">
      <c r="A3273" s="9"/>
      <c r="B3273" s="15"/>
      <c r="C3273" s="9"/>
      <c r="D3273" s="15"/>
      <c r="E3273" s="16"/>
      <c r="F3273" s="19"/>
      <c r="G3273" s="20"/>
      <c r="H3273" s="19"/>
    </row>
    <row r="3274">
      <c r="A3274" s="9"/>
      <c r="B3274" s="15"/>
      <c r="C3274" s="9"/>
      <c r="D3274" s="15"/>
      <c r="E3274" s="16"/>
      <c r="F3274" s="19"/>
      <c r="G3274" s="20"/>
      <c r="H3274" s="19"/>
    </row>
    <row r="3275">
      <c r="A3275" s="9"/>
      <c r="B3275" s="15"/>
      <c r="C3275" s="9"/>
      <c r="D3275" s="15"/>
      <c r="E3275" s="16"/>
      <c r="F3275" s="19"/>
      <c r="G3275" s="20"/>
      <c r="H3275" s="19"/>
    </row>
    <row r="3276">
      <c r="A3276" s="9"/>
      <c r="B3276" s="15"/>
      <c r="C3276" s="9"/>
      <c r="D3276" s="15"/>
      <c r="E3276" s="16"/>
      <c r="F3276" s="19"/>
      <c r="G3276" s="20"/>
      <c r="H3276" s="19"/>
    </row>
    <row r="3277">
      <c r="A3277" s="9"/>
      <c r="B3277" s="15"/>
      <c r="C3277" s="9"/>
      <c r="D3277" s="15"/>
      <c r="E3277" s="16"/>
      <c r="F3277" s="19"/>
      <c r="G3277" s="20"/>
      <c r="H3277" s="19"/>
    </row>
    <row r="3278">
      <c r="A3278" s="9"/>
      <c r="B3278" s="15"/>
      <c r="C3278" s="9"/>
      <c r="D3278" s="15"/>
      <c r="E3278" s="16"/>
      <c r="F3278" s="19"/>
      <c r="G3278" s="20"/>
      <c r="H3278" s="19"/>
    </row>
    <row r="3279">
      <c r="A3279" s="9"/>
      <c r="B3279" s="15"/>
      <c r="C3279" s="9"/>
      <c r="D3279" s="15"/>
      <c r="E3279" s="16"/>
      <c r="F3279" s="19"/>
      <c r="G3279" s="20"/>
      <c r="H3279" s="19"/>
    </row>
    <row r="3280">
      <c r="A3280" s="9"/>
      <c r="B3280" s="15"/>
      <c r="C3280" s="9"/>
      <c r="D3280" s="15"/>
      <c r="E3280" s="16"/>
      <c r="F3280" s="19"/>
      <c r="G3280" s="20"/>
      <c r="H3280" s="19"/>
    </row>
    <row r="3281">
      <c r="A3281" s="9"/>
      <c r="B3281" s="15"/>
      <c r="C3281" s="9"/>
      <c r="D3281" s="15"/>
      <c r="E3281" s="16"/>
      <c r="F3281" s="19"/>
      <c r="G3281" s="20"/>
      <c r="H3281" s="19"/>
    </row>
    <row r="3282">
      <c r="A3282" s="9"/>
      <c r="B3282" s="15"/>
      <c r="C3282" s="9"/>
      <c r="D3282" s="15"/>
      <c r="E3282" s="16"/>
      <c r="F3282" s="19"/>
      <c r="G3282" s="20"/>
      <c r="H3282" s="19"/>
    </row>
    <row r="3283">
      <c r="A3283" s="9"/>
      <c r="B3283" s="15"/>
      <c r="C3283" s="9"/>
      <c r="D3283" s="15"/>
      <c r="E3283" s="16"/>
      <c r="F3283" s="19"/>
      <c r="G3283" s="20"/>
      <c r="H3283" s="19"/>
    </row>
    <row r="3284">
      <c r="A3284" s="9"/>
      <c r="B3284" s="15"/>
      <c r="C3284" s="9"/>
      <c r="D3284" s="15"/>
      <c r="E3284" s="16"/>
      <c r="F3284" s="19"/>
      <c r="G3284" s="20"/>
      <c r="H3284" s="19"/>
    </row>
    <row r="3285">
      <c r="A3285" s="9"/>
      <c r="B3285" s="15"/>
      <c r="C3285" s="9"/>
      <c r="D3285" s="15"/>
      <c r="E3285" s="16"/>
      <c r="F3285" s="19"/>
      <c r="G3285" s="20"/>
      <c r="H3285" s="19"/>
    </row>
    <row r="3286">
      <c r="A3286" s="9"/>
      <c r="B3286" s="15"/>
      <c r="C3286" s="9"/>
      <c r="D3286" s="15"/>
      <c r="E3286" s="16"/>
      <c r="F3286" s="19"/>
      <c r="G3286" s="20"/>
      <c r="H3286" s="19"/>
    </row>
    <row r="3287">
      <c r="A3287" s="9"/>
      <c r="B3287" s="15"/>
      <c r="C3287" s="9"/>
      <c r="D3287" s="15"/>
      <c r="E3287" s="16"/>
      <c r="F3287" s="19"/>
      <c r="G3287" s="20"/>
      <c r="H3287" s="19"/>
    </row>
    <row r="3288">
      <c r="A3288" s="9"/>
      <c r="B3288" s="15"/>
      <c r="C3288" s="9"/>
      <c r="D3288" s="15"/>
      <c r="E3288" s="16"/>
      <c r="F3288" s="19"/>
      <c r="G3288" s="20"/>
      <c r="H3288" s="19"/>
    </row>
    <row r="3289">
      <c r="A3289" s="9"/>
      <c r="B3289" s="15"/>
      <c r="C3289" s="9"/>
      <c r="D3289" s="15"/>
      <c r="E3289" s="16"/>
      <c r="F3289" s="19"/>
      <c r="G3289" s="20"/>
      <c r="H3289" s="19"/>
    </row>
    <row r="3290">
      <c r="A3290" s="9"/>
      <c r="B3290" s="15"/>
      <c r="C3290" s="9"/>
      <c r="D3290" s="15"/>
      <c r="E3290" s="16"/>
      <c r="F3290" s="19"/>
      <c r="G3290" s="20"/>
      <c r="H3290" s="19"/>
    </row>
    <row r="3291">
      <c r="A3291" s="9"/>
      <c r="B3291" s="15"/>
      <c r="C3291" s="9"/>
      <c r="D3291" s="15"/>
      <c r="E3291" s="16"/>
      <c r="F3291" s="19"/>
      <c r="G3291" s="20"/>
      <c r="H3291" s="19"/>
    </row>
    <row r="3292">
      <c r="A3292" s="9"/>
      <c r="B3292" s="15"/>
      <c r="C3292" s="9"/>
      <c r="D3292" s="15"/>
      <c r="E3292" s="16"/>
      <c r="F3292" s="19"/>
      <c r="G3292" s="20"/>
      <c r="H3292" s="19"/>
    </row>
    <row r="3293">
      <c r="A3293" s="9"/>
      <c r="B3293" s="15"/>
      <c r="C3293" s="9"/>
      <c r="D3293" s="15"/>
      <c r="E3293" s="16"/>
      <c r="F3293" s="19"/>
      <c r="G3293" s="20"/>
      <c r="H3293" s="19"/>
    </row>
    <row r="3294">
      <c r="A3294" s="9"/>
      <c r="B3294" s="15"/>
      <c r="C3294" s="9"/>
      <c r="D3294" s="15"/>
      <c r="E3294" s="16"/>
      <c r="F3294" s="19"/>
      <c r="G3294" s="20"/>
      <c r="H3294" s="19"/>
    </row>
    <row r="3295">
      <c r="A3295" s="9"/>
      <c r="B3295" s="15"/>
      <c r="C3295" s="9"/>
      <c r="D3295" s="15"/>
      <c r="E3295" s="16"/>
      <c r="F3295" s="19"/>
      <c r="G3295" s="20"/>
      <c r="H3295" s="19"/>
    </row>
    <row r="3296">
      <c r="A3296" s="9"/>
      <c r="B3296" s="15"/>
      <c r="C3296" s="9"/>
      <c r="D3296" s="15"/>
      <c r="E3296" s="16"/>
      <c r="F3296" s="19"/>
      <c r="G3296" s="20"/>
      <c r="H3296" s="19"/>
    </row>
    <row r="3297">
      <c r="A3297" s="9"/>
      <c r="B3297" s="15"/>
      <c r="C3297" s="9"/>
      <c r="D3297" s="15"/>
      <c r="E3297" s="16"/>
      <c r="F3297" s="19"/>
      <c r="G3297" s="20"/>
      <c r="H3297" s="19"/>
    </row>
    <row r="3298">
      <c r="A3298" s="9"/>
      <c r="B3298" s="15"/>
      <c r="C3298" s="9"/>
      <c r="D3298" s="15"/>
      <c r="E3298" s="16"/>
      <c r="F3298" s="19"/>
      <c r="G3298" s="20"/>
      <c r="H3298" s="19"/>
    </row>
    <row r="3299">
      <c r="A3299" s="9"/>
      <c r="B3299" s="15"/>
      <c r="C3299" s="9"/>
      <c r="D3299" s="15"/>
      <c r="E3299" s="16"/>
      <c r="F3299" s="19"/>
      <c r="G3299" s="20"/>
      <c r="H3299" s="19"/>
    </row>
    <row r="3300">
      <c r="A3300" s="9"/>
      <c r="B3300" s="15"/>
      <c r="C3300" s="9"/>
      <c r="D3300" s="15"/>
      <c r="E3300" s="16"/>
      <c r="F3300" s="19"/>
      <c r="G3300" s="20"/>
      <c r="H3300" s="19"/>
    </row>
    <row r="3301">
      <c r="A3301" s="9"/>
      <c r="B3301" s="15"/>
      <c r="C3301" s="9"/>
      <c r="D3301" s="15"/>
      <c r="E3301" s="16"/>
      <c r="F3301" s="19"/>
      <c r="G3301" s="20"/>
      <c r="H3301" s="19"/>
    </row>
    <row r="3302">
      <c r="A3302" s="9"/>
      <c r="B3302" s="15"/>
      <c r="C3302" s="9"/>
      <c r="D3302" s="15"/>
      <c r="E3302" s="16"/>
      <c r="F3302" s="19"/>
      <c r="G3302" s="20"/>
      <c r="H3302" s="19"/>
    </row>
    <row r="3303">
      <c r="A3303" s="9"/>
      <c r="B3303" s="15"/>
      <c r="C3303" s="9"/>
      <c r="D3303" s="15"/>
      <c r="E3303" s="16"/>
      <c r="F3303" s="19"/>
      <c r="G3303" s="20"/>
      <c r="H3303" s="19"/>
    </row>
    <row r="3304">
      <c r="A3304" s="9"/>
      <c r="B3304" s="15"/>
      <c r="C3304" s="9"/>
      <c r="D3304" s="15"/>
      <c r="E3304" s="16"/>
      <c r="F3304" s="19"/>
      <c r="G3304" s="20"/>
      <c r="H3304" s="19"/>
    </row>
    <row r="3305">
      <c r="A3305" s="9"/>
      <c r="B3305" s="15"/>
      <c r="C3305" s="9"/>
      <c r="D3305" s="15"/>
      <c r="E3305" s="16"/>
      <c r="F3305" s="19"/>
      <c r="G3305" s="20"/>
      <c r="H3305" s="19"/>
    </row>
    <row r="3306">
      <c r="A3306" s="9"/>
      <c r="B3306" s="15"/>
      <c r="C3306" s="9"/>
      <c r="D3306" s="15"/>
      <c r="E3306" s="16"/>
      <c r="F3306" s="19"/>
      <c r="G3306" s="20"/>
      <c r="H3306" s="19"/>
    </row>
    <row r="3307">
      <c r="A3307" s="9"/>
      <c r="B3307" s="15"/>
      <c r="C3307" s="9"/>
      <c r="D3307" s="15"/>
      <c r="E3307" s="16"/>
      <c r="F3307" s="19"/>
      <c r="G3307" s="20"/>
      <c r="H3307" s="19"/>
    </row>
    <row r="3308">
      <c r="A3308" s="9"/>
      <c r="B3308" s="15"/>
      <c r="C3308" s="9"/>
      <c r="D3308" s="15"/>
      <c r="E3308" s="16"/>
      <c r="F3308" s="19"/>
      <c r="G3308" s="20"/>
      <c r="H3308" s="19"/>
    </row>
    <row r="3309">
      <c r="A3309" s="9"/>
      <c r="B3309" s="15"/>
      <c r="C3309" s="9"/>
      <c r="D3309" s="15"/>
      <c r="E3309" s="16"/>
      <c r="F3309" s="19"/>
      <c r="G3309" s="20"/>
      <c r="H3309" s="19"/>
    </row>
    <row r="3310">
      <c r="A3310" s="9"/>
      <c r="B3310" s="15"/>
      <c r="C3310" s="9"/>
      <c r="D3310" s="15"/>
      <c r="E3310" s="16"/>
      <c r="F3310" s="19"/>
      <c r="G3310" s="20"/>
      <c r="H3310" s="19"/>
    </row>
    <row r="3311">
      <c r="A3311" s="9"/>
      <c r="B3311" s="15"/>
      <c r="C3311" s="9"/>
      <c r="D3311" s="15"/>
      <c r="E3311" s="16"/>
      <c r="F3311" s="19"/>
      <c r="G3311" s="20"/>
      <c r="H3311" s="19"/>
    </row>
    <row r="3312">
      <c r="A3312" s="9"/>
      <c r="B3312" s="15"/>
      <c r="C3312" s="9"/>
      <c r="D3312" s="15"/>
      <c r="E3312" s="16"/>
      <c r="F3312" s="19"/>
      <c r="G3312" s="20"/>
      <c r="H3312" s="19"/>
    </row>
    <row r="3313">
      <c r="A3313" s="9"/>
      <c r="B3313" s="15"/>
      <c r="C3313" s="9"/>
      <c r="D3313" s="15"/>
      <c r="E3313" s="16"/>
      <c r="F3313" s="19"/>
      <c r="G3313" s="20"/>
      <c r="H3313" s="19"/>
    </row>
    <row r="3314">
      <c r="A3314" s="9"/>
      <c r="B3314" s="15"/>
      <c r="C3314" s="9"/>
      <c r="D3314" s="15"/>
      <c r="E3314" s="16"/>
      <c r="F3314" s="19"/>
      <c r="G3314" s="20"/>
      <c r="H3314" s="19"/>
    </row>
    <row r="3315">
      <c r="A3315" s="9"/>
      <c r="B3315" s="15"/>
      <c r="C3315" s="9"/>
      <c r="D3315" s="15"/>
      <c r="E3315" s="16"/>
      <c r="F3315" s="19"/>
      <c r="G3315" s="20"/>
      <c r="H3315" s="19"/>
    </row>
    <row r="3316">
      <c r="A3316" s="9"/>
      <c r="B3316" s="15"/>
      <c r="C3316" s="9"/>
      <c r="D3316" s="15"/>
      <c r="E3316" s="16"/>
      <c r="F3316" s="19"/>
      <c r="G3316" s="20"/>
      <c r="H3316" s="19"/>
    </row>
    <row r="3317">
      <c r="A3317" s="9"/>
      <c r="B3317" s="15"/>
      <c r="C3317" s="9"/>
      <c r="D3317" s="15"/>
      <c r="E3317" s="16"/>
      <c r="F3317" s="19"/>
      <c r="G3317" s="20"/>
      <c r="H3317" s="19"/>
    </row>
    <row r="3318">
      <c r="A3318" s="9"/>
      <c r="B3318" s="15"/>
      <c r="C3318" s="9"/>
      <c r="D3318" s="15"/>
      <c r="E3318" s="16"/>
      <c r="F3318" s="19"/>
      <c r="G3318" s="20"/>
      <c r="H3318" s="19"/>
    </row>
    <row r="3319">
      <c r="A3319" s="9"/>
      <c r="B3319" s="15"/>
      <c r="C3319" s="9"/>
      <c r="D3319" s="15"/>
      <c r="E3319" s="16"/>
      <c r="F3319" s="19"/>
      <c r="G3319" s="20"/>
      <c r="H3319" s="19"/>
    </row>
    <row r="3320">
      <c r="A3320" s="9"/>
      <c r="B3320" s="15"/>
      <c r="C3320" s="9"/>
      <c r="D3320" s="15"/>
      <c r="E3320" s="16"/>
      <c r="F3320" s="19"/>
      <c r="G3320" s="20"/>
      <c r="H3320" s="19"/>
    </row>
    <row r="3321">
      <c r="A3321" s="9"/>
      <c r="B3321" s="15"/>
      <c r="C3321" s="9"/>
      <c r="D3321" s="15"/>
      <c r="E3321" s="16"/>
      <c r="F3321" s="19"/>
      <c r="G3321" s="20"/>
      <c r="H3321" s="19"/>
    </row>
    <row r="3322">
      <c r="A3322" s="9"/>
      <c r="B3322" s="15"/>
      <c r="C3322" s="9"/>
      <c r="D3322" s="15"/>
      <c r="E3322" s="16"/>
      <c r="F3322" s="19"/>
      <c r="G3322" s="20"/>
      <c r="H3322" s="19"/>
    </row>
    <row r="3323">
      <c r="A3323" s="9"/>
      <c r="B3323" s="15"/>
      <c r="C3323" s="9"/>
      <c r="D3323" s="15"/>
      <c r="E3323" s="16"/>
      <c r="F3323" s="19"/>
      <c r="G3323" s="20"/>
      <c r="H3323" s="19"/>
    </row>
    <row r="3324">
      <c r="A3324" s="9"/>
      <c r="B3324" s="15"/>
      <c r="C3324" s="9"/>
      <c r="D3324" s="15"/>
      <c r="E3324" s="16"/>
      <c r="F3324" s="19"/>
      <c r="G3324" s="20"/>
      <c r="H3324" s="19"/>
    </row>
    <row r="3325">
      <c r="A3325" s="9"/>
      <c r="B3325" s="15"/>
      <c r="C3325" s="9"/>
      <c r="D3325" s="15"/>
      <c r="E3325" s="16"/>
      <c r="F3325" s="19"/>
      <c r="G3325" s="20"/>
      <c r="H3325" s="19"/>
    </row>
    <row r="3326">
      <c r="A3326" s="9"/>
      <c r="B3326" s="15"/>
      <c r="C3326" s="9"/>
      <c r="D3326" s="15"/>
      <c r="E3326" s="16"/>
      <c r="F3326" s="19"/>
      <c r="G3326" s="20"/>
      <c r="H3326" s="19"/>
    </row>
    <row r="3327">
      <c r="A3327" s="9"/>
      <c r="B3327" s="15"/>
      <c r="C3327" s="9"/>
      <c r="D3327" s="15"/>
      <c r="E3327" s="16"/>
      <c r="F3327" s="19"/>
      <c r="G3327" s="20"/>
      <c r="H3327" s="19"/>
    </row>
    <row r="3328">
      <c r="A3328" s="9"/>
      <c r="B3328" s="15"/>
      <c r="C3328" s="9"/>
      <c r="D3328" s="15"/>
      <c r="E3328" s="16"/>
      <c r="F3328" s="19"/>
      <c r="G3328" s="20"/>
      <c r="H3328" s="19"/>
    </row>
    <row r="3329">
      <c r="A3329" s="9"/>
      <c r="B3329" s="15"/>
      <c r="C3329" s="9"/>
      <c r="D3329" s="15"/>
      <c r="E3329" s="16"/>
      <c r="F3329" s="19"/>
      <c r="G3329" s="20"/>
      <c r="H3329" s="19"/>
    </row>
    <row r="3330">
      <c r="A3330" s="9"/>
      <c r="B3330" s="15"/>
      <c r="C3330" s="9"/>
      <c r="D3330" s="15"/>
      <c r="E3330" s="16"/>
      <c r="F3330" s="19"/>
      <c r="G3330" s="20"/>
      <c r="H3330" s="19"/>
    </row>
    <row r="3331">
      <c r="A3331" s="9"/>
      <c r="B3331" s="15"/>
      <c r="C3331" s="9"/>
      <c r="D3331" s="15"/>
      <c r="E3331" s="16"/>
      <c r="F3331" s="19"/>
      <c r="G3331" s="20"/>
      <c r="H3331" s="19"/>
    </row>
    <row r="3332">
      <c r="A3332" s="9"/>
      <c r="B3332" s="15"/>
      <c r="C3332" s="9"/>
      <c r="D3332" s="15"/>
      <c r="E3332" s="16"/>
      <c r="F3332" s="19"/>
      <c r="G3332" s="20"/>
      <c r="H3332" s="19"/>
    </row>
    <row r="3333">
      <c r="A3333" s="9"/>
      <c r="B3333" s="15"/>
      <c r="C3333" s="9"/>
      <c r="D3333" s="15"/>
      <c r="E3333" s="16"/>
      <c r="F3333" s="19"/>
      <c r="G3333" s="20"/>
      <c r="H3333" s="19"/>
    </row>
    <row r="3334">
      <c r="A3334" s="9"/>
      <c r="B3334" s="15"/>
      <c r="C3334" s="9"/>
      <c r="D3334" s="15"/>
      <c r="E3334" s="16"/>
      <c r="F3334" s="19"/>
      <c r="G3334" s="20"/>
      <c r="H3334" s="19"/>
    </row>
    <row r="3335">
      <c r="A3335" s="9"/>
      <c r="B3335" s="15"/>
      <c r="C3335" s="9"/>
      <c r="D3335" s="15"/>
      <c r="E3335" s="16"/>
      <c r="F3335" s="19"/>
      <c r="G3335" s="20"/>
      <c r="H3335" s="19"/>
    </row>
    <row r="3336">
      <c r="A3336" s="9"/>
      <c r="B3336" s="15"/>
      <c r="C3336" s="9"/>
      <c r="D3336" s="15"/>
      <c r="E3336" s="16"/>
      <c r="F3336" s="19"/>
      <c r="G3336" s="20"/>
      <c r="H3336" s="19"/>
    </row>
    <row r="3337">
      <c r="A3337" s="9"/>
      <c r="B3337" s="15"/>
      <c r="C3337" s="9"/>
      <c r="D3337" s="15"/>
      <c r="E3337" s="16"/>
      <c r="F3337" s="19"/>
      <c r="G3337" s="20"/>
      <c r="H3337" s="19"/>
    </row>
    <row r="3338">
      <c r="A3338" s="9"/>
      <c r="B3338" s="15"/>
      <c r="C3338" s="9"/>
      <c r="D3338" s="15"/>
      <c r="E3338" s="16"/>
      <c r="F3338" s="19"/>
      <c r="G3338" s="20"/>
      <c r="H3338" s="19"/>
    </row>
    <row r="3339">
      <c r="A3339" s="9"/>
      <c r="B3339" s="15"/>
      <c r="C3339" s="9"/>
      <c r="D3339" s="15"/>
      <c r="E3339" s="16"/>
      <c r="F3339" s="19"/>
      <c r="G3339" s="20"/>
      <c r="H3339" s="19"/>
    </row>
    <row r="3340">
      <c r="A3340" s="9"/>
      <c r="B3340" s="15"/>
      <c r="C3340" s="9"/>
      <c r="D3340" s="15"/>
      <c r="E3340" s="16"/>
      <c r="F3340" s="19"/>
      <c r="G3340" s="20"/>
      <c r="H3340" s="19"/>
    </row>
    <row r="3341">
      <c r="A3341" s="9"/>
      <c r="B3341" s="15"/>
      <c r="C3341" s="9"/>
      <c r="D3341" s="15"/>
      <c r="E3341" s="16"/>
      <c r="F3341" s="19"/>
      <c r="G3341" s="20"/>
      <c r="H3341" s="19"/>
    </row>
    <row r="3342">
      <c r="A3342" s="9"/>
      <c r="B3342" s="15"/>
      <c r="C3342" s="9"/>
      <c r="D3342" s="15"/>
      <c r="E3342" s="16"/>
      <c r="F3342" s="19"/>
      <c r="G3342" s="20"/>
      <c r="H3342" s="19"/>
    </row>
    <row r="3343">
      <c r="A3343" s="9"/>
      <c r="B3343" s="15"/>
      <c r="C3343" s="9"/>
      <c r="D3343" s="15"/>
      <c r="E3343" s="16"/>
      <c r="F3343" s="19"/>
      <c r="G3343" s="20"/>
      <c r="H3343" s="19"/>
    </row>
    <row r="3344">
      <c r="A3344" s="9"/>
      <c r="B3344" s="15"/>
      <c r="C3344" s="9"/>
      <c r="D3344" s="15"/>
      <c r="E3344" s="16"/>
      <c r="F3344" s="19"/>
      <c r="G3344" s="20"/>
      <c r="H3344" s="19"/>
    </row>
    <row r="3345">
      <c r="A3345" s="9"/>
      <c r="B3345" s="15"/>
      <c r="C3345" s="9"/>
      <c r="D3345" s="15"/>
      <c r="E3345" s="16"/>
      <c r="F3345" s="19"/>
      <c r="G3345" s="20"/>
      <c r="H3345" s="19"/>
    </row>
    <row r="3346">
      <c r="A3346" s="9"/>
      <c r="B3346" s="15"/>
      <c r="C3346" s="9"/>
      <c r="D3346" s="15"/>
      <c r="E3346" s="16"/>
      <c r="F3346" s="19"/>
      <c r="G3346" s="20"/>
      <c r="H3346" s="19"/>
    </row>
    <row r="3347">
      <c r="A3347" s="9"/>
      <c r="B3347" s="15"/>
      <c r="C3347" s="9"/>
      <c r="D3347" s="15"/>
      <c r="E3347" s="16"/>
      <c r="F3347" s="19"/>
      <c r="G3347" s="20"/>
      <c r="H3347" s="19"/>
    </row>
    <row r="3348">
      <c r="A3348" s="9"/>
      <c r="B3348" s="15"/>
      <c r="C3348" s="9"/>
      <c r="D3348" s="15"/>
      <c r="E3348" s="16"/>
      <c r="F3348" s="19"/>
      <c r="G3348" s="20"/>
      <c r="H3348" s="19"/>
    </row>
    <row r="3349">
      <c r="A3349" s="9"/>
      <c r="B3349" s="15"/>
      <c r="C3349" s="9"/>
      <c r="D3349" s="15"/>
      <c r="E3349" s="16"/>
      <c r="F3349" s="19"/>
      <c r="G3349" s="20"/>
      <c r="H3349" s="19"/>
    </row>
    <row r="3350">
      <c r="A3350" s="9"/>
      <c r="B3350" s="15"/>
      <c r="C3350" s="9"/>
      <c r="D3350" s="15"/>
      <c r="E3350" s="16"/>
      <c r="F3350" s="19"/>
      <c r="G3350" s="20"/>
      <c r="H3350" s="19"/>
    </row>
    <row r="3351">
      <c r="A3351" s="9"/>
      <c r="B3351" s="15"/>
      <c r="C3351" s="9"/>
      <c r="D3351" s="15"/>
      <c r="E3351" s="16"/>
      <c r="F3351" s="19"/>
      <c r="G3351" s="20"/>
      <c r="H3351" s="19"/>
    </row>
    <row r="3352">
      <c r="A3352" s="9"/>
      <c r="B3352" s="15"/>
      <c r="C3352" s="9"/>
      <c r="D3352" s="15"/>
      <c r="E3352" s="16"/>
      <c r="F3352" s="19"/>
      <c r="G3352" s="20"/>
      <c r="H3352" s="19"/>
    </row>
    <row r="3353">
      <c r="A3353" s="9"/>
      <c r="B3353" s="15"/>
      <c r="C3353" s="9"/>
      <c r="D3353" s="15"/>
      <c r="E3353" s="16"/>
      <c r="F3353" s="19"/>
      <c r="G3353" s="20"/>
      <c r="H3353" s="19"/>
    </row>
    <row r="3354">
      <c r="A3354" s="9"/>
      <c r="B3354" s="15"/>
      <c r="C3354" s="9"/>
      <c r="D3354" s="15"/>
      <c r="E3354" s="16"/>
      <c r="F3354" s="19"/>
      <c r="G3354" s="20"/>
      <c r="H3354" s="19"/>
    </row>
    <row r="3355">
      <c r="A3355" s="9"/>
      <c r="B3355" s="15"/>
      <c r="C3355" s="9"/>
      <c r="D3355" s="15"/>
      <c r="E3355" s="16"/>
      <c r="F3355" s="19"/>
      <c r="G3355" s="20"/>
      <c r="H3355" s="19"/>
    </row>
    <row r="3356">
      <c r="A3356" s="9"/>
      <c r="B3356" s="15"/>
      <c r="C3356" s="9"/>
      <c r="D3356" s="15"/>
      <c r="E3356" s="16"/>
      <c r="F3356" s="19"/>
      <c r="G3356" s="20"/>
      <c r="H3356" s="19"/>
    </row>
    <row r="3357">
      <c r="A3357" s="9"/>
      <c r="B3357" s="15"/>
      <c r="C3357" s="9"/>
      <c r="D3357" s="15"/>
      <c r="E3357" s="16"/>
      <c r="F3357" s="19"/>
      <c r="G3357" s="20"/>
      <c r="H3357" s="19"/>
    </row>
    <row r="3358">
      <c r="A3358" s="9"/>
      <c r="B3358" s="15"/>
      <c r="C3358" s="9"/>
      <c r="D3358" s="15"/>
      <c r="E3358" s="16"/>
      <c r="F3358" s="19"/>
      <c r="G3358" s="20"/>
      <c r="H3358" s="19"/>
    </row>
    <row r="3359">
      <c r="A3359" s="9"/>
      <c r="B3359" s="15"/>
      <c r="C3359" s="9"/>
      <c r="D3359" s="15"/>
      <c r="E3359" s="16"/>
      <c r="F3359" s="19"/>
      <c r="G3359" s="20"/>
      <c r="H3359" s="19"/>
    </row>
    <row r="3360">
      <c r="A3360" s="9"/>
      <c r="B3360" s="15"/>
      <c r="C3360" s="9"/>
      <c r="D3360" s="15"/>
      <c r="E3360" s="16"/>
      <c r="F3360" s="19"/>
      <c r="G3360" s="20"/>
      <c r="H3360" s="19"/>
    </row>
    <row r="3361">
      <c r="A3361" s="9"/>
      <c r="B3361" s="15"/>
      <c r="C3361" s="9"/>
      <c r="D3361" s="15"/>
      <c r="E3361" s="16"/>
      <c r="F3361" s="19"/>
      <c r="G3361" s="20"/>
      <c r="H3361" s="19"/>
    </row>
    <row r="3362">
      <c r="A3362" s="9"/>
      <c r="B3362" s="15"/>
      <c r="C3362" s="9"/>
      <c r="D3362" s="15"/>
      <c r="E3362" s="16"/>
      <c r="F3362" s="19"/>
      <c r="G3362" s="20"/>
      <c r="H3362" s="19"/>
    </row>
    <row r="3363">
      <c r="A3363" s="9"/>
      <c r="B3363" s="15"/>
      <c r="C3363" s="9"/>
      <c r="D3363" s="15"/>
      <c r="E3363" s="16"/>
      <c r="F3363" s="19"/>
      <c r="G3363" s="20"/>
      <c r="H3363" s="19"/>
    </row>
    <row r="3364">
      <c r="A3364" s="9"/>
      <c r="B3364" s="15"/>
      <c r="C3364" s="9"/>
      <c r="D3364" s="15"/>
      <c r="E3364" s="16"/>
      <c r="F3364" s="19"/>
      <c r="G3364" s="20"/>
      <c r="H3364" s="19"/>
    </row>
    <row r="3365">
      <c r="A3365" s="9"/>
      <c r="B3365" s="15"/>
      <c r="C3365" s="9"/>
      <c r="D3365" s="15"/>
      <c r="E3365" s="16"/>
      <c r="F3365" s="19"/>
      <c r="G3365" s="20"/>
      <c r="H3365" s="19"/>
    </row>
    <row r="3366">
      <c r="A3366" s="9"/>
      <c r="B3366" s="15"/>
      <c r="C3366" s="9"/>
      <c r="D3366" s="15"/>
      <c r="E3366" s="16"/>
      <c r="F3366" s="19"/>
      <c r="G3366" s="20"/>
      <c r="H3366" s="19"/>
    </row>
    <row r="3367">
      <c r="A3367" s="9"/>
      <c r="B3367" s="15"/>
      <c r="C3367" s="9"/>
      <c r="D3367" s="15"/>
      <c r="E3367" s="16"/>
      <c r="F3367" s="19"/>
      <c r="G3367" s="20"/>
      <c r="H3367" s="19"/>
    </row>
    <row r="3368">
      <c r="A3368" s="9"/>
      <c r="B3368" s="15"/>
      <c r="C3368" s="9"/>
      <c r="D3368" s="15"/>
      <c r="E3368" s="16"/>
      <c r="F3368" s="19"/>
      <c r="G3368" s="20"/>
      <c r="H3368" s="19"/>
    </row>
    <row r="3369">
      <c r="A3369" s="9"/>
      <c r="B3369" s="15"/>
      <c r="C3369" s="9"/>
      <c r="D3369" s="15"/>
      <c r="E3369" s="16"/>
      <c r="F3369" s="19"/>
      <c r="G3369" s="20"/>
      <c r="H3369" s="19"/>
    </row>
    <row r="3370">
      <c r="A3370" s="9"/>
      <c r="B3370" s="15"/>
      <c r="C3370" s="9"/>
      <c r="D3370" s="15"/>
      <c r="E3370" s="16"/>
      <c r="F3370" s="19"/>
      <c r="G3370" s="20"/>
      <c r="H3370" s="19"/>
    </row>
    <row r="3371">
      <c r="A3371" s="9"/>
      <c r="B3371" s="15"/>
      <c r="C3371" s="9"/>
      <c r="D3371" s="15"/>
      <c r="E3371" s="16"/>
      <c r="F3371" s="19"/>
      <c r="G3371" s="20"/>
      <c r="H3371" s="19"/>
    </row>
    <row r="3372">
      <c r="A3372" s="9"/>
      <c r="B3372" s="15"/>
      <c r="C3372" s="9"/>
      <c r="D3372" s="15"/>
      <c r="E3372" s="16"/>
      <c r="F3372" s="19"/>
      <c r="G3372" s="20"/>
      <c r="H3372" s="19"/>
    </row>
    <row r="3373">
      <c r="A3373" s="9"/>
      <c r="B3373" s="15"/>
      <c r="C3373" s="9"/>
      <c r="D3373" s="15"/>
      <c r="E3373" s="16"/>
      <c r="F3373" s="19"/>
      <c r="G3373" s="20"/>
      <c r="H3373" s="19"/>
    </row>
    <row r="3374">
      <c r="A3374" s="9"/>
      <c r="B3374" s="15"/>
      <c r="C3374" s="9"/>
      <c r="D3374" s="15"/>
      <c r="E3374" s="16"/>
      <c r="F3374" s="19"/>
      <c r="G3374" s="20"/>
      <c r="H3374" s="19"/>
    </row>
    <row r="3375">
      <c r="A3375" s="9"/>
      <c r="B3375" s="15"/>
      <c r="C3375" s="9"/>
      <c r="D3375" s="15"/>
      <c r="E3375" s="16"/>
      <c r="F3375" s="19"/>
      <c r="G3375" s="20"/>
      <c r="H3375" s="19"/>
    </row>
    <row r="3376">
      <c r="A3376" s="9"/>
      <c r="B3376" s="15"/>
      <c r="C3376" s="9"/>
      <c r="D3376" s="15"/>
      <c r="E3376" s="16"/>
      <c r="F3376" s="19"/>
      <c r="G3376" s="20"/>
      <c r="H3376" s="19"/>
    </row>
    <row r="3377">
      <c r="A3377" s="9"/>
      <c r="B3377" s="15"/>
      <c r="C3377" s="9"/>
      <c r="D3377" s="15"/>
      <c r="E3377" s="16"/>
      <c r="F3377" s="19"/>
      <c r="G3377" s="20"/>
      <c r="H3377" s="19"/>
    </row>
    <row r="3378">
      <c r="A3378" s="9"/>
      <c r="B3378" s="15"/>
      <c r="C3378" s="9"/>
      <c r="D3378" s="15"/>
      <c r="E3378" s="16"/>
      <c r="F3378" s="19"/>
      <c r="G3378" s="20"/>
      <c r="H3378" s="19"/>
    </row>
    <row r="3379">
      <c r="A3379" s="9"/>
      <c r="B3379" s="15"/>
      <c r="C3379" s="9"/>
      <c r="D3379" s="15"/>
      <c r="E3379" s="16"/>
      <c r="F3379" s="19"/>
      <c r="G3379" s="20"/>
      <c r="H3379" s="19"/>
    </row>
    <row r="3380">
      <c r="A3380" s="9"/>
      <c r="B3380" s="15"/>
      <c r="C3380" s="9"/>
      <c r="D3380" s="15"/>
      <c r="E3380" s="16"/>
      <c r="F3380" s="19"/>
      <c r="G3380" s="20"/>
      <c r="H3380" s="19"/>
    </row>
    <row r="3381">
      <c r="A3381" s="9"/>
      <c r="B3381" s="15"/>
      <c r="C3381" s="9"/>
      <c r="D3381" s="15"/>
      <c r="E3381" s="16"/>
      <c r="F3381" s="19"/>
      <c r="G3381" s="20"/>
      <c r="H3381" s="19"/>
    </row>
    <row r="3382">
      <c r="A3382" s="9"/>
      <c r="B3382" s="15"/>
      <c r="C3382" s="9"/>
      <c r="D3382" s="15"/>
      <c r="E3382" s="16"/>
      <c r="F3382" s="19"/>
      <c r="G3382" s="20"/>
      <c r="H3382" s="19"/>
    </row>
    <row r="3383">
      <c r="A3383" s="9"/>
      <c r="B3383" s="15"/>
      <c r="C3383" s="9"/>
      <c r="D3383" s="15"/>
      <c r="E3383" s="16"/>
      <c r="F3383" s="19"/>
      <c r="G3383" s="20"/>
      <c r="H3383" s="19"/>
    </row>
    <row r="3384">
      <c r="A3384" s="9"/>
      <c r="B3384" s="15"/>
      <c r="C3384" s="9"/>
      <c r="D3384" s="15"/>
      <c r="E3384" s="16"/>
      <c r="F3384" s="19"/>
      <c r="G3384" s="20"/>
      <c r="H3384" s="19"/>
    </row>
    <row r="3385">
      <c r="A3385" s="9"/>
      <c r="B3385" s="15"/>
      <c r="C3385" s="9"/>
      <c r="D3385" s="15"/>
      <c r="E3385" s="16"/>
      <c r="F3385" s="19"/>
      <c r="G3385" s="20"/>
      <c r="H3385" s="19"/>
    </row>
    <row r="3386">
      <c r="A3386" s="9"/>
      <c r="B3386" s="15"/>
      <c r="C3386" s="9"/>
      <c r="D3386" s="15"/>
      <c r="E3386" s="16"/>
      <c r="F3386" s="19"/>
      <c r="G3386" s="20"/>
      <c r="H3386" s="19"/>
    </row>
    <row r="3387">
      <c r="A3387" s="9"/>
      <c r="B3387" s="15"/>
      <c r="C3387" s="9"/>
      <c r="D3387" s="15"/>
      <c r="E3387" s="16"/>
      <c r="F3387" s="19"/>
      <c r="G3387" s="20"/>
      <c r="H3387" s="19"/>
    </row>
    <row r="3388">
      <c r="A3388" s="9"/>
      <c r="B3388" s="15"/>
      <c r="C3388" s="9"/>
      <c r="D3388" s="15"/>
      <c r="E3388" s="16"/>
      <c r="F3388" s="19"/>
      <c r="G3388" s="20"/>
      <c r="H3388" s="19"/>
    </row>
    <row r="3389">
      <c r="A3389" s="9"/>
      <c r="B3389" s="15"/>
      <c r="C3389" s="9"/>
      <c r="D3389" s="15"/>
      <c r="E3389" s="16"/>
      <c r="F3389" s="19"/>
      <c r="G3389" s="20"/>
      <c r="H3389" s="19"/>
    </row>
    <row r="3390">
      <c r="A3390" s="9"/>
      <c r="B3390" s="15"/>
      <c r="C3390" s="9"/>
      <c r="D3390" s="15"/>
      <c r="E3390" s="16"/>
      <c r="F3390" s="19"/>
      <c r="G3390" s="20"/>
      <c r="H3390" s="19"/>
    </row>
    <row r="3391">
      <c r="A3391" s="9"/>
      <c r="B3391" s="15"/>
      <c r="C3391" s="9"/>
      <c r="D3391" s="15"/>
      <c r="E3391" s="16"/>
      <c r="F3391" s="19"/>
      <c r="G3391" s="20"/>
      <c r="H3391" s="19"/>
    </row>
    <row r="3392">
      <c r="A3392" s="9"/>
      <c r="B3392" s="15"/>
      <c r="C3392" s="9"/>
      <c r="D3392" s="15"/>
      <c r="E3392" s="16"/>
      <c r="F3392" s="19"/>
      <c r="G3392" s="20"/>
      <c r="H3392" s="19"/>
    </row>
    <row r="3393">
      <c r="A3393" s="9"/>
      <c r="B3393" s="15"/>
      <c r="C3393" s="9"/>
      <c r="D3393" s="15"/>
      <c r="E3393" s="16"/>
      <c r="F3393" s="19"/>
      <c r="G3393" s="20"/>
      <c r="H3393" s="19"/>
    </row>
    <row r="3394">
      <c r="A3394" s="9"/>
      <c r="B3394" s="15"/>
      <c r="C3394" s="9"/>
      <c r="D3394" s="15"/>
      <c r="E3394" s="16"/>
      <c r="F3394" s="19"/>
      <c r="G3394" s="20"/>
      <c r="H3394" s="19"/>
    </row>
    <row r="3395">
      <c r="A3395" s="9"/>
      <c r="B3395" s="15"/>
      <c r="C3395" s="9"/>
      <c r="D3395" s="15"/>
      <c r="E3395" s="16"/>
      <c r="F3395" s="19"/>
      <c r="G3395" s="20"/>
      <c r="H3395" s="19"/>
    </row>
    <row r="3396">
      <c r="A3396" s="9"/>
      <c r="B3396" s="15"/>
      <c r="C3396" s="9"/>
      <c r="D3396" s="15"/>
      <c r="E3396" s="16"/>
      <c r="F3396" s="19"/>
      <c r="G3396" s="20"/>
      <c r="H3396" s="19"/>
    </row>
    <row r="3397">
      <c r="A3397" s="9"/>
      <c r="B3397" s="15"/>
      <c r="C3397" s="9"/>
      <c r="D3397" s="15"/>
      <c r="E3397" s="16"/>
      <c r="F3397" s="19"/>
      <c r="G3397" s="20"/>
      <c r="H3397" s="19"/>
    </row>
    <row r="3398">
      <c r="A3398" s="9"/>
      <c r="B3398" s="15"/>
      <c r="C3398" s="9"/>
      <c r="D3398" s="15"/>
      <c r="E3398" s="16"/>
      <c r="F3398" s="19"/>
      <c r="G3398" s="20"/>
      <c r="H3398" s="19"/>
    </row>
    <row r="3399">
      <c r="A3399" s="9"/>
      <c r="B3399" s="15"/>
      <c r="C3399" s="9"/>
      <c r="D3399" s="15"/>
      <c r="E3399" s="16"/>
      <c r="F3399" s="19"/>
      <c r="G3399" s="20"/>
      <c r="H3399" s="19"/>
    </row>
    <row r="3400">
      <c r="A3400" s="9"/>
      <c r="B3400" s="15"/>
      <c r="C3400" s="9"/>
      <c r="D3400" s="15"/>
      <c r="E3400" s="16"/>
      <c r="F3400" s="19"/>
      <c r="G3400" s="20"/>
      <c r="H3400" s="19"/>
    </row>
    <row r="3401">
      <c r="A3401" s="9"/>
      <c r="B3401" s="15"/>
      <c r="C3401" s="9"/>
      <c r="D3401" s="15"/>
      <c r="E3401" s="16"/>
      <c r="F3401" s="19"/>
      <c r="G3401" s="20"/>
      <c r="H3401" s="19"/>
    </row>
    <row r="3402">
      <c r="A3402" s="9"/>
      <c r="B3402" s="15"/>
      <c r="C3402" s="9"/>
      <c r="D3402" s="15"/>
      <c r="E3402" s="16"/>
      <c r="F3402" s="19"/>
      <c r="G3402" s="20"/>
      <c r="H3402" s="19"/>
    </row>
    <row r="3403">
      <c r="A3403" s="9"/>
      <c r="B3403" s="15"/>
      <c r="C3403" s="9"/>
      <c r="D3403" s="15"/>
      <c r="E3403" s="16"/>
      <c r="F3403" s="19"/>
      <c r="G3403" s="20"/>
      <c r="H3403" s="19"/>
    </row>
    <row r="3404">
      <c r="A3404" s="9"/>
      <c r="B3404" s="15"/>
      <c r="C3404" s="9"/>
      <c r="D3404" s="15"/>
      <c r="E3404" s="16"/>
      <c r="F3404" s="19"/>
      <c r="G3404" s="20"/>
      <c r="H3404" s="19"/>
    </row>
    <row r="3405">
      <c r="A3405" s="9"/>
      <c r="B3405" s="15"/>
      <c r="C3405" s="9"/>
      <c r="D3405" s="15"/>
      <c r="E3405" s="16"/>
      <c r="F3405" s="19"/>
      <c r="G3405" s="20"/>
      <c r="H3405" s="19"/>
    </row>
    <row r="3406">
      <c r="A3406" s="9"/>
      <c r="B3406" s="15"/>
      <c r="C3406" s="9"/>
      <c r="D3406" s="15"/>
      <c r="E3406" s="16"/>
      <c r="F3406" s="19"/>
      <c r="G3406" s="20"/>
      <c r="H3406" s="19"/>
    </row>
    <row r="3407">
      <c r="A3407" s="9"/>
      <c r="B3407" s="15"/>
      <c r="C3407" s="9"/>
      <c r="D3407" s="15"/>
      <c r="E3407" s="16"/>
      <c r="F3407" s="19"/>
      <c r="G3407" s="20"/>
      <c r="H3407" s="19"/>
    </row>
    <row r="3408">
      <c r="A3408" s="9"/>
      <c r="B3408" s="15"/>
      <c r="C3408" s="9"/>
      <c r="D3408" s="15"/>
      <c r="E3408" s="16"/>
      <c r="F3408" s="19"/>
      <c r="G3408" s="20"/>
      <c r="H3408" s="19"/>
    </row>
    <row r="3409">
      <c r="A3409" s="9"/>
      <c r="B3409" s="15"/>
      <c r="C3409" s="9"/>
      <c r="D3409" s="15"/>
      <c r="E3409" s="16"/>
      <c r="F3409" s="19"/>
      <c r="G3409" s="20"/>
      <c r="H3409" s="19"/>
    </row>
    <row r="3410">
      <c r="A3410" s="9"/>
      <c r="B3410" s="15"/>
      <c r="C3410" s="9"/>
      <c r="D3410" s="15"/>
      <c r="E3410" s="16"/>
      <c r="F3410" s="19"/>
      <c r="G3410" s="20"/>
      <c r="H3410" s="19"/>
    </row>
    <row r="3411">
      <c r="A3411" s="9"/>
      <c r="B3411" s="15"/>
      <c r="C3411" s="9"/>
      <c r="D3411" s="15"/>
      <c r="E3411" s="16"/>
      <c r="F3411" s="19"/>
      <c r="G3411" s="20"/>
      <c r="H3411" s="19"/>
    </row>
    <row r="3412">
      <c r="A3412" s="9"/>
      <c r="B3412" s="15"/>
      <c r="C3412" s="9"/>
      <c r="D3412" s="15"/>
      <c r="E3412" s="16"/>
      <c r="F3412" s="19"/>
      <c r="G3412" s="20"/>
      <c r="H3412" s="19"/>
    </row>
    <row r="3413">
      <c r="A3413" s="9"/>
      <c r="B3413" s="15"/>
      <c r="C3413" s="9"/>
      <c r="D3413" s="15"/>
      <c r="E3413" s="16"/>
      <c r="F3413" s="19"/>
      <c r="G3413" s="20"/>
      <c r="H3413" s="19"/>
    </row>
    <row r="3414">
      <c r="A3414" s="9"/>
      <c r="B3414" s="15"/>
      <c r="C3414" s="9"/>
      <c r="D3414" s="15"/>
      <c r="E3414" s="16"/>
      <c r="F3414" s="19"/>
      <c r="G3414" s="20"/>
      <c r="H3414" s="19"/>
    </row>
    <row r="3415">
      <c r="A3415" s="9"/>
      <c r="B3415" s="15"/>
      <c r="C3415" s="9"/>
      <c r="D3415" s="15"/>
      <c r="E3415" s="16"/>
      <c r="F3415" s="19"/>
      <c r="G3415" s="20"/>
      <c r="H3415" s="19"/>
    </row>
    <row r="3416">
      <c r="A3416" s="9"/>
      <c r="B3416" s="15"/>
      <c r="C3416" s="9"/>
      <c r="D3416" s="15"/>
      <c r="E3416" s="16"/>
      <c r="F3416" s="19"/>
      <c r="G3416" s="20"/>
      <c r="H3416" s="19"/>
    </row>
    <row r="3417">
      <c r="A3417" s="9"/>
      <c r="B3417" s="15"/>
      <c r="C3417" s="9"/>
      <c r="D3417" s="15"/>
      <c r="E3417" s="16"/>
      <c r="F3417" s="19"/>
      <c r="G3417" s="20"/>
      <c r="H3417" s="19"/>
    </row>
    <row r="3418">
      <c r="A3418" s="9"/>
      <c r="B3418" s="15"/>
      <c r="C3418" s="9"/>
      <c r="D3418" s="15"/>
      <c r="E3418" s="16"/>
      <c r="F3418" s="19"/>
      <c r="G3418" s="20"/>
      <c r="H3418" s="19"/>
    </row>
    <row r="3419">
      <c r="A3419" s="9"/>
      <c r="B3419" s="15"/>
      <c r="C3419" s="9"/>
      <c r="D3419" s="15"/>
      <c r="E3419" s="16"/>
      <c r="F3419" s="19"/>
      <c r="G3419" s="20"/>
      <c r="H3419" s="19"/>
    </row>
    <row r="3420">
      <c r="A3420" s="9"/>
      <c r="B3420" s="15"/>
      <c r="C3420" s="9"/>
      <c r="D3420" s="15"/>
      <c r="E3420" s="16"/>
      <c r="F3420" s="19"/>
      <c r="G3420" s="20"/>
      <c r="H3420" s="19"/>
    </row>
    <row r="3421">
      <c r="A3421" s="9"/>
      <c r="B3421" s="15"/>
      <c r="C3421" s="9"/>
      <c r="D3421" s="15"/>
      <c r="E3421" s="16"/>
      <c r="F3421" s="19"/>
      <c r="G3421" s="20"/>
      <c r="H3421" s="19"/>
    </row>
    <row r="3422">
      <c r="A3422" s="9"/>
      <c r="B3422" s="15"/>
      <c r="C3422" s="9"/>
      <c r="D3422" s="15"/>
      <c r="E3422" s="16"/>
      <c r="F3422" s="19"/>
      <c r="G3422" s="20"/>
      <c r="H3422" s="19"/>
    </row>
    <row r="3423">
      <c r="A3423" s="9"/>
      <c r="B3423" s="15"/>
      <c r="C3423" s="9"/>
      <c r="D3423" s="15"/>
      <c r="E3423" s="16"/>
      <c r="F3423" s="19"/>
      <c r="G3423" s="20"/>
      <c r="H3423" s="19"/>
    </row>
    <row r="3424">
      <c r="A3424" s="9"/>
      <c r="B3424" s="15"/>
      <c r="C3424" s="9"/>
      <c r="D3424" s="15"/>
      <c r="E3424" s="16"/>
      <c r="F3424" s="19"/>
      <c r="G3424" s="20"/>
      <c r="H3424" s="19"/>
    </row>
    <row r="3425">
      <c r="A3425" s="9"/>
      <c r="B3425" s="15"/>
      <c r="C3425" s="9"/>
      <c r="D3425" s="15"/>
      <c r="E3425" s="16"/>
      <c r="F3425" s="19"/>
      <c r="G3425" s="20"/>
      <c r="H3425" s="19"/>
    </row>
    <row r="3426">
      <c r="A3426" s="9"/>
      <c r="B3426" s="15"/>
      <c r="C3426" s="9"/>
      <c r="D3426" s="15"/>
      <c r="E3426" s="16"/>
      <c r="F3426" s="19"/>
      <c r="G3426" s="20"/>
      <c r="H3426" s="19"/>
    </row>
    <row r="3427">
      <c r="A3427" s="9"/>
      <c r="B3427" s="15"/>
      <c r="C3427" s="9"/>
      <c r="D3427" s="15"/>
      <c r="E3427" s="16"/>
      <c r="F3427" s="19"/>
      <c r="G3427" s="20"/>
      <c r="H3427" s="19"/>
    </row>
    <row r="3428">
      <c r="A3428" s="9"/>
      <c r="B3428" s="15"/>
      <c r="C3428" s="9"/>
      <c r="D3428" s="15"/>
      <c r="E3428" s="16"/>
      <c r="F3428" s="19"/>
      <c r="G3428" s="20"/>
      <c r="H3428" s="19"/>
    </row>
    <row r="3429">
      <c r="A3429" s="9"/>
      <c r="B3429" s="15"/>
      <c r="C3429" s="9"/>
      <c r="D3429" s="15"/>
      <c r="E3429" s="16"/>
      <c r="F3429" s="19"/>
      <c r="G3429" s="20"/>
      <c r="H3429" s="19"/>
    </row>
    <row r="3430">
      <c r="A3430" s="9"/>
      <c r="B3430" s="15"/>
      <c r="C3430" s="9"/>
      <c r="D3430" s="15"/>
      <c r="E3430" s="16"/>
      <c r="F3430" s="19"/>
      <c r="G3430" s="20"/>
      <c r="H3430" s="19"/>
    </row>
    <row r="3431">
      <c r="A3431" s="9"/>
      <c r="B3431" s="15"/>
      <c r="C3431" s="9"/>
      <c r="D3431" s="15"/>
      <c r="E3431" s="16"/>
      <c r="F3431" s="19"/>
      <c r="G3431" s="20"/>
      <c r="H3431" s="19"/>
    </row>
    <row r="3432">
      <c r="A3432" s="9"/>
      <c r="B3432" s="15"/>
      <c r="C3432" s="9"/>
      <c r="D3432" s="15"/>
      <c r="E3432" s="16"/>
      <c r="F3432" s="19"/>
      <c r="G3432" s="20"/>
      <c r="H3432" s="19"/>
    </row>
    <row r="3433">
      <c r="A3433" s="9"/>
      <c r="B3433" s="15"/>
      <c r="C3433" s="9"/>
      <c r="D3433" s="15"/>
      <c r="E3433" s="16"/>
      <c r="F3433" s="19"/>
      <c r="G3433" s="20"/>
      <c r="H3433" s="19"/>
    </row>
    <row r="3434">
      <c r="A3434" s="9"/>
      <c r="B3434" s="15"/>
      <c r="C3434" s="9"/>
      <c r="D3434" s="15"/>
      <c r="E3434" s="16"/>
      <c r="F3434" s="19"/>
      <c r="G3434" s="20"/>
      <c r="H3434" s="19"/>
    </row>
    <row r="3435">
      <c r="A3435" s="9"/>
      <c r="B3435" s="15"/>
      <c r="C3435" s="9"/>
      <c r="D3435" s="15"/>
      <c r="E3435" s="16"/>
      <c r="F3435" s="19"/>
      <c r="G3435" s="20"/>
      <c r="H3435" s="19"/>
    </row>
    <row r="3436">
      <c r="A3436" s="9"/>
      <c r="B3436" s="15"/>
      <c r="C3436" s="9"/>
      <c r="D3436" s="15"/>
      <c r="E3436" s="16"/>
      <c r="F3436" s="19"/>
      <c r="G3436" s="20"/>
      <c r="H3436" s="19"/>
    </row>
    <row r="3437">
      <c r="A3437" s="9"/>
      <c r="B3437" s="15"/>
      <c r="C3437" s="9"/>
      <c r="D3437" s="15"/>
      <c r="E3437" s="16"/>
      <c r="F3437" s="19"/>
      <c r="G3437" s="20"/>
      <c r="H3437" s="19"/>
    </row>
    <row r="3438">
      <c r="A3438" s="9"/>
      <c r="B3438" s="15"/>
      <c r="C3438" s="9"/>
      <c r="D3438" s="15"/>
      <c r="E3438" s="16"/>
      <c r="F3438" s="19"/>
      <c r="G3438" s="20"/>
      <c r="H3438" s="19"/>
    </row>
    <row r="3439">
      <c r="A3439" s="9"/>
      <c r="B3439" s="15"/>
      <c r="C3439" s="9"/>
      <c r="D3439" s="15"/>
      <c r="E3439" s="16"/>
      <c r="F3439" s="19"/>
      <c r="G3439" s="20"/>
      <c r="H3439" s="19"/>
    </row>
    <row r="3440">
      <c r="A3440" s="9"/>
      <c r="B3440" s="15"/>
      <c r="C3440" s="9"/>
      <c r="D3440" s="15"/>
      <c r="E3440" s="16"/>
      <c r="F3440" s="19"/>
      <c r="G3440" s="20"/>
      <c r="H3440" s="19"/>
    </row>
    <row r="3441">
      <c r="A3441" s="9"/>
      <c r="B3441" s="15"/>
      <c r="C3441" s="9"/>
      <c r="D3441" s="15"/>
      <c r="E3441" s="16"/>
      <c r="F3441" s="19"/>
      <c r="G3441" s="20"/>
      <c r="H3441" s="19"/>
    </row>
    <row r="3442">
      <c r="A3442" s="9"/>
      <c r="B3442" s="15"/>
      <c r="C3442" s="9"/>
      <c r="D3442" s="15"/>
      <c r="E3442" s="16"/>
      <c r="F3442" s="19"/>
      <c r="G3442" s="20"/>
      <c r="H3442" s="19"/>
    </row>
    <row r="3443">
      <c r="A3443" s="9"/>
      <c r="B3443" s="15"/>
      <c r="C3443" s="9"/>
      <c r="D3443" s="15"/>
      <c r="E3443" s="16"/>
      <c r="F3443" s="19"/>
      <c r="G3443" s="20"/>
      <c r="H3443" s="19"/>
    </row>
    <row r="3444">
      <c r="A3444" s="9"/>
      <c r="B3444" s="15"/>
      <c r="C3444" s="9"/>
      <c r="D3444" s="15"/>
      <c r="E3444" s="16"/>
      <c r="F3444" s="19"/>
      <c r="G3444" s="20"/>
      <c r="H3444" s="19"/>
    </row>
    <row r="3445">
      <c r="A3445" s="9"/>
      <c r="B3445" s="15"/>
      <c r="C3445" s="9"/>
      <c r="D3445" s="15"/>
      <c r="E3445" s="16"/>
      <c r="F3445" s="19"/>
      <c r="G3445" s="20"/>
      <c r="H3445" s="19"/>
    </row>
    <row r="3446">
      <c r="A3446" s="9"/>
      <c r="B3446" s="15"/>
      <c r="C3446" s="9"/>
      <c r="D3446" s="15"/>
      <c r="E3446" s="16"/>
      <c r="F3446" s="19"/>
      <c r="G3446" s="20"/>
      <c r="H3446" s="19"/>
    </row>
    <row r="3447">
      <c r="A3447" s="9"/>
      <c r="B3447" s="15"/>
      <c r="C3447" s="9"/>
      <c r="D3447" s="15"/>
      <c r="E3447" s="16"/>
      <c r="F3447" s="19"/>
      <c r="G3447" s="20"/>
      <c r="H3447" s="19"/>
    </row>
    <row r="3448">
      <c r="A3448" s="9"/>
      <c r="B3448" s="15"/>
      <c r="C3448" s="9"/>
      <c r="D3448" s="15"/>
      <c r="E3448" s="16"/>
      <c r="F3448" s="19"/>
      <c r="G3448" s="20"/>
      <c r="H3448" s="19"/>
    </row>
    <row r="3449">
      <c r="A3449" s="9"/>
      <c r="B3449" s="15"/>
      <c r="C3449" s="9"/>
      <c r="D3449" s="15"/>
      <c r="E3449" s="16"/>
      <c r="F3449" s="19"/>
      <c r="G3449" s="20"/>
      <c r="H3449" s="19"/>
    </row>
    <row r="3450">
      <c r="A3450" s="9"/>
      <c r="B3450" s="15"/>
      <c r="C3450" s="9"/>
      <c r="D3450" s="15"/>
      <c r="E3450" s="16"/>
      <c r="F3450" s="19"/>
      <c r="G3450" s="20"/>
      <c r="H3450" s="19"/>
    </row>
    <row r="3451">
      <c r="A3451" s="9"/>
      <c r="B3451" s="15"/>
      <c r="C3451" s="9"/>
      <c r="D3451" s="15"/>
      <c r="E3451" s="16"/>
      <c r="F3451" s="19"/>
      <c r="G3451" s="20"/>
      <c r="H3451" s="19"/>
    </row>
    <row r="3452">
      <c r="A3452" s="9"/>
      <c r="B3452" s="15"/>
      <c r="C3452" s="9"/>
      <c r="D3452" s="15"/>
      <c r="E3452" s="16"/>
      <c r="F3452" s="19"/>
      <c r="G3452" s="20"/>
      <c r="H3452" s="19"/>
    </row>
    <row r="3453">
      <c r="A3453" s="9"/>
      <c r="B3453" s="15"/>
      <c r="C3453" s="9"/>
      <c r="D3453" s="15"/>
      <c r="E3453" s="16"/>
      <c r="F3453" s="19"/>
      <c r="G3453" s="20"/>
      <c r="H3453" s="19"/>
    </row>
    <row r="3454">
      <c r="A3454" s="9"/>
      <c r="B3454" s="15"/>
      <c r="C3454" s="9"/>
      <c r="D3454" s="15"/>
      <c r="E3454" s="16"/>
      <c r="F3454" s="19"/>
      <c r="G3454" s="20"/>
      <c r="H3454" s="19"/>
    </row>
    <row r="3455">
      <c r="A3455" s="9"/>
      <c r="B3455" s="15"/>
      <c r="C3455" s="9"/>
      <c r="D3455" s="15"/>
      <c r="E3455" s="16"/>
      <c r="F3455" s="19"/>
      <c r="G3455" s="20"/>
      <c r="H3455" s="19"/>
    </row>
    <row r="3456">
      <c r="A3456" s="9"/>
      <c r="B3456" s="15"/>
      <c r="C3456" s="9"/>
      <c r="D3456" s="15"/>
      <c r="E3456" s="16"/>
      <c r="F3456" s="19"/>
      <c r="G3456" s="20"/>
      <c r="H3456" s="19"/>
    </row>
    <row r="3457">
      <c r="A3457" s="9"/>
      <c r="B3457" s="15"/>
      <c r="C3457" s="9"/>
      <c r="D3457" s="15"/>
      <c r="E3457" s="16"/>
      <c r="F3457" s="19"/>
      <c r="G3457" s="20"/>
      <c r="H3457" s="19"/>
    </row>
    <row r="3458">
      <c r="A3458" s="9"/>
      <c r="B3458" s="15"/>
      <c r="C3458" s="9"/>
      <c r="D3458" s="15"/>
      <c r="E3458" s="16"/>
      <c r="F3458" s="19"/>
      <c r="G3458" s="20"/>
      <c r="H3458" s="19"/>
    </row>
    <row r="3459">
      <c r="A3459" s="9"/>
      <c r="B3459" s="15"/>
      <c r="C3459" s="9"/>
      <c r="D3459" s="15"/>
      <c r="E3459" s="16"/>
      <c r="F3459" s="19"/>
      <c r="G3459" s="20"/>
      <c r="H3459" s="19"/>
    </row>
    <row r="3460">
      <c r="A3460" s="9"/>
      <c r="B3460" s="15"/>
      <c r="C3460" s="9"/>
      <c r="D3460" s="15"/>
      <c r="E3460" s="16"/>
      <c r="F3460" s="19"/>
      <c r="G3460" s="20"/>
      <c r="H3460" s="19"/>
    </row>
    <row r="3461">
      <c r="A3461" s="9"/>
      <c r="B3461" s="15"/>
      <c r="C3461" s="9"/>
      <c r="D3461" s="15"/>
      <c r="E3461" s="16"/>
      <c r="F3461" s="19"/>
      <c r="G3461" s="20"/>
      <c r="H3461" s="19"/>
    </row>
    <row r="3462">
      <c r="A3462" s="9"/>
      <c r="B3462" s="15"/>
      <c r="C3462" s="9"/>
      <c r="D3462" s="15"/>
      <c r="E3462" s="16"/>
      <c r="F3462" s="19"/>
      <c r="G3462" s="20"/>
      <c r="H3462" s="19"/>
    </row>
    <row r="3463">
      <c r="A3463" s="9"/>
      <c r="B3463" s="15"/>
      <c r="C3463" s="9"/>
      <c r="D3463" s="15"/>
      <c r="E3463" s="16"/>
      <c r="F3463" s="19"/>
      <c r="G3463" s="20"/>
      <c r="H3463" s="19"/>
    </row>
    <row r="3464">
      <c r="A3464" s="9"/>
      <c r="B3464" s="15"/>
      <c r="C3464" s="9"/>
      <c r="D3464" s="15"/>
      <c r="E3464" s="16"/>
      <c r="F3464" s="19"/>
      <c r="G3464" s="20"/>
      <c r="H3464" s="19"/>
    </row>
    <row r="3465">
      <c r="A3465" s="9"/>
      <c r="B3465" s="15"/>
      <c r="C3465" s="9"/>
      <c r="D3465" s="15"/>
      <c r="E3465" s="16"/>
      <c r="F3465" s="19"/>
      <c r="G3465" s="20"/>
      <c r="H3465" s="19"/>
    </row>
    <row r="3466">
      <c r="A3466" s="9"/>
      <c r="B3466" s="15"/>
      <c r="C3466" s="9"/>
      <c r="D3466" s="15"/>
      <c r="E3466" s="16"/>
      <c r="F3466" s="19"/>
      <c r="G3466" s="20"/>
      <c r="H3466" s="19"/>
    </row>
    <row r="3467">
      <c r="A3467" s="9"/>
      <c r="B3467" s="15"/>
      <c r="C3467" s="9"/>
      <c r="D3467" s="15"/>
      <c r="E3467" s="16"/>
      <c r="F3467" s="19"/>
      <c r="G3467" s="20"/>
      <c r="H3467" s="19"/>
    </row>
    <row r="3468">
      <c r="A3468" s="9"/>
      <c r="B3468" s="15"/>
      <c r="C3468" s="9"/>
      <c r="D3468" s="15"/>
      <c r="E3468" s="16"/>
      <c r="F3468" s="19"/>
      <c r="G3468" s="20"/>
      <c r="H3468" s="19"/>
    </row>
    <row r="3469">
      <c r="A3469" s="9"/>
      <c r="B3469" s="15"/>
      <c r="C3469" s="9"/>
      <c r="D3469" s="15"/>
      <c r="E3469" s="16"/>
      <c r="F3469" s="19"/>
      <c r="G3469" s="20"/>
      <c r="H3469" s="19"/>
    </row>
    <row r="3470">
      <c r="A3470" s="9"/>
      <c r="B3470" s="15"/>
      <c r="C3470" s="9"/>
      <c r="D3470" s="15"/>
      <c r="E3470" s="16"/>
      <c r="F3470" s="19"/>
      <c r="G3470" s="20"/>
      <c r="H3470" s="19"/>
    </row>
    <row r="3471">
      <c r="A3471" s="9"/>
      <c r="B3471" s="15"/>
      <c r="C3471" s="9"/>
      <c r="D3471" s="15"/>
      <c r="E3471" s="16"/>
      <c r="F3471" s="19"/>
      <c r="G3471" s="20"/>
      <c r="H3471" s="19"/>
    </row>
    <row r="3472">
      <c r="A3472" s="9"/>
      <c r="B3472" s="15"/>
      <c r="C3472" s="9"/>
      <c r="D3472" s="15"/>
      <c r="E3472" s="16"/>
      <c r="F3472" s="19"/>
      <c r="G3472" s="20"/>
      <c r="H3472" s="19"/>
    </row>
    <row r="3473">
      <c r="A3473" s="9"/>
      <c r="B3473" s="15"/>
      <c r="C3473" s="9"/>
      <c r="D3473" s="15"/>
      <c r="E3473" s="16"/>
      <c r="F3473" s="19"/>
      <c r="G3473" s="20"/>
      <c r="H3473" s="19"/>
    </row>
    <row r="3474">
      <c r="A3474" s="9"/>
      <c r="B3474" s="15"/>
      <c r="C3474" s="9"/>
      <c r="D3474" s="15"/>
      <c r="E3474" s="16"/>
      <c r="F3474" s="19"/>
      <c r="G3474" s="20"/>
      <c r="H3474" s="19"/>
    </row>
    <row r="3475">
      <c r="A3475" s="9"/>
      <c r="B3475" s="15"/>
      <c r="C3475" s="9"/>
      <c r="D3475" s="15"/>
      <c r="E3475" s="16"/>
      <c r="F3475" s="19"/>
      <c r="G3475" s="20"/>
      <c r="H3475" s="19"/>
    </row>
    <row r="3476">
      <c r="A3476" s="9"/>
      <c r="B3476" s="15"/>
      <c r="C3476" s="9"/>
      <c r="D3476" s="15"/>
      <c r="E3476" s="16"/>
      <c r="F3476" s="19"/>
      <c r="G3476" s="20"/>
      <c r="H3476" s="19"/>
    </row>
    <row r="3477">
      <c r="A3477" s="9"/>
      <c r="B3477" s="15"/>
      <c r="C3477" s="9"/>
      <c r="D3477" s="15"/>
      <c r="E3477" s="16"/>
      <c r="F3477" s="19"/>
      <c r="G3477" s="20"/>
      <c r="H3477" s="19"/>
    </row>
    <row r="3478">
      <c r="A3478" s="9"/>
      <c r="B3478" s="15"/>
      <c r="C3478" s="9"/>
      <c r="D3478" s="15"/>
      <c r="E3478" s="16"/>
      <c r="F3478" s="19"/>
      <c r="G3478" s="20"/>
      <c r="H3478" s="19"/>
    </row>
    <row r="3479">
      <c r="A3479" s="9"/>
      <c r="B3479" s="15"/>
      <c r="C3479" s="9"/>
      <c r="D3479" s="15"/>
      <c r="E3479" s="16"/>
      <c r="F3479" s="19"/>
      <c r="G3479" s="20"/>
      <c r="H3479" s="19"/>
    </row>
    <row r="3480">
      <c r="A3480" s="9"/>
      <c r="B3480" s="15"/>
      <c r="C3480" s="9"/>
      <c r="D3480" s="15"/>
      <c r="E3480" s="16"/>
      <c r="F3480" s="19"/>
      <c r="G3480" s="20"/>
      <c r="H3480" s="19"/>
    </row>
    <row r="3481">
      <c r="A3481" s="9"/>
      <c r="B3481" s="15"/>
      <c r="C3481" s="9"/>
      <c r="D3481" s="15"/>
      <c r="E3481" s="16"/>
      <c r="F3481" s="19"/>
      <c r="G3481" s="20"/>
      <c r="H3481" s="19"/>
    </row>
    <row r="3482">
      <c r="A3482" s="9"/>
      <c r="B3482" s="15"/>
      <c r="C3482" s="9"/>
      <c r="D3482" s="15"/>
      <c r="E3482" s="16"/>
      <c r="F3482" s="19"/>
      <c r="G3482" s="20"/>
      <c r="H3482" s="19"/>
    </row>
    <row r="3483">
      <c r="A3483" s="9"/>
      <c r="B3483" s="15"/>
      <c r="C3483" s="9"/>
      <c r="D3483" s="15"/>
      <c r="E3483" s="16"/>
      <c r="F3483" s="19"/>
      <c r="G3483" s="20"/>
      <c r="H3483" s="19"/>
    </row>
    <row r="3484">
      <c r="A3484" s="9"/>
      <c r="B3484" s="15"/>
      <c r="C3484" s="9"/>
      <c r="D3484" s="15"/>
      <c r="E3484" s="16"/>
      <c r="F3484" s="19"/>
      <c r="G3484" s="20"/>
      <c r="H3484" s="19"/>
    </row>
    <row r="3485">
      <c r="A3485" s="9"/>
      <c r="B3485" s="15"/>
      <c r="C3485" s="9"/>
      <c r="D3485" s="15"/>
      <c r="E3485" s="16"/>
      <c r="F3485" s="19"/>
      <c r="G3485" s="20"/>
      <c r="H3485" s="19"/>
    </row>
    <row r="3486">
      <c r="A3486" s="9"/>
      <c r="B3486" s="15"/>
      <c r="C3486" s="9"/>
      <c r="D3486" s="15"/>
      <c r="E3486" s="16"/>
      <c r="F3486" s="19"/>
      <c r="G3486" s="20"/>
      <c r="H3486" s="19"/>
    </row>
    <row r="3487">
      <c r="A3487" s="9"/>
      <c r="B3487" s="15"/>
      <c r="C3487" s="9"/>
      <c r="D3487" s="15"/>
      <c r="E3487" s="16"/>
      <c r="F3487" s="19"/>
      <c r="G3487" s="20"/>
      <c r="H3487" s="19"/>
    </row>
    <row r="3488">
      <c r="A3488" s="9"/>
      <c r="B3488" s="15"/>
      <c r="C3488" s="9"/>
      <c r="D3488" s="15"/>
      <c r="E3488" s="16"/>
      <c r="F3488" s="19"/>
      <c r="G3488" s="20"/>
      <c r="H3488" s="19"/>
    </row>
    <row r="3489">
      <c r="A3489" s="9"/>
      <c r="B3489" s="15"/>
      <c r="C3489" s="9"/>
      <c r="D3489" s="15"/>
      <c r="E3489" s="16"/>
      <c r="F3489" s="19"/>
      <c r="G3489" s="20"/>
      <c r="H3489" s="19"/>
    </row>
    <row r="3490">
      <c r="A3490" s="9"/>
      <c r="B3490" s="15"/>
      <c r="C3490" s="9"/>
      <c r="D3490" s="15"/>
      <c r="E3490" s="16"/>
      <c r="F3490" s="19"/>
      <c r="G3490" s="20"/>
      <c r="H3490" s="19"/>
    </row>
    <row r="3491">
      <c r="A3491" s="9"/>
      <c r="B3491" s="15"/>
      <c r="C3491" s="9"/>
      <c r="D3491" s="15"/>
      <c r="E3491" s="16"/>
      <c r="F3491" s="19"/>
      <c r="G3491" s="20"/>
      <c r="H3491" s="19"/>
    </row>
    <row r="3492">
      <c r="A3492" s="9"/>
      <c r="B3492" s="15"/>
      <c r="C3492" s="9"/>
      <c r="D3492" s="15"/>
      <c r="E3492" s="16"/>
      <c r="F3492" s="19"/>
      <c r="G3492" s="20"/>
      <c r="H3492" s="19"/>
    </row>
    <row r="3493">
      <c r="A3493" s="9"/>
      <c r="B3493" s="15"/>
      <c r="C3493" s="9"/>
      <c r="D3493" s="15"/>
      <c r="E3493" s="16"/>
      <c r="F3493" s="19"/>
      <c r="G3493" s="20"/>
      <c r="H3493" s="19"/>
    </row>
    <row r="3494">
      <c r="A3494" s="9"/>
      <c r="B3494" s="15"/>
      <c r="C3494" s="9"/>
      <c r="D3494" s="15"/>
      <c r="E3494" s="16"/>
      <c r="F3494" s="19"/>
      <c r="G3494" s="20"/>
      <c r="H3494" s="19"/>
    </row>
    <row r="3495">
      <c r="A3495" s="9"/>
      <c r="B3495" s="15"/>
      <c r="C3495" s="9"/>
      <c r="D3495" s="15"/>
      <c r="E3495" s="16"/>
      <c r="F3495" s="19"/>
      <c r="G3495" s="20"/>
      <c r="H3495" s="19"/>
    </row>
    <row r="3496">
      <c r="A3496" s="9"/>
      <c r="B3496" s="15"/>
      <c r="C3496" s="9"/>
      <c r="D3496" s="15"/>
      <c r="E3496" s="16"/>
      <c r="F3496" s="19"/>
      <c r="G3496" s="20"/>
      <c r="H3496" s="19"/>
    </row>
    <row r="3497">
      <c r="A3497" s="9"/>
      <c r="B3497" s="15"/>
      <c r="C3497" s="9"/>
      <c r="D3497" s="15"/>
      <c r="E3497" s="16"/>
      <c r="F3497" s="19"/>
      <c r="G3497" s="20"/>
      <c r="H3497" s="19"/>
    </row>
    <row r="3498">
      <c r="A3498" s="9"/>
      <c r="B3498" s="15"/>
      <c r="C3498" s="9"/>
      <c r="D3498" s="15"/>
      <c r="E3498" s="16"/>
      <c r="F3498" s="19"/>
      <c r="G3498" s="20"/>
      <c r="H3498" s="19"/>
    </row>
    <row r="3499">
      <c r="A3499" s="9"/>
      <c r="B3499" s="15"/>
      <c r="C3499" s="9"/>
      <c r="D3499" s="15"/>
      <c r="E3499" s="16"/>
      <c r="F3499" s="19"/>
      <c r="G3499" s="20"/>
      <c r="H3499" s="19"/>
    </row>
    <row r="3500">
      <c r="A3500" s="9"/>
      <c r="B3500" s="15"/>
      <c r="C3500" s="9"/>
      <c r="D3500" s="15"/>
      <c r="E3500" s="16"/>
      <c r="F3500" s="19"/>
      <c r="G3500" s="20"/>
      <c r="H3500" s="19"/>
    </row>
    <row r="3501">
      <c r="A3501" s="9"/>
      <c r="B3501" s="15"/>
      <c r="C3501" s="9"/>
      <c r="D3501" s="15"/>
      <c r="E3501" s="16"/>
      <c r="F3501" s="19"/>
      <c r="G3501" s="20"/>
      <c r="H3501" s="19"/>
    </row>
    <row r="3502">
      <c r="A3502" s="9"/>
      <c r="B3502" s="15"/>
      <c r="C3502" s="9"/>
      <c r="D3502" s="15"/>
      <c r="E3502" s="16"/>
      <c r="F3502" s="19"/>
      <c r="G3502" s="20"/>
      <c r="H3502" s="19"/>
    </row>
    <row r="3503">
      <c r="A3503" s="9"/>
      <c r="B3503" s="15"/>
      <c r="C3503" s="9"/>
      <c r="D3503" s="15"/>
      <c r="E3503" s="16"/>
      <c r="F3503" s="19"/>
      <c r="G3503" s="20"/>
      <c r="H3503" s="19"/>
    </row>
    <row r="3504">
      <c r="A3504" s="9"/>
      <c r="B3504" s="15"/>
      <c r="C3504" s="9"/>
      <c r="D3504" s="15"/>
      <c r="E3504" s="16"/>
      <c r="F3504" s="19"/>
      <c r="G3504" s="20"/>
      <c r="H3504" s="19"/>
    </row>
    <row r="3505">
      <c r="A3505" s="9"/>
      <c r="B3505" s="15"/>
      <c r="C3505" s="9"/>
      <c r="D3505" s="15"/>
      <c r="E3505" s="16"/>
      <c r="F3505" s="19"/>
      <c r="G3505" s="20"/>
      <c r="H3505" s="19"/>
    </row>
    <row r="3506">
      <c r="A3506" s="9"/>
      <c r="B3506" s="15"/>
      <c r="C3506" s="9"/>
      <c r="D3506" s="15"/>
      <c r="E3506" s="16"/>
      <c r="F3506" s="19"/>
      <c r="G3506" s="20"/>
      <c r="H3506" s="19"/>
    </row>
    <row r="3507">
      <c r="A3507" s="9"/>
      <c r="B3507" s="15"/>
      <c r="C3507" s="9"/>
      <c r="D3507" s="15"/>
      <c r="E3507" s="16"/>
      <c r="F3507" s="19"/>
      <c r="G3507" s="20"/>
      <c r="H3507" s="19"/>
    </row>
    <row r="3508">
      <c r="A3508" s="9"/>
      <c r="B3508" s="15"/>
      <c r="C3508" s="9"/>
      <c r="D3508" s="15"/>
      <c r="E3508" s="16"/>
      <c r="F3508" s="19"/>
      <c r="G3508" s="20"/>
      <c r="H3508" s="19"/>
    </row>
    <row r="3509">
      <c r="A3509" s="9"/>
      <c r="B3509" s="15"/>
      <c r="C3509" s="9"/>
      <c r="D3509" s="15"/>
      <c r="E3509" s="16"/>
      <c r="F3509" s="19"/>
      <c r="G3509" s="20"/>
      <c r="H3509" s="19"/>
    </row>
    <row r="3510">
      <c r="A3510" s="9"/>
      <c r="B3510" s="15"/>
      <c r="C3510" s="9"/>
      <c r="D3510" s="15"/>
      <c r="E3510" s="16"/>
      <c r="F3510" s="19"/>
      <c r="G3510" s="20"/>
      <c r="H3510" s="19"/>
    </row>
    <row r="3511">
      <c r="A3511" s="9"/>
      <c r="B3511" s="15"/>
      <c r="C3511" s="9"/>
      <c r="D3511" s="15"/>
      <c r="E3511" s="16"/>
      <c r="F3511" s="19"/>
      <c r="G3511" s="20"/>
      <c r="H3511" s="19"/>
    </row>
    <row r="3512">
      <c r="A3512" s="9"/>
      <c r="B3512" s="15"/>
      <c r="C3512" s="9"/>
      <c r="D3512" s="15"/>
      <c r="E3512" s="16"/>
      <c r="F3512" s="19"/>
      <c r="G3512" s="20"/>
      <c r="H3512" s="19"/>
    </row>
    <row r="3513">
      <c r="A3513" s="9"/>
      <c r="B3513" s="15"/>
      <c r="C3513" s="9"/>
      <c r="D3513" s="15"/>
      <c r="E3513" s="16"/>
      <c r="F3513" s="19"/>
      <c r="G3513" s="20"/>
      <c r="H3513" s="19"/>
    </row>
    <row r="3514">
      <c r="A3514" s="9"/>
      <c r="B3514" s="15"/>
      <c r="C3514" s="9"/>
      <c r="D3514" s="15"/>
      <c r="E3514" s="16"/>
      <c r="F3514" s="19"/>
      <c r="G3514" s="20"/>
      <c r="H3514" s="19"/>
    </row>
    <row r="3515">
      <c r="A3515" s="9"/>
      <c r="B3515" s="15"/>
      <c r="C3515" s="9"/>
      <c r="D3515" s="15"/>
      <c r="E3515" s="16"/>
      <c r="F3515" s="19"/>
      <c r="G3515" s="20"/>
      <c r="H3515" s="19"/>
    </row>
    <row r="3516">
      <c r="A3516" s="9"/>
      <c r="B3516" s="15"/>
      <c r="C3516" s="9"/>
      <c r="D3516" s="15"/>
      <c r="E3516" s="16"/>
      <c r="F3516" s="19"/>
      <c r="G3516" s="20"/>
      <c r="H3516" s="19"/>
    </row>
    <row r="3517">
      <c r="A3517" s="9"/>
      <c r="B3517" s="15"/>
      <c r="C3517" s="9"/>
      <c r="D3517" s="15"/>
      <c r="E3517" s="16"/>
      <c r="F3517" s="19"/>
      <c r="G3517" s="20"/>
      <c r="H3517" s="19"/>
    </row>
    <row r="3518">
      <c r="A3518" s="9"/>
      <c r="B3518" s="15"/>
      <c r="C3518" s="9"/>
      <c r="D3518" s="15"/>
      <c r="E3518" s="16"/>
      <c r="F3518" s="19"/>
      <c r="G3518" s="20"/>
      <c r="H3518" s="19"/>
    </row>
    <row r="3519">
      <c r="A3519" s="9"/>
      <c r="B3519" s="15"/>
      <c r="C3519" s="9"/>
      <c r="D3519" s="15"/>
      <c r="E3519" s="16"/>
      <c r="F3519" s="19"/>
      <c r="G3519" s="20"/>
      <c r="H3519" s="19"/>
    </row>
    <row r="3520">
      <c r="A3520" s="9"/>
      <c r="B3520" s="15"/>
      <c r="C3520" s="9"/>
      <c r="D3520" s="15"/>
      <c r="E3520" s="16"/>
      <c r="F3520" s="19"/>
      <c r="G3520" s="20"/>
      <c r="H3520" s="19"/>
    </row>
    <row r="3521">
      <c r="A3521" s="9"/>
      <c r="B3521" s="15"/>
      <c r="C3521" s="9"/>
      <c r="D3521" s="15"/>
      <c r="E3521" s="16"/>
      <c r="F3521" s="19"/>
      <c r="G3521" s="20"/>
      <c r="H3521" s="19"/>
    </row>
    <row r="3522">
      <c r="A3522" s="9"/>
      <c r="B3522" s="15"/>
      <c r="C3522" s="9"/>
      <c r="D3522" s="15"/>
      <c r="E3522" s="16"/>
      <c r="F3522" s="19"/>
      <c r="G3522" s="20"/>
      <c r="H3522" s="19"/>
    </row>
    <row r="3523">
      <c r="A3523" s="9"/>
      <c r="B3523" s="15"/>
      <c r="C3523" s="9"/>
      <c r="D3523" s="15"/>
      <c r="E3523" s="16"/>
      <c r="F3523" s="19"/>
      <c r="G3523" s="20"/>
      <c r="H3523" s="19"/>
    </row>
    <row r="3524">
      <c r="A3524" s="9"/>
      <c r="B3524" s="15"/>
      <c r="C3524" s="9"/>
      <c r="D3524" s="15"/>
      <c r="E3524" s="16"/>
      <c r="F3524" s="19"/>
      <c r="G3524" s="20"/>
      <c r="H3524" s="19"/>
    </row>
    <row r="3525">
      <c r="A3525" s="9"/>
      <c r="B3525" s="15"/>
      <c r="C3525" s="9"/>
      <c r="D3525" s="15"/>
      <c r="E3525" s="16"/>
      <c r="F3525" s="19"/>
      <c r="G3525" s="20"/>
      <c r="H3525" s="19"/>
    </row>
    <row r="3526">
      <c r="A3526" s="9"/>
      <c r="B3526" s="15"/>
      <c r="C3526" s="9"/>
      <c r="D3526" s="15"/>
      <c r="E3526" s="16"/>
      <c r="F3526" s="19"/>
      <c r="G3526" s="20"/>
      <c r="H3526" s="19"/>
    </row>
    <row r="3527">
      <c r="A3527" s="9"/>
      <c r="B3527" s="15"/>
      <c r="C3527" s="9"/>
      <c r="D3527" s="15"/>
      <c r="E3527" s="16"/>
      <c r="F3527" s="19"/>
      <c r="G3527" s="20"/>
      <c r="H3527" s="19"/>
    </row>
    <row r="3528">
      <c r="A3528" s="9"/>
      <c r="B3528" s="15"/>
      <c r="C3528" s="9"/>
      <c r="D3528" s="15"/>
      <c r="E3528" s="16"/>
      <c r="F3528" s="19"/>
      <c r="G3528" s="20"/>
      <c r="H3528" s="19"/>
    </row>
    <row r="3529">
      <c r="A3529" s="9"/>
      <c r="B3529" s="15"/>
      <c r="C3529" s="9"/>
      <c r="D3529" s="15"/>
      <c r="E3529" s="16"/>
      <c r="F3529" s="19"/>
      <c r="G3529" s="20"/>
      <c r="H3529" s="19"/>
    </row>
    <row r="3530">
      <c r="A3530" s="9"/>
      <c r="B3530" s="15"/>
      <c r="C3530" s="9"/>
      <c r="D3530" s="15"/>
      <c r="E3530" s="16"/>
      <c r="F3530" s="19"/>
      <c r="G3530" s="20"/>
      <c r="H3530" s="19"/>
    </row>
    <row r="3531">
      <c r="A3531" s="9"/>
      <c r="B3531" s="15"/>
      <c r="C3531" s="9"/>
      <c r="D3531" s="15"/>
      <c r="E3531" s="16"/>
      <c r="F3531" s="19"/>
      <c r="G3531" s="20"/>
      <c r="H3531" s="19"/>
    </row>
    <row r="3532">
      <c r="A3532" s="9"/>
      <c r="B3532" s="15"/>
      <c r="C3532" s="9"/>
      <c r="D3532" s="15"/>
      <c r="E3532" s="16"/>
      <c r="F3532" s="19"/>
      <c r="G3532" s="20"/>
      <c r="H3532" s="19"/>
    </row>
    <row r="3533">
      <c r="A3533" s="9"/>
      <c r="B3533" s="15"/>
      <c r="C3533" s="9"/>
      <c r="D3533" s="15"/>
      <c r="E3533" s="16"/>
      <c r="F3533" s="19"/>
      <c r="G3533" s="20"/>
      <c r="H3533" s="19"/>
    </row>
    <row r="3534">
      <c r="A3534" s="9"/>
      <c r="B3534" s="15"/>
      <c r="C3534" s="9"/>
      <c r="D3534" s="15"/>
      <c r="E3534" s="16"/>
      <c r="F3534" s="19"/>
      <c r="G3534" s="20"/>
      <c r="H3534" s="19"/>
    </row>
    <row r="3535">
      <c r="A3535" s="9"/>
      <c r="B3535" s="15"/>
      <c r="C3535" s="9"/>
      <c r="D3535" s="15"/>
      <c r="E3535" s="16"/>
      <c r="F3535" s="19"/>
      <c r="G3535" s="20"/>
      <c r="H3535" s="19"/>
    </row>
    <row r="3536">
      <c r="A3536" s="9"/>
      <c r="B3536" s="15"/>
      <c r="C3536" s="9"/>
      <c r="D3536" s="15"/>
      <c r="E3536" s="16"/>
      <c r="F3536" s="19"/>
      <c r="G3536" s="20"/>
      <c r="H3536" s="19"/>
    </row>
    <row r="3537">
      <c r="A3537" s="9"/>
      <c r="B3537" s="15"/>
      <c r="C3537" s="9"/>
      <c r="D3537" s="15"/>
      <c r="E3537" s="16"/>
      <c r="F3537" s="19"/>
      <c r="G3537" s="20"/>
      <c r="H3537" s="19"/>
    </row>
    <row r="3538">
      <c r="A3538" s="9"/>
      <c r="B3538" s="15"/>
      <c r="C3538" s="9"/>
      <c r="D3538" s="15"/>
      <c r="E3538" s="16"/>
      <c r="F3538" s="19"/>
      <c r="G3538" s="20"/>
      <c r="H3538" s="19"/>
    </row>
    <row r="3539">
      <c r="A3539" s="9"/>
      <c r="B3539" s="15"/>
      <c r="C3539" s="9"/>
      <c r="D3539" s="15"/>
      <c r="E3539" s="16"/>
      <c r="F3539" s="19"/>
      <c r="G3539" s="20"/>
      <c r="H3539" s="19"/>
    </row>
    <row r="3540">
      <c r="A3540" s="9"/>
      <c r="B3540" s="15"/>
      <c r="C3540" s="9"/>
      <c r="D3540" s="15"/>
      <c r="E3540" s="16"/>
      <c r="F3540" s="19"/>
      <c r="G3540" s="20"/>
      <c r="H3540" s="19"/>
    </row>
    <row r="3541">
      <c r="A3541" s="9"/>
      <c r="B3541" s="15"/>
      <c r="C3541" s="9"/>
      <c r="D3541" s="15"/>
      <c r="E3541" s="16"/>
      <c r="F3541" s="19"/>
      <c r="G3541" s="20"/>
      <c r="H3541" s="19"/>
    </row>
    <row r="3542">
      <c r="A3542" s="9"/>
      <c r="B3542" s="15"/>
      <c r="C3542" s="9"/>
      <c r="D3542" s="15"/>
      <c r="E3542" s="16"/>
      <c r="F3542" s="19"/>
      <c r="G3542" s="20"/>
      <c r="H3542" s="19"/>
    </row>
    <row r="3543">
      <c r="A3543" s="9"/>
      <c r="B3543" s="15"/>
      <c r="C3543" s="9"/>
      <c r="D3543" s="15"/>
      <c r="E3543" s="16"/>
      <c r="F3543" s="19"/>
      <c r="G3543" s="20"/>
      <c r="H3543" s="19"/>
    </row>
    <row r="3544">
      <c r="A3544" s="9"/>
      <c r="B3544" s="15"/>
      <c r="C3544" s="9"/>
      <c r="D3544" s="15"/>
      <c r="E3544" s="16"/>
      <c r="F3544" s="19"/>
      <c r="G3544" s="20"/>
      <c r="H3544" s="19"/>
    </row>
    <row r="3545">
      <c r="A3545" s="9"/>
      <c r="B3545" s="15"/>
      <c r="C3545" s="9"/>
      <c r="D3545" s="15"/>
      <c r="E3545" s="16"/>
      <c r="F3545" s="19"/>
      <c r="G3545" s="20"/>
      <c r="H3545" s="19"/>
    </row>
    <row r="3546">
      <c r="A3546" s="9"/>
      <c r="B3546" s="15"/>
      <c r="C3546" s="9"/>
      <c r="D3546" s="15"/>
      <c r="E3546" s="16"/>
      <c r="F3546" s="19"/>
      <c r="G3546" s="20"/>
      <c r="H3546" s="19"/>
    </row>
    <row r="3547">
      <c r="A3547" s="9"/>
      <c r="B3547" s="15"/>
      <c r="C3547" s="9"/>
      <c r="D3547" s="15"/>
      <c r="E3547" s="16"/>
      <c r="F3547" s="19"/>
      <c r="G3547" s="20"/>
      <c r="H3547" s="19"/>
    </row>
    <row r="3548">
      <c r="A3548" s="9"/>
      <c r="B3548" s="15"/>
      <c r="C3548" s="9"/>
      <c r="D3548" s="15"/>
      <c r="E3548" s="16"/>
      <c r="F3548" s="19"/>
      <c r="G3548" s="20"/>
      <c r="H3548" s="19"/>
    </row>
    <row r="3549">
      <c r="A3549" s="9"/>
      <c r="B3549" s="15"/>
      <c r="C3549" s="9"/>
      <c r="D3549" s="15"/>
      <c r="E3549" s="16"/>
      <c r="F3549" s="19"/>
      <c r="G3549" s="20"/>
      <c r="H3549" s="19"/>
    </row>
    <row r="3550">
      <c r="A3550" s="9"/>
      <c r="B3550" s="15"/>
      <c r="C3550" s="9"/>
      <c r="D3550" s="15"/>
      <c r="E3550" s="16"/>
      <c r="F3550" s="19"/>
      <c r="G3550" s="20"/>
      <c r="H3550" s="19"/>
    </row>
    <row r="3551">
      <c r="A3551" s="9"/>
      <c r="B3551" s="15"/>
      <c r="C3551" s="9"/>
      <c r="D3551" s="15"/>
      <c r="E3551" s="16"/>
      <c r="F3551" s="19"/>
      <c r="G3551" s="20"/>
      <c r="H3551" s="19"/>
    </row>
    <row r="3552">
      <c r="A3552" s="9"/>
      <c r="B3552" s="15"/>
      <c r="C3552" s="9"/>
      <c r="D3552" s="15"/>
      <c r="E3552" s="16"/>
      <c r="F3552" s="19"/>
      <c r="G3552" s="20"/>
      <c r="H3552" s="19"/>
    </row>
    <row r="3553">
      <c r="A3553" s="9"/>
      <c r="B3553" s="15"/>
      <c r="C3553" s="9"/>
      <c r="D3553" s="15"/>
      <c r="E3553" s="16"/>
      <c r="F3553" s="19"/>
      <c r="G3553" s="20"/>
      <c r="H3553" s="19"/>
    </row>
    <row r="3554">
      <c r="A3554" s="9"/>
      <c r="B3554" s="15"/>
      <c r="C3554" s="9"/>
      <c r="D3554" s="15"/>
      <c r="E3554" s="16"/>
      <c r="F3554" s="19"/>
      <c r="G3554" s="20"/>
      <c r="H3554" s="19"/>
    </row>
    <row r="3555">
      <c r="A3555" s="9"/>
      <c r="B3555" s="15"/>
      <c r="C3555" s="9"/>
      <c r="D3555" s="15"/>
      <c r="E3555" s="16"/>
      <c r="F3555" s="19"/>
      <c r="G3555" s="20"/>
      <c r="H3555" s="19"/>
    </row>
    <row r="3556">
      <c r="A3556" s="9"/>
      <c r="B3556" s="15"/>
      <c r="C3556" s="9"/>
      <c r="D3556" s="15"/>
      <c r="E3556" s="16"/>
      <c r="F3556" s="19"/>
      <c r="G3556" s="20"/>
      <c r="H3556" s="19"/>
    </row>
    <row r="3557">
      <c r="A3557" s="9"/>
      <c r="B3557" s="15"/>
      <c r="C3557" s="9"/>
      <c r="D3557" s="15"/>
      <c r="E3557" s="16"/>
      <c r="F3557" s="19"/>
      <c r="G3557" s="20"/>
      <c r="H3557" s="19"/>
    </row>
    <row r="3558">
      <c r="A3558" s="9"/>
      <c r="B3558" s="15"/>
      <c r="C3558" s="9"/>
      <c r="D3558" s="15"/>
      <c r="E3558" s="16"/>
      <c r="F3558" s="19"/>
      <c r="G3558" s="20"/>
      <c r="H3558" s="19"/>
    </row>
    <row r="3559">
      <c r="A3559" s="9"/>
      <c r="B3559" s="15"/>
      <c r="C3559" s="9"/>
      <c r="D3559" s="15"/>
      <c r="E3559" s="16"/>
      <c r="F3559" s="19"/>
      <c r="G3559" s="20"/>
      <c r="H3559" s="19"/>
    </row>
    <row r="3560">
      <c r="A3560" s="9"/>
      <c r="B3560" s="15"/>
      <c r="C3560" s="9"/>
      <c r="D3560" s="15"/>
      <c r="E3560" s="16"/>
      <c r="F3560" s="19"/>
      <c r="G3560" s="20"/>
      <c r="H3560" s="19"/>
    </row>
    <row r="3561">
      <c r="A3561" s="9"/>
      <c r="B3561" s="15"/>
      <c r="C3561" s="9"/>
      <c r="D3561" s="15"/>
      <c r="E3561" s="16"/>
      <c r="F3561" s="19"/>
      <c r="G3561" s="20"/>
      <c r="H3561" s="19"/>
    </row>
    <row r="3562">
      <c r="A3562" s="9"/>
      <c r="B3562" s="15"/>
      <c r="C3562" s="9"/>
      <c r="D3562" s="15"/>
      <c r="E3562" s="16"/>
      <c r="F3562" s="19"/>
      <c r="G3562" s="20"/>
      <c r="H3562" s="19"/>
    </row>
    <row r="3563">
      <c r="A3563" s="9"/>
      <c r="B3563" s="15"/>
      <c r="C3563" s="9"/>
      <c r="D3563" s="15"/>
      <c r="E3563" s="16"/>
      <c r="F3563" s="19"/>
      <c r="G3563" s="20"/>
      <c r="H3563" s="19"/>
    </row>
    <row r="3564">
      <c r="A3564" s="9"/>
      <c r="B3564" s="15"/>
      <c r="C3564" s="9"/>
      <c r="D3564" s="15"/>
      <c r="E3564" s="16"/>
      <c r="F3564" s="19"/>
      <c r="G3564" s="20"/>
      <c r="H3564" s="19"/>
    </row>
    <row r="3565">
      <c r="A3565" s="9"/>
      <c r="B3565" s="15"/>
      <c r="C3565" s="9"/>
      <c r="D3565" s="15"/>
      <c r="E3565" s="16"/>
      <c r="F3565" s="19"/>
      <c r="G3565" s="20"/>
      <c r="H3565" s="19"/>
    </row>
    <row r="3566">
      <c r="A3566" s="9"/>
      <c r="B3566" s="15"/>
      <c r="C3566" s="9"/>
      <c r="D3566" s="15"/>
      <c r="E3566" s="16"/>
      <c r="F3566" s="19"/>
      <c r="G3566" s="20"/>
      <c r="H3566" s="19"/>
    </row>
    <row r="3567">
      <c r="A3567" s="9"/>
      <c r="B3567" s="15"/>
      <c r="C3567" s="9"/>
      <c r="D3567" s="15"/>
      <c r="E3567" s="16"/>
      <c r="F3567" s="19"/>
      <c r="G3567" s="20"/>
      <c r="H3567" s="19"/>
    </row>
    <row r="3568">
      <c r="A3568" s="9"/>
      <c r="B3568" s="15"/>
      <c r="C3568" s="9"/>
      <c r="D3568" s="15"/>
      <c r="E3568" s="16"/>
      <c r="F3568" s="19"/>
      <c r="G3568" s="20"/>
      <c r="H3568" s="19"/>
    </row>
    <row r="3569">
      <c r="A3569" s="9"/>
      <c r="B3569" s="15"/>
      <c r="C3569" s="9"/>
      <c r="D3569" s="15"/>
      <c r="E3569" s="16"/>
      <c r="F3569" s="19"/>
      <c r="G3569" s="20"/>
      <c r="H3569" s="19"/>
    </row>
    <row r="3570">
      <c r="A3570" s="9"/>
      <c r="B3570" s="15"/>
      <c r="C3570" s="9"/>
      <c r="D3570" s="15"/>
      <c r="E3570" s="16"/>
      <c r="F3570" s="19"/>
      <c r="G3570" s="20"/>
      <c r="H3570" s="19"/>
    </row>
    <row r="3571">
      <c r="A3571" s="9"/>
      <c r="B3571" s="15"/>
      <c r="C3571" s="9"/>
      <c r="D3571" s="15"/>
      <c r="E3571" s="16"/>
      <c r="F3571" s="19"/>
      <c r="G3571" s="20"/>
      <c r="H3571" s="19"/>
    </row>
    <row r="3572">
      <c r="A3572" s="9"/>
      <c r="B3572" s="15"/>
      <c r="C3572" s="9"/>
      <c r="D3572" s="15"/>
      <c r="E3572" s="16"/>
      <c r="F3572" s="19"/>
      <c r="G3572" s="20"/>
      <c r="H3572" s="19"/>
    </row>
    <row r="3573">
      <c r="A3573" s="9"/>
      <c r="B3573" s="15"/>
      <c r="C3573" s="9"/>
      <c r="D3573" s="15"/>
      <c r="E3573" s="16"/>
      <c r="F3573" s="19"/>
      <c r="G3573" s="20"/>
      <c r="H3573" s="19"/>
    </row>
    <row r="3574">
      <c r="A3574" s="9"/>
      <c r="B3574" s="15"/>
      <c r="C3574" s="9"/>
      <c r="D3574" s="15"/>
      <c r="E3574" s="16"/>
      <c r="F3574" s="19"/>
      <c r="G3574" s="20"/>
      <c r="H3574" s="19"/>
    </row>
    <row r="3575">
      <c r="A3575" s="9"/>
      <c r="B3575" s="15"/>
      <c r="C3575" s="9"/>
      <c r="D3575" s="15"/>
      <c r="E3575" s="16"/>
      <c r="F3575" s="19"/>
      <c r="G3575" s="20"/>
      <c r="H3575" s="19"/>
    </row>
    <row r="3576">
      <c r="A3576" s="9"/>
      <c r="B3576" s="15"/>
      <c r="C3576" s="9"/>
      <c r="D3576" s="15"/>
      <c r="E3576" s="16"/>
      <c r="F3576" s="19"/>
      <c r="G3576" s="20"/>
      <c r="H3576" s="19"/>
    </row>
    <row r="3577">
      <c r="A3577" s="9"/>
      <c r="B3577" s="15"/>
      <c r="C3577" s="9"/>
      <c r="D3577" s="15"/>
      <c r="E3577" s="16"/>
      <c r="F3577" s="19"/>
      <c r="G3577" s="20"/>
      <c r="H3577" s="19"/>
    </row>
    <row r="3578">
      <c r="A3578" s="9"/>
      <c r="B3578" s="15"/>
      <c r="C3578" s="9"/>
      <c r="D3578" s="15"/>
      <c r="E3578" s="16"/>
      <c r="F3578" s="19"/>
      <c r="G3578" s="20"/>
      <c r="H3578" s="19"/>
    </row>
    <row r="3579">
      <c r="A3579" s="9"/>
      <c r="B3579" s="15"/>
      <c r="C3579" s="9"/>
      <c r="D3579" s="15"/>
      <c r="E3579" s="16"/>
      <c r="F3579" s="19"/>
      <c r="G3579" s="20"/>
      <c r="H3579" s="19"/>
    </row>
    <row r="3580">
      <c r="A3580" s="9"/>
      <c r="B3580" s="15"/>
      <c r="C3580" s="9"/>
      <c r="D3580" s="15"/>
      <c r="E3580" s="16"/>
      <c r="F3580" s="19"/>
      <c r="G3580" s="20"/>
      <c r="H3580" s="19"/>
    </row>
    <row r="3581">
      <c r="A3581" s="9"/>
      <c r="B3581" s="15"/>
      <c r="C3581" s="9"/>
      <c r="D3581" s="15"/>
      <c r="E3581" s="16"/>
      <c r="F3581" s="19"/>
      <c r="G3581" s="20"/>
      <c r="H3581" s="19"/>
    </row>
    <row r="3582">
      <c r="A3582" s="9"/>
      <c r="B3582" s="15"/>
      <c r="C3582" s="9"/>
      <c r="D3582" s="15"/>
      <c r="E3582" s="16"/>
      <c r="F3582" s="19"/>
      <c r="G3582" s="20"/>
      <c r="H3582" s="19"/>
    </row>
    <row r="3583">
      <c r="A3583" s="9"/>
      <c r="B3583" s="15"/>
      <c r="C3583" s="9"/>
      <c r="D3583" s="15"/>
      <c r="E3583" s="16"/>
      <c r="F3583" s="19"/>
      <c r="G3583" s="20"/>
      <c r="H3583" s="19"/>
    </row>
    <row r="3584">
      <c r="A3584" s="9"/>
      <c r="B3584" s="15"/>
      <c r="C3584" s="9"/>
      <c r="D3584" s="15"/>
      <c r="E3584" s="16"/>
      <c r="F3584" s="19"/>
      <c r="G3584" s="20"/>
      <c r="H3584" s="19"/>
    </row>
    <row r="3585">
      <c r="A3585" s="9"/>
      <c r="B3585" s="15"/>
      <c r="C3585" s="9"/>
      <c r="D3585" s="15"/>
      <c r="E3585" s="16"/>
      <c r="F3585" s="19"/>
      <c r="G3585" s="20"/>
      <c r="H3585" s="19"/>
    </row>
    <row r="3586">
      <c r="A3586" s="9"/>
      <c r="B3586" s="15"/>
      <c r="C3586" s="9"/>
      <c r="D3586" s="15"/>
      <c r="E3586" s="16"/>
      <c r="F3586" s="19"/>
      <c r="G3586" s="20"/>
      <c r="H3586" s="19"/>
    </row>
    <row r="3587">
      <c r="A3587" s="9"/>
      <c r="B3587" s="15"/>
      <c r="C3587" s="9"/>
      <c r="D3587" s="15"/>
      <c r="E3587" s="16"/>
      <c r="F3587" s="19"/>
      <c r="G3587" s="20"/>
      <c r="H3587" s="19"/>
    </row>
    <row r="3588">
      <c r="A3588" s="9"/>
      <c r="B3588" s="15"/>
      <c r="C3588" s="9"/>
      <c r="D3588" s="15"/>
      <c r="E3588" s="16"/>
      <c r="F3588" s="19"/>
      <c r="G3588" s="20"/>
      <c r="H3588" s="19"/>
    </row>
    <row r="3589">
      <c r="A3589" s="9"/>
      <c r="B3589" s="15"/>
      <c r="C3589" s="9"/>
      <c r="D3589" s="15"/>
      <c r="E3589" s="16"/>
      <c r="F3589" s="19"/>
      <c r="G3589" s="20"/>
      <c r="H3589" s="19"/>
    </row>
    <row r="3590">
      <c r="A3590" s="9"/>
      <c r="B3590" s="15"/>
      <c r="C3590" s="9"/>
      <c r="D3590" s="15"/>
      <c r="E3590" s="16"/>
      <c r="F3590" s="19"/>
      <c r="G3590" s="20"/>
      <c r="H3590" s="19"/>
    </row>
    <row r="3591">
      <c r="A3591" s="9"/>
      <c r="B3591" s="15"/>
      <c r="C3591" s="9"/>
      <c r="D3591" s="15"/>
      <c r="E3591" s="16"/>
      <c r="F3591" s="19"/>
      <c r="G3591" s="20"/>
      <c r="H3591" s="19"/>
    </row>
    <row r="3592">
      <c r="A3592" s="9"/>
      <c r="B3592" s="15"/>
      <c r="C3592" s="9"/>
      <c r="D3592" s="15"/>
      <c r="E3592" s="16"/>
      <c r="F3592" s="19"/>
      <c r="G3592" s="20"/>
      <c r="H3592" s="19"/>
    </row>
    <row r="3593">
      <c r="A3593" s="9"/>
      <c r="B3593" s="15"/>
      <c r="C3593" s="9"/>
      <c r="D3593" s="15"/>
      <c r="E3593" s="16"/>
      <c r="F3593" s="19"/>
      <c r="G3593" s="20"/>
      <c r="H3593" s="19"/>
    </row>
    <row r="3594">
      <c r="A3594" s="9"/>
      <c r="B3594" s="15"/>
      <c r="C3594" s="9"/>
      <c r="D3594" s="15"/>
      <c r="E3594" s="16"/>
      <c r="F3594" s="19"/>
      <c r="G3594" s="20"/>
      <c r="H3594" s="19"/>
    </row>
    <row r="3595">
      <c r="A3595" s="9"/>
      <c r="B3595" s="15"/>
      <c r="C3595" s="9"/>
      <c r="D3595" s="15"/>
      <c r="E3595" s="16"/>
      <c r="F3595" s="19"/>
      <c r="G3595" s="20"/>
      <c r="H3595" s="19"/>
    </row>
    <row r="3596">
      <c r="A3596" s="9"/>
      <c r="B3596" s="15"/>
      <c r="C3596" s="9"/>
      <c r="D3596" s="15"/>
      <c r="E3596" s="16"/>
      <c r="F3596" s="19"/>
      <c r="G3596" s="20"/>
      <c r="H3596" s="19"/>
    </row>
    <row r="3597">
      <c r="A3597" s="9"/>
      <c r="B3597" s="15"/>
      <c r="C3597" s="9"/>
      <c r="D3597" s="15"/>
      <c r="E3597" s="16"/>
      <c r="F3597" s="19"/>
      <c r="G3597" s="20"/>
      <c r="H3597" s="19"/>
    </row>
    <row r="3598">
      <c r="A3598" s="9"/>
      <c r="B3598" s="15"/>
      <c r="C3598" s="9"/>
      <c r="D3598" s="15"/>
      <c r="E3598" s="16"/>
      <c r="F3598" s="19"/>
      <c r="G3598" s="20"/>
      <c r="H3598" s="19"/>
    </row>
    <row r="3599">
      <c r="A3599" s="9"/>
      <c r="B3599" s="15"/>
      <c r="C3599" s="9"/>
      <c r="D3599" s="15"/>
      <c r="E3599" s="16"/>
      <c r="F3599" s="19"/>
      <c r="G3599" s="20"/>
      <c r="H3599" s="19"/>
    </row>
    <row r="3600">
      <c r="A3600" s="9"/>
      <c r="B3600" s="15"/>
      <c r="C3600" s="9"/>
      <c r="D3600" s="15"/>
      <c r="E3600" s="16"/>
      <c r="F3600" s="19"/>
      <c r="G3600" s="20"/>
      <c r="H3600" s="19"/>
    </row>
    <row r="3601">
      <c r="A3601" s="9"/>
      <c r="B3601" s="15"/>
      <c r="C3601" s="9"/>
      <c r="D3601" s="15"/>
      <c r="E3601" s="16"/>
      <c r="F3601" s="19"/>
      <c r="G3601" s="20"/>
      <c r="H3601" s="19"/>
    </row>
    <row r="3602">
      <c r="A3602" s="9"/>
      <c r="B3602" s="15"/>
      <c r="C3602" s="9"/>
      <c r="D3602" s="15"/>
      <c r="E3602" s="16"/>
      <c r="F3602" s="19"/>
      <c r="G3602" s="20"/>
      <c r="H3602" s="19"/>
    </row>
    <row r="3603">
      <c r="A3603" s="9"/>
      <c r="B3603" s="15"/>
      <c r="C3603" s="9"/>
      <c r="D3603" s="15"/>
      <c r="E3603" s="16"/>
      <c r="F3603" s="19"/>
      <c r="G3603" s="20"/>
      <c r="H3603" s="19"/>
    </row>
    <row r="3604">
      <c r="A3604" s="9"/>
      <c r="B3604" s="15"/>
      <c r="C3604" s="9"/>
      <c r="D3604" s="15"/>
      <c r="E3604" s="16"/>
      <c r="F3604" s="19"/>
      <c r="G3604" s="20"/>
      <c r="H3604" s="19"/>
    </row>
    <row r="3605">
      <c r="A3605" s="9"/>
      <c r="B3605" s="15"/>
      <c r="C3605" s="9"/>
      <c r="D3605" s="15"/>
      <c r="E3605" s="16"/>
      <c r="F3605" s="19"/>
      <c r="G3605" s="20"/>
      <c r="H3605" s="19"/>
    </row>
    <row r="3606">
      <c r="A3606" s="9"/>
      <c r="B3606" s="15"/>
      <c r="C3606" s="9"/>
      <c r="D3606" s="15"/>
      <c r="E3606" s="16"/>
      <c r="F3606" s="19"/>
      <c r="G3606" s="20"/>
      <c r="H3606" s="19"/>
    </row>
    <row r="3607">
      <c r="A3607" s="9"/>
      <c r="B3607" s="15"/>
      <c r="C3607" s="9"/>
      <c r="D3607" s="15"/>
      <c r="E3607" s="16"/>
      <c r="F3607" s="19"/>
      <c r="G3607" s="20"/>
      <c r="H3607" s="19"/>
    </row>
    <row r="3608">
      <c r="A3608" s="9"/>
      <c r="B3608" s="15"/>
      <c r="C3608" s="9"/>
      <c r="D3608" s="15"/>
      <c r="E3608" s="16"/>
      <c r="F3608" s="19"/>
      <c r="G3608" s="20"/>
      <c r="H3608" s="19"/>
    </row>
    <row r="3609">
      <c r="A3609" s="9"/>
      <c r="B3609" s="15"/>
      <c r="C3609" s="9"/>
      <c r="D3609" s="15"/>
      <c r="E3609" s="16"/>
      <c r="F3609" s="19"/>
      <c r="G3609" s="20"/>
      <c r="H3609" s="19"/>
    </row>
    <row r="3610">
      <c r="A3610" s="9"/>
      <c r="B3610" s="15"/>
      <c r="C3610" s="9"/>
      <c r="D3610" s="15"/>
      <c r="E3610" s="16"/>
      <c r="F3610" s="19"/>
      <c r="G3610" s="20"/>
      <c r="H3610" s="19"/>
    </row>
    <row r="3611">
      <c r="A3611" s="9"/>
      <c r="B3611" s="15"/>
      <c r="C3611" s="9"/>
      <c r="D3611" s="15"/>
      <c r="E3611" s="16"/>
      <c r="F3611" s="19"/>
      <c r="G3611" s="20"/>
      <c r="H3611" s="19"/>
    </row>
    <row r="3612">
      <c r="A3612" s="9"/>
      <c r="B3612" s="15"/>
      <c r="C3612" s="9"/>
      <c r="D3612" s="15"/>
      <c r="E3612" s="16"/>
      <c r="F3612" s="19"/>
      <c r="G3612" s="20"/>
      <c r="H3612" s="19"/>
    </row>
    <row r="3613">
      <c r="A3613" s="9"/>
      <c r="B3613" s="15"/>
      <c r="C3613" s="9"/>
      <c r="D3613" s="15"/>
      <c r="E3613" s="16"/>
      <c r="F3613" s="19"/>
      <c r="G3613" s="20"/>
      <c r="H3613" s="19"/>
    </row>
    <row r="3614">
      <c r="A3614" s="9"/>
      <c r="B3614" s="15"/>
      <c r="C3614" s="9"/>
      <c r="D3614" s="15"/>
      <c r="E3614" s="16"/>
      <c r="F3614" s="19"/>
      <c r="G3614" s="20"/>
      <c r="H3614" s="19"/>
    </row>
    <row r="3615">
      <c r="A3615" s="9"/>
      <c r="B3615" s="15"/>
      <c r="C3615" s="9"/>
      <c r="D3615" s="15"/>
      <c r="E3615" s="16"/>
      <c r="F3615" s="19"/>
      <c r="G3615" s="20"/>
      <c r="H3615" s="19"/>
    </row>
    <row r="3616">
      <c r="A3616" s="9"/>
      <c r="B3616" s="15"/>
      <c r="C3616" s="9"/>
      <c r="D3616" s="15"/>
      <c r="E3616" s="16"/>
      <c r="F3616" s="19"/>
      <c r="G3616" s="20"/>
      <c r="H3616" s="19"/>
    </row>
    <row r="3617">
      <c r="A3617" s="9"/>
      <c r="B3617" s="15"/>
      <c r="C3617" s="9"/>
      <c r="D3617" s="15"/>
      <c r="E3617" s="16"/>
      <c r="F3617" s="19"/>
      <c r="G3617" s="20"/>
      <c r="H3617" s="19"/>
    </row>
    <row r="3618">
      <c r="A3618" s="9"/>
      <c r="B3618" s="15"/>
      <c r="C3618" s="9"/>
      <c r="D3618" s="15"/>
      <c r="E3618" s="16"/>
      <c r="F3618" s="19"/>
      <c r="G3618" s="20"/>
      <c r="H3618" s="19"/>
    </row>
    <row r="3619">
      <c r="A3619" s="9"/>
      <c r="B3619" s="15"/>
      <c r="C3619" s="9"/>
      <c r="D3619" s="15"/>
      <c r="E3619" s="16"/>
      <c r="F3619" s="19"/>
      <c r="G3619" s="20"/>
      <c r="H3619" s="19"/>
    </row>
    <row r="3620">
      <c r="A3620" s="9"/>
      <c r="B3620" s="15"/>
      <c r="C3620" s="9"/>
      <c r="D3620" s="15"/>
      <c r="E3620" s="16"/>
      <c r="F3620" s="19"/>
      <c r="G3620" s="20"/>
      <c r="H3620" s="19"/>
    </row>
    <row r="3621">
      <c r="A3621" s="9"/>
      <c r="B3621" s="15"/>
      <c r="C3621" s="9"/>
      <c r="D3621" s="15"/>
      <c r="E3621" s="16"/>
      <c r="F3621" s="19"/>
      <c r="G3621" s="20"/>
      <c r="H3621" s="19"/>
    </row>
    <row r="3622">
      <c r="A3622" s="9"/>
      <c r="B3622" s="15"/>
      <c r="C3622" s="9"/>
      <c r="D3622" s="15"/>
      <c r="E3622" s="16"/>
      <c r="F3622" s="19"/>
      <c r="G3622" s="20"/>
      <c r="H3622" s="19"/>
    </row>
    <row r="3623">
      <c r="A3623" s="9"/>
      <c r="B3623" s="15"/>
      <c r="C3623" s="9"/>
      <c r="D3623" s="15"/>
      <c r="E3623" s="16"/>
      <c r="F3623" s="19"/>
      <c r="G3623" s="20"/>
      <c r="H3623" s="19"/>
    </row>
    <row r="3624">
      <c r="A3624" s="9"/>
      <c r="B3624" s="15"/>
      <c r="C3624" s="9"/>
      <c r="D3624" s="15"/>
      <c r="E3624" s="16"/>
      <c r="F3624" s="19"/>
      <c r="G3624" s="20"/>
      <c r="H3624" s="19"/>
    </row>
    <row r="3625">
      <c r="A3625" s="9"/>
      <c r="B3625" s="15"/>
      <c r="C3625" s="9"/>
      <c r="D3625" s="15"/>
      <c r="E3625" s="16"/>
      <c r="F3625" s="19"/>
      <c r="G3625" s="20"/>
      <c r="H3625" s="19"/>
    </row>
    <row r="3626">
      <c r="A3626" s="9"/>
      <c r="B3626" s="15"/>
      <c r="C3626" s="9"/>
      <c r="D3626" s="15"/>
      <c r="E3626" s="16"/>
      <c r="F3626" s="19"/>
      <c r="G3626" s="20"/>
      <c r="H3626" s="19"/>
    </row>
    <row r="3627">
      <c r="A3627" s="9"/>
      <c r="B3627" s="15"/>
      <c r="C3627" s="9"/>
      <c r="D3627" s="15"/>
      <c r="E3627" s="16"/>
      <c r="F3627" s="19"/>
      <c r="G3627" s="20"/>
      <c r="H3627" s="19"/>
    </row>
    <row r="3628">
      <c r="A3628" s="9"/>
      <c r="B3628" s="15"/>
      <c r="C3628" s="9"/>
      <c r="D3628" s="15"/>
      <c r="E3628" s="16"/>
      <c r="F3628" s="19"/>
      <c r="G3628" s="20"/>
      <c r="H3628" s="19"/>
    </row>
    <row r="3629">
      <c r="A3629" s="9"/>
      <c r="B3629" s="15"/>
      <c r="C3629" s="9"/>
      <c r="D3629" s="15"/>
      <c r="E3629" s="16"/>
      <c r="F3629" s="19"/>
      <c r="G3629" s="20"/>
      <c r="H3629" s="19"/>
    </row>
    <row r="3630">
      <c r="A3630" s="9"/>
      <c r="B3630" s="15"/>
      <c r="C3630" s="9"/>
      <c r="D3630" s="15"/>
      <c r="E3630" s="16"/>
      <c r="F3630" s="19"/>
      <c r="G3630" s="20"/>
      <c r="H3630" s="19"/>
    </row>
    <row r="3631">
      <c r="A3631" s="9"/>
      <c r="B3631" s="15"/>
      <c r="C3631" s="9"/>
      <c r="D3631" s="15"/>
      <c r="E3631" s="16"/>
      <c r="F3631" s="19"/>
      <c r="G3631" s="20"/>
      <c r="H3631" s="19"/>
    </row>
    <row r="3632">
      <c r="A3632" s="9"/>
      <c r="B3632" s="15"/>
      <c r="C3632" s="9"/>
      <c r="D3632" s="15"/>
      <c r="E3632" s="16"/>
      <c r="F3632" s="19"/>
      <c r="G3632" s="20"/>
      <c r="H3632" s="19"/>
    </row>
    <row r="3633">
      <c r="A3633" s="9"/>
      <c r="B3633" s="15"/>
      <c r="C3633" s="9"/>
      <c r="D3633" s="15"/>
      <c r="E3633" s="16"/>
      <c r="F3633" s="19"/>
      <c r="G3633" s="20"/>
      <c r="H3633" s="19"/>
    </row>
    <row r="3634">
      <c r="A3634" s="9"/>
      <c r="B3634" s="15"/>
      <c r="C3634" s="9"/>
      <c r="D3634" s="15"/>
      <c r="E3634" s="16"/>
      <c r="F3634" s="19"/>
      <c r="G3634" s="20"/>
      <c r="H3634" s="19"/>
    </row>
    <row r="3635">
      <c r="A3635" s="9"/>
      <c r="B3635" s="15"/>
      <c r="C3635" s="9"/>
      <c r="D3635" s="15"/>
      <c r="E3635" s="16"/>
      <c r="F3635" s="19"/>
      <c r="G3635" s="20"/>
      <c r="H3635" s="19"/>
    </row>
    <row r="3636">
      <c r="A3636" s="9"/>
      <c r="B3636" s="15"/>
      <c r="C3636" s="9"/>
      <c r="D3636" s="15"/>
      <c r="E3636" s="16"/>
      <c r="F3636" s="19"/>
      <c r="G3636" s="20"/>
      <c r="H3636" s="19"/>
    </row>
    <row r="3637">
      <c r="A3637" s="9"/>
      <c r="B3637" s="15"/>
      <c r="C3637" s="9"/>
      <c r="D3637" s="15"/>
      <c r="E3637" s="16"/>
      <c r="F3637" s="19"/>
      <c r="G3637" s="20"/>
      <c r="H3637" s="19"/>
    </row>
    <row r="3638">
      <c r="A3638" s="9"/>
      <c r="B3638" s="15"/>
      <c r="C3638" s="9"/>
      <c r="D3638" s="15"/>
      <c r="E3638" s="16"/>
      <c r="F3638" s="19"/>
      <c r="G3638" s="20"/>
      <c r="H3638" s="19"/>
    </row>
    <row r="3639">
      <c r="A3639" s="9"/>
      <c r="B3639" s="15"/>
      <c r="C3639" s="9"/>
      <c r="D3639" s="15"/>
      <c r="E3639" s="16"/>
      <c r="F3639" s="19"/>
      <c r="G3639" s="20"/>
      <c r="H3639" s="19"/>
    </row>
    <row r="3640">
      <c r="A3640" s="9"/>
      <c r="B3640" s="15"/>
      <c r="C3640" s="9"/>
      <c r="D3640" s="15"/>
      <c r="E3640" s="16"/>
      <c r="F3640" s="19"/>
      <c r="G3640" s="20"/>
      <c r="H3640" s="19"/>
    </row>
    <row r="3641">
      <c r="A3641" s="9"/>
      <c r="B3641" s="15"/>
      <c r="C3641" s="9"/>
      <c r="D3641" s="15"/>
      <c r="E3641" s="16"/>
      <c r="F3641" s="19"/>
      <c r="G3641" s="20"/>
      <c r="H3641" s="19"/>
    </row>
    <row r="3642">
      <c r="A3642" s="9"/>
      <c r="B3642" s="15"/>
      <c r="C3642" s="9"/>
      <c r="D3642" s="15"/>
      <c r="E3642" s="16"/>
      <c r="F3642" s="19"/>
      <c r="G3642" s="20"/>
      <c r="H3642" s="19"/>
    </row>
    <row r="3643">
      <c r="A3643" s="9"/>
      <c r="B3643" s="15"/>
      <c r="C3643" s="9"/>
      <c r="D3643" s="15"/>
      <c r="E3643" s="16"/>
      <c r="F3643" s="19"/>
      <c r="G3643" s="20"/>
      <c r="H3643" s="19"/>
    </row>
    <row r="3644">
      <c r="A3644" s="9"/>
      <c r="B3644" s="15"/>
      <c r="C3644" s="9"/>
      <c r="D3644" s="15"/>
      <c r="E3644" s="16"/>
      <c r="F3644" s="19"/>
      <c r="G3644" s="20"/>
      <c r="H3644" s="19"/>
    </row>
    <row r="3645">
      <c r="A3645" s="9"/>
      <c r="B3645" s="15"/>
      <c r="C3645" s="9"/>
      <c r="D3645" s="15"/>
      <c r="E3645" s="16"/>
      <c r="F3645" s="19"/>
      <c r="G3645" s="20"/>
      <c r="H3645" s="19"/>
    </row>
    <row r="3646">
      <c r="A3646" s="9"/>
      <c r="B3646" s="15"/>
      <c r="C3646" s="9"/>
      <c r="D3646" s="15"/>
      <c r="E3646" s="16"/>
      <c r="F3646" s="19"/>
      <c r="G3646" s="20"/>
      <c r="H3646" s="19"/>
    </row>
    <row r="3647">
      <c r="A3647" s="9"/>
      <c r="B3647" s="15"/>
      <c r="C3647" s="9"/>
      <c r="D3647" s="15"/>
      <c r="E3647" s="16"/>
      <c r="F3647" s="19"/>
      <c r="G3647" s="20"/>
      <c r="H3647" s="19"/>
    </row>
    <row r="3648">
      <c r="A3648" s="9"/>
      <c r="B3648" s="15"/>
      <c r="C3648" s="9"/>
      <c r="D3648" s="15"/>
      <c r="E3648" s="16"/>
      <c r="F3648" s="19"/>
      <c r="G3648" s="20"/>
      <c r="H3648" s="19"/>
    </row>
    <row r="3649">
      <c r="A3649" s="9"/>
      <c r="B3649" s="15"/>
      <c r="C3649" s="9"/>
      <c r="D3649" s="15"/>
      <c r="E3649" s="16"/>
      <c r="F3649" s="19"/>
      <c r="G3649" s="20"/>
      <c r="H3649" s="19"/>
    </row>
    <row r="3650">
      <c r="A3650" s="9"/>
      <c r="B3650" s="15"/>
      <c r="C3650" s="9"/>
      <c r="D3650" s="15"/>
      <c r="E3650" s="16"/>
      <c r="F3650" s="19"/>
      <c r="G3650" s="20"/>
      <c r="H3650" s="19"/>
    </row>
    <row r="3651">
      <c r="A3651" s="9"/>
      <c r="B3651" s="15"/>
      <c r="C3651" s="9"/>
      <c r="D3651" s="15"/>
      <c r="E3651" s="16"/>
      <c r="F3651" s="19"/>
      <c r="G3651" s="20"/>
      <c r="H3651" s="19"/>
    </row>
    <row r="3652">
      <c r="A3652" s="9"/>
      <c r="B3652" s="15"/>
      <c r="C3652" s="9"/>
      <c r="D3652" s="15"/>
      <c r="E3652" s="16"/>
      <c r="F3652" s="19"/>
      <c r="G3652" s="20"/>
      <c r="H3652" s="19"/>
    </row>
    <row r="3653">
      <c r="A3653" s="9"/>
      <c r="B3653" s="15"/>
      <c r="C3653" s="9"/>
      <c r="D3653" s="15"/>
      <c r="E3653" s="16"/>
      <c r="F3653" s="19"/>
      <c r="G3653" s="20"/>
      <c r="H3653" s="19"/>
    </row>
    <row r="3654">
      <c r="A3654" s="9"/>
      <c r="B3654" s="15"/>
      <c r="C3654" s="9"/>
      <c r="D3654" s="15"/>
      <c r="E3654" s="16"/>
      <c r="F3654" s="19"/>
      <c r="G3654" s="20"/>
      <c r="H3654" s="19"/>
    </row>
    <row r="3655">
      <c r="A3655" s="9"/>
      <c r="B3655" s="15"/>
      <c r="C3655" s="9"/>
      <c r="D3655" s="15"/>
      <c r="E3655" s="16"/>
      <c r="F3655" s="19"/>
      <c r="G3655" s="20"/>
      <c r="H3655" s="19"/>
    </row>
    <row r="3656">
      <c r="A3656" s="9"/>
      <c r="B3656" s="15"/>
      <c r="C3656" s="9"/>
      <c r="D3656" s="15"/>
      <c r="E3656" s="16"/>
      <c r="F3656" s="19"/>
      <c r="G3656" s="20"/>
      <c r="H3656" s="19"/>
    </row>
    <row r="3657">
      <c r="A3657" s="9"/>
      <c r="B3657" s="15"/>
      <c r="C3657" s="9"/>
      <c r="D3657" s="15"/>
      <c r="E3657" s="16"/>
      <c r="F3657" s="19"/>
      <c r="G3657" s="20"/>
      <c r="H3657" s="19"/>
    </row>
    <row r="3658">
      <c r="A3658" s="9"/>
      <c r="B3658" s="15"/>
      <c r="C3658" s="9"/>
      <c r="D3658" s="15"/>
      <c r="E3658" s="16"/>
      <c r="F3658" s="19"/>
      <c r="G3658" s="20"/>
      <c r="H3658" s="19"/>
    </row>
    <row r="3659">
      <c r="A3659" s="9"/>
      <c r="B3659" s="15"/>
      <c r="C3659" s="9"/>
      <c r="D3659" s="15"/>
      <c r="E3659" s="16"/>
      <c r="F3659" s="19"/>
      <c r="G3659" s="20"/>
      <c r="H3659" s="19"/>
    </row>
    <row r="3660">
      <c r="A3660" s="9"/>
      <c r="B3660" s="15"/>
      <c r="C3660" s="9"/>
      <c r="D3660" s="15"/>
      <c r="E3660" s="16"/>
      <c r="F3660" s="19"/>
      <c r="G3660" s="20"/>
      <c r="H3660" s="19"/>
    </row>
    <row r="3661">
      <c r="A3661" s="9"/>
      <c r="B3661" s="15"/>
      <c r="C3661" s="9"/>
      <c r="D3661" s="15"/>
      <c r="E3661" s="16"/>
      <c r="F3661" s="19"/>
      <c r="G3661" s="20"/>
      <c r="H3661" s="19"/>
    </row>
    <row r="3662">
      <c r="A3662" s="9"/>
      <c r="B3662" s="15"/>
      <c r="C3662" s="9"/>
      <c r="D3662" s="15"/>
      <c r="E3662" s="16"/>
      <c r="F3662" s="19"/>
      <c r="G3662" s="20"/>
      <c r="H3662" s="19"/>
    </row>
    <row r="3663">
      <c r="A3663" s="9"/>
      <c r="B3663" s="15"/>
      <c r="C3663" s="9"/>
      <c r="D3663" s="15"/>
      <c r="E3663" s="16"/>
      <c r="F3663" s="19"/>
      <c r="G3663" s="20"/>
      <c r="H3663" s="19"/>
    </row>
    <row r="3664">
      <c r="A3664" s="9"/>
      <c r="B3664" s="15"/>
      <c r="C3664" s="9"/>
      <c r="D3664" s="15"/>
      <c r="E3664" s="16"/>
      <c r="F3664" s="19"/>
      <c r="G3664" s="20"/>
      <c r="H3664" s="19"/>
    </row>
    <row r="3665">
      <c r="A3665" s="9"/>
      <c r="B3665" s="15"/>
      <c r="C3665" s="9"/>
      <c r="D3665" s="15"/>
      <c r="E3665" s="16"/>
      <c r="F3665" s="19"/>
      <c r="G3665" s="20"/>
      <c r="H3665" s="19"/>
    </row>
    <row r="3666">
      <c r="A3666" s="9"/>
      <c r="B3666" s="15"/>
      <c r="C3666" s="9"/>
      <c r="D3666" s="15"/>
      <c r="E3666" s="16"/>
      <c r="F3666" s="19"/>
      <c r="G3666" s="20"/>
      <c r="H3666" s="19"/>
    </row>
    <row r="3667">
      <c r="A3667" s="9"/>
      <c r="B3667" s="15"/>
      <c r="C3667" s="9"/>
      <c r="D3667" s="15"/>
      <c r="E3667" s="16"/>
      <c r="F3667" s="19"/>
      <c r="G3667" s="20"/>
      <c r="H3667" s="19"/>
    </row>
    <row r="3668">
      <c r="A3668" s="9"/>
      <c r="B3668" s="15"/>
      <c r="C3668" s="9"/>
      <c r="D3668" s="15"/>
      <c r="E3668" s="16"/>
      <c r="F3668" s="19"/>
      <c r="G3668" s="20"/>
      <c r="H3668" s="19"/>
    </row>
    <row r="3669">
      <c r="A3669" s="9"/>
      <c r="B3669" s="15"/>
      <c r="C3669" s="9"/>
      <c r="D3669" s="15"/>
      <c r="E3669" s="16"/>
      <c r="F3669" s="19"/>
      <c r="G3669" s="20"/>
      <c r="H3669" s="19"/>
    </row>
    <row r="3670">
      <c r="A3670" s="9"/>
      <c r="B3670" s="15"/>
      <c r="C3670" s="9"/>
      <c r="D3670" s="15"/>
      <c r="E3670" s="16"/>
      <c r="F3670" s="19"/>
      <c r="G3670" s="20"/>
      <c r="H3670" s="19"/>
    </row>
    <row r="3671">
      <c r="A3671" s="9"/>
      <c r="B3671" s="15"/>
      <c r="C3671" s="9"/>
      <c r="D3671" s="15"/>
      <c r="E3671" s="16"/>
      <c r="F3671" s="19"/>
      <c r="G3671" s="20"/>
      <c r="H3671" s="19"/>
    </row>
    <row r="3672">
      <c r="A3672" s="9"/>
      <c r="B3672" s="15"/>
      <c r="C3672" s="9"/>
      <c r="D3672" s="15"/>
      <c r="E3672" s="16"/>
      <c r="F3672" s="19"/>
      <c r="G3672" s="20"/>
      <c r="H3672" s="19"/>
    </row>
    <row r="3673">
      <c r="A3673" s="9"/>
      <c r="B3673" s="15"/>
      <c r="C3673" s="9"/>
      <c r="D3673" s="15"/>
      <c r="E3673" s="16"/>
      <c r="F3673" s="19"/>
      <c r="G3673" s="20"/>
      <c r="H3673" s="19"/>
    </row>
    <row r="3674">
      <c r="A3674" s="9"/>
      <c r="B3674" s="15"/>
      <c r="C3674" s="9"/>
      <c r="D3674" s="15"/>
      <c r="E3674" s="16"/>
      <c r="F3674" s="19"/>
      <c r="G3674" s="20"/>
      <c r="H3674" s="19"/>
    </row>
    <row r="3675">
      <c r="A3675" s="9"/>
      <c r="B3675" s="15"/>
      <c r="C3675" s="9"/>
      <c r="D3675" s="15"/>
      <c r="E3675" s="16"/>
      <c r="F3675" s="19"/>
      <c r="G3675" s="20"/>
      <c r="H3675" s="19"/>
    </row>
    <row r="3676">
      <c r="A3676" s="9"/>
      <c r="B3676" s="15"/>
      <c r="C3676" s="9"/>
      <c r="D3676" s="15"/>
      <c r="E3676" s="16"/>
      <c r="F3676" s="19"/>
      <c r="G3676" s="20"/>
      <c r="H3676" s="19"/>
    </row>
    <row r="3677">
      <c r="A3677" s="9"/>
      <c r="B3677" s="15"/>
      <c r="C3677" s="9"/>
      <c r="D3677" s="15"/>
      <c r="E3677" s="16"/>
      <c r="F3677" s="19"/>
      <c r="G3677" s="20"/>
      <c r="H3677" s="19"/>
    </row>
    <row r="3678">
      <c r="A3678" s="9"/>
      <c r="B3678" s="15"/>
      <c r="C3678" s="9"/>
      <c r="D3678" s="15"/>
      <c r="E3678" s="16"/>
      <c r="F3678" s="19"/>
      <c r="G3678" s="20"/>
      <c r="H3678" s="19"/>
    </row>
    <row r="3679">
      <c r="A3679" s="9"/>
      <c r="B3679" s="15"/>
      <c r="C3679" s="9"/>
      <c r="D3679" s="15"/>
      <c r="E3679" s="16"/>
      <c r="F3679" s="19"/>
      <c r="G3679" s="20"/>
      <c r="H3679" s="19"/>
    </row>
    <row r="3680">
      <c r="A3680" s="9"/>
      <c r="B3680" s="15"/>
      <c r="C3680" s="9"/>
      <c r="D3680" s="15"/>
      <c r="E3680" s="16"/>
      <c r="F3680" s="19"/>
      <c r="G3680" s="20"/>
      <c r="H3680" s="19"/>
    </row>
    <row r="3681">
      <c r="A3681" s="9"/>
      <c r="B3681" s="15"/>
      <c r="C3681" s="9"/>
      <c r="D3681" s="15"/>
      <c r="E3681" s="16"/>
      <c r="F3681" s="19"/>
      <c r="G3681" s="20"/>
      <c r="H3681" s="19"/>
    </row>
    <row r="3682">
      <c r="A3682" s="9"/>
      <c r="B3682" s="15"/>
      <c r="C3682" s="9"/>
      <c r="D3682" s="15"/>
      <c r="E3682" s="16"/>
      <c r="F3682" s="19"/>
      <c r="G3682" s="20"/>
      <c r="H3682" s="19"/>
    </row>
    <row r="3683">
      <c r="A3683" s="9"/>
      <c r="B3683" s="15"/>
      <c r="C3683" s="9"/>
      <c r="D3683" s="15"/>
      <c r="E3683" s="16"/>
      <c r="F3683" s="19"/>
      <c r="G3683" s="20"/>
      <c r="H3683" s="19"/>
    </row>
    <row r="3684">
      <c r="A3684" s="9"/>
      <c r="B3684" s="15"/>
      <c r="C3684" s="9"/>
      <c r="D3684" s="15"/>
      <c r="E3684" s="16"/>
      <c r="F3684" s="19"/>
      <c r="G3684" s="20"/>
      <c r="H3684" s="19"/>
    </row>
    <row r="3685">
      <c r="A3685" s="9"/>
      <c r="B3685" s="15"/>
      <c r="C3685" s="9"/>
      <c r="D3685" s="15"/>
      <c r="E3685" s="16"/>
      <c r="F3685" s="19"/>
      <c r="G3685" s="20"/>
      <c r="H3685" s="19"/>
    </row>
    <row r="3686">
      <c r="A3686" s="9"/>
      <c r="B3686" s="15"/>
      <c r="C3686" s="9"/>
      <c r="D3686" s="15"/>
      <c r="E3686" s="16"/>
      <c r="F3686" s="19"/>
      <c r="G3686" s="20"/>
      <c r="H3686" s="19"/>
    </row>
    <row r="3687">
      <c r="A3687" s="9"/>
      <c r="B3687" s="15"/>
      <c r="C3687" s="9"/>
      <c r="D3687" s="15"/>
      <c r="E3687" s="16"/>
      <c r="F3687" s="19"/>
      <c r="G3687" s="20"/>
      <c r="H3687" s="19"/>
    </row>
    <row r="3688">
      <c r="A3688" s="9"/>
      <c r="B3688" s="15"/>
      <c r="C3688" s="9"/>
      <c r="D3688" s="15"/>
      <c r="E3688" s="16"/>
      <c r="F3688" s="19"/>
      <c r="G3688" s="20"/>
      <c r="H3688" s="19"/>
    </row>
    <row r="3689">
      <c r="A3689" s="9"/>
      <c r="B3689" s="15"/>
      <c r="C3689" s="9"/>
      <c r="D3689" s="15"/>
      <c r="E3689" s="16"/>
      <c r="F3689" s="19"/>
      <c r="G3689" s="20"/>
      <c r="H3689" s="19"/>
    </row>
    <row r="3690">
      <c r="A3690" s="9"/>
      <c r="B3690" s="15"/>
      <c r="C3690" s="9"/>
      <c r="D3690" s="15"/>
      <c r="E3690" s="16"/>
      <c r="F3690" s="19"/>
      <c r="G3690" s="20"/>
      <c r="H3690" s="19"/>
    </row>
    <row r="3691">
      <c r="A3691" s="9"/>
      <c r="B3691" s="15"/>
      <c r="C3691" s="9"/>
      <c r="D3691" s="15"/>
      <c r="E3691" s="16"/>
      <c r="F3691" s="19"/>
      <c r="G3691" s="20"/>
      <c r="H3691" s="19"/>
    </row>
    <row r="3692">
      <c r="A3692" s="9"/>
      <c r="B3692" s="15"/>
      <c r="C3692" s="9"/>
      <c r="D3692" s="15"/>
      <c r="E3692" s="16"/>
      <c r="F3692" s="19"/>
      <c r="G3692" s="20"/>
      <c r="H3692" s="19"/>
    </row>
    <row r="3693">
      <c r="A3693" s="9"/>
      <c r="B3693" s="15"/>
      <c r="C3693" s="9"/>
      <c r="D3693" s="15"/>
      <c r="E3693" s="16"/>
      <c r="F3693" s="19"/>
      <c r="G3693" s="20"/>
      <c r="H3693" s="19"/>
    </row>
    <row r="3694">
      <c r="A3694" s="9"/>
      <c r="B3694" s="15"/>
      <c r="C3694" s="9"/>
      <c r="D3694" s="15"/>
      <c r="E3694" s="16"/>
      <c r="F3694" s="19"/>
      <c r="G3694" s="20"/>
      <c r="H3694" s="19"/>
    </row>
    <row r="3695">
      <c r="A3695" s="9"/>
      <c r="B3695" s="15"/>
      <c r="C3695" s="9"/>
      <c r="D3695" s="15"/>
      <c r="E3695" s="16"/>
      <c r="F3695" s="19"/>
      <c r="G3695" s="20"/>
      <c r="H3695" s="19"/>
    </row>
    <row r="3696">
      <c r="A3696" s="9"/>
      <c r="B3696" s="15"/>
      <c r="C3696" s="9"/>
      <c r="D3696" s="15"/>
      <c r="E3696" s="16"/>
      <c r="F3696" s="19"/>
      <c r="G3696" s="20"/>
      <c r="H3696" s="19"/>
    </row>
    <row r="3697">
      <c r="A3697" s="9"/>
      <c r="B3697" s="15"/>
      <c r="C3697" s="9"/>
      <c r="D3697" s="15"/>
      <c r="E3697" s="16"/>
      <c r="F3697" s="19"/>
      <c r="G3697" s="20"/>
      <c r="H3697" s="19"/>
    </row>
    <row r="3698">
      <c r="A3698" s="9"/>
      <c r="B3698" s="15"/>
      <c r="C3698" s="9"/>
      <c r="D3698" s="15"/>
      <c r="E3698" s="16"/>
      <c r="F3698" s="19"/>
      <c r="G3698" s="20"/>
      <c r="H3698" s="19"/>
    </row>
    <row r="3699">
      <c r="A3699" s="9"/>
      <c r="B3699" s="15"/>
      <c r="C3699" s="9"/>
      <c r="D3699" s="15"/>
      <c r="E3699" s="16"/>
      <c r="F3699" s="19"/>
      <c r="G3699" s="20"/>
      <c r="H3699" s="19"/>
    </row>
    <row r="3700">
      <c r="A3700" s="9"/>
      <c r="B3700" s="15"/>
      <c r="C3700" s="9"/>
      <c r="D3700" s="15"/>
      <c r="E3700" s="16"/>
      <c r="F3700" s="19"/>
      <c r="G3700" s="20"/>
      <c r="H3700" s="19"/>
    </row>
    <row r="3701">
      <c r="A3701" s="9"/>
      <c r="B3701" s="15"/>
      <c r="C3701" s="9"/>
      <c r="D3701" s="15"/>
      <c r="E3701" s="16"/>
      <c r="F3701" s="19"/>
      <c r="G3701" s="20"/>
      <c r="H3701" s="19"/>
    </row>
    <row r="3702">
      <c r="A3702" s="9"/>
      <c r="B3702" s="15"/>
      <c r="C3702" s="9"/>
      <c r="D3702" s="15"/>
      <c r="E3702" s="16"/>
      <c r="F3702" s="19"/>
      <c r="G3702" s="20"/>
      <c r="H3702" s="19"/>
    </row>
    <row r="3703">
      <c r="A3703" s="9"/>
      <c r="B3703" s="15"/>
      <c r="C3703" s="9"/>
      <c r="D3703" s="15"/>
      <c r="E3703" s="16"/>
      <c r="F3703" s="19"/>
      <c r="G3703" s="20"/>
      <c r="H3703" s="19"/>
    </row>
    <row r="3704">
      <c r="A3704" s="9"/>
      <c r="B3704" s="15"/>
      <c r="C3704" s="9"/>
      <c r="D3704" s="15"/>
      <c r="E3704" s="16"/>
      <c r="F3704" s="19"/>
      <c r="G3704" s="20"/>
      <c r="H3704" s="19"/>
    </row>
    <row r="3705">
      <c r="A3705" s="9"/>
      <c r="B3705" s="15"/>
      <c r="C3705" s="9"/>
      <c r="D3705" s="15"/>
      <c r="E3705" s="16"/>
      <c r="F3705" s="19"/>
      <c r="G3705" s="20"/>
      <c r="H3705" s="19"/>
    </row>
    <row r="3706">
      <c r="A3706" s="9"/>
      <c r="B3706" s="15"/>
      <c r="C3706" s="9"/>
      <c r="D3706" s="15"/>
      <c r="E3706" s="16"/>
      <c r="F3706" s="19"/>
      <c r="G3706" s="20"/>
      <c r="H3706" s="19"/>
    </row>
    <row r="3707">
      <c r="A3707" s="9"/>
      <c r="B3707" s="15"/>
      <c r="C3707" s="9"/>
      <c r="D3707" s="15"/>
      <c r="E3707" s="16"/>
      <c r="F3707" s="19"/>
      <c r="G3707" s="20"/>
      <c r="H3707" s="19"/>
    </row>
    <row r="3708">
      <c r="A3708" s="9"/>
      <c r="B3708" s="15"/>
      <c r="C3708" s="9"/>
      <c r="D3708" s="15"/>
      <c r="E3708" s="16"/>
      <c r="F3708" s="19"/>
      <c r="G3708" s="20"/>
      <c r="H3708" s="19"/>
    </row>
    <row r="3709">
      <c r="A3709" s="9"/>
      <c r="B3709" s="15"/>
      <c r="C3709" s="9"/>
      <c r="D3709" s="15"/>
      <c r="E3709" s="16"/>
      <c r="F3709" s="19"/>
      <c r="G3709" s="20"/>
      <c r="H3709" s="19"/>
    </row>
    <row r="3710">
      <c r="A3710" s="9"/>
      <c r="B3710" s="15"/>
      <c r="C3710" s="9"/>
      <c r="D3710" s="15"/>
      <c r="E3710" s="16"/>
      <c r="F3710" s="19"/>
      <c r="G3710" s="20"/>
      <c r="H3710" s="19"/>
    </row>
    <row r="3711">
      <c r="A3711" s="9"/>
      <c r="B3711" s="15"/>
      <c r="C3711" s="9"/>
      <c r="D3711" s="15"/>
      <c r="E3711" s="16"/>
      <c r="F3711" s="19"/>
      <c r="G3711" s="20"/>
      <c r="H3711" s="19"/>
    </row>
    <row r="3712">
      <c r="A3712" s="9"/>
      <c r="B3712" s="15"/>
      <c r="C3712" s="9"/>
      <c r="D3712" s="15"/>
      <c r="E3712" s="16"/>
      <c r="F3712" s="19"/>
      <c r="G3712" s="20"/>
      <c r="H3712" s="19"/>
    </row>
    <row r="3713">
      <c r="A3713" s="9"/>
      <c r="B3713" s="15"/>
      <c r="C3713" s="9"/>
      <c r="D3713" s="15"/>
      <c r="E3713" s="16"/>
      <c r="F3713" s="19"/>
      <c r="G3713" s="20"/>
      <c r="H3713" s="19"/>
    </row>
    <row r="3714">
      <c r="A3714" s="9"/>
      <c r="B3714" s="15"/>
      <c r="C3714" s="9"/>
      <c r="D3714" s="15"/>
      <c r="E3714" s="16"/>
      <c r="F3714" s="19"/>
      <c r="G3714" s="20"/>
      <c r="H3714" s="19"/>
    </row>
    <row r="3715">
      <c r="A3715" s="9"/>
      <c r="B3715" s="15"/>
      <c r="C3715" s="9"/>
      <c r="D3715" s="15"/>
      <c r="E3715" s="16"/>
      <c r="F3715" s="19"/>
      <c r="G3715" s="20"/>
      <c r="H3715" s="19"/>
    </row>
    <row r="3716">
      <c r="A3716" s="9"/>
      <c r="B3716" s="15"/>
      <c r="C3716" s="9"/>
      <c r="D3716" s="15"/>
      <c r="E3716" s="16"/>
      <c r="F3716" s="19"/>
      <c r="G3716" s="20"/>
      <c r="H3716" s="19"/>
    </row>
    <row r="3717">
      <c r="A3717" s="9"/>
      <c r="B3717" s="15"/>
      <c r="C3717" s="9"/>
      <c r="D3717" s="15"/>
      <c r="E3717" s="16"/>
      <c r="F3717" s="19"/>
      <c r="G3717" s="20"/>
      <c r="H3717" s="19"/>
    </row>
    <row r="3718">
      <c r="A3718" s="9"/>
      <c r="B3718" s="15"/>
      <c r="C3718" s="9"/>
      <c r="D3718" s="15"/>
      <c r="E3718" s="16"/>
      <c r="F3718" s="19"/>
      <c r="G3718" s="20"/>
      <c r="H3718" s="19"/>
    </row>
    <row r="3719">
      <c r="A3719" s="9"/>
      <c r="B3719" s="15"/>
      <c r="C3719" s="9"/>
      <c r="D3719" s="15"/>
      <c r="E3719" s="16"/>
      <c r="F3719" s="19"/>
      <c r="G3719" s="20"/>
      <c r="H3719" s="19"/>
    </row>
    <row r="3720">
      <c r="A3720" s="9"/>
      <c r="B3720" s="15"/>
      <c r="C3720" s="9"/>
      <c r="D3720" s="15"/>
      <c r="E3720" s="16"/>
      <c r="F3720" s="19"/>
      <c r="G3720" s="20"/>
      <c r="H3720" s="19"/>
    </row>
    <row r="3721">
      <c r="A3721" s="9"/>
      <c r="B3721" s="15"/>
      <c r="C3721" s="9"/>
      <c r="D3721" s="15"/>
      <c r="E3721" s="16"/>
      <c r="F3721" s="19"/>
      <c r="G3721" s="20"/>
      <c r="H3721" s="19"/>
    </row>
    <row r="3722">
      <c r="A3722" s="9"/>
      <c r="B3722" s="15"/>
      <c r="C3722" s="9"/>
      <c r="D3722" s="15"/>
      <c r="E3722" s="16"/>
      <c r="F3722" s="19"/>
      <c r="G3722" s="20"/>
      <c r="H3722" s="19"/>
    </row>
    <row r="3723">
      <c r="A3723" s="9"/>
      <c r="B3723" s="15"/>
      <c r="C3723" s="9"/>
      <c r="D3723" s="15"/>
      <c r="E3723" s="16"/>
      <c r="F3723" s="19"/>
      <c r="G3723" s="20"/>
      <c r="H3723" s="19"/>
    </row>
    <row r="3724">
      <c r="A3724" s="9"/>
      <c r="B3724" s="15"/>
      <c r="C3724" s="9"/>
      <c r="D3724" s="15"/>
      <c r="E3724" s="16"/>
      <c r="F3724" s="19"/>
      <c r="G3724" s="20"/>
      <c r="H3724" s="19"/>
    </row>
    <row r="3725">
      <c r="A3725" s="9"/>
      <c r="B3725" s="15"/>
      <c r="C3725" s="9"/>
      <c r="D3725" s="15"/>
      <c r="E3725" s="16"/>
      <c r="F3725" s="19"/>
      <c r="G3725" s="20"/>
      <c r="H3725" s="19"/>
    </row>
    <row r="3726">
      <c r="A3726" s="9"/>
      <c r="B3726" s="15"/>
      <c r="C3726" s="9"/>
      <c r="D3726" s="15"/>
      <c r="E3726" s="16"/>
      <c r="F3726" s="19"/>
      <c r="G3726" s="20"/>
      <c r="H3726" s="19"/>
    </row>
    <row r="3727">
      <c r="A3727" s="9"/>
      <c r="B3727" s="15"/>
      <c r="C3727" s="9"/>
      <c r="D3727" s="15"/>
      <c r="E3727" s="16"/>
      <c r="F3727" s="19"/>
      <c r="G3727" s="20"/>
      <c r="H3727" s="19"/>
    </row>
    <row r="3728">
      <c r="A3728" s="9"/>
      <c r="B3728" s="15"/>
      <c r="C3728" s="9"/>
      <c r="D3728" s="15"/>
      <c r="E3728" s="16"/>
      <c r="F3728" s="19"/>
      <c r="G3728" s="20"/>
      <c r="H3728" s="19"/>
    </row>
    <row r="3729">
      <c r="A3729" s="9"/>
      <c r="B3729" s="15"/>
      <c r="C3729" s="9"/>
      <c r="D3729" s="15"/>
      <c r="E3729" s="16"/>
      <c r="F3729" s="19"/>
      <c r="G3729" s="20"/>
      <c r="H3729" s="19"/>
    </row>
    <row r="3730">
      <c r="A3730" s="9"/>
      <c r="B3730" s="15"/>
      <c r="C3730" s="9"/>
      <c r="D3730" s="15"/>
      <c r="E3730" s="16"/>
      <c r="F3730" s="19"/>
      <c r="G3730" s="20"/>
      <c r="H3730" s="19"/>
    </row>
    <row r="3731">
      <c r="A3731" s="9"/>
      <c r="B3731" s="15"/>
      <c r="C3731" s="9"/>
      <c r="D3731" s="15"/>
      <c r="E3731" s="16"/>
      <c r="F3731" s="19"/>
      <c r="G3731" s="20"/>
      <c r="H3731" s="19"/>
    </row>
    <row r="3732">
      <c r="A3732" s="9"/>
      <c r="B3732" s="15"/>
      <c r="C3732" s="9"/>
      <c r="D3732" s="15"/>
      <c r="E3732" s="16"/>
      <c r="F3732" s="19"/>
      <c r="G3732" s="20"/>
      <c r="H3732" s="19"/>
    </row>
    <row r="3733">
      <c r="A3733" s="9"/>
      <c r="B3733" s="15"/>
      <c r="C3733" s="9"/>
      <c r="D3733" s="15"/>
      <c r="E3733" s="16"/>
      <c r="F3733" s="19"/>
      <c r="G3733" s="20"/>
      <c r="H3733" s="19"/>
    </row>
    <row r="3734">
      <c r="A3734" s="9"/>
      <c r="B3734" s="15"/>
      <c r="C3734" s="9"/>
      <c r="D3734" s="15"/>
      <c r="E3734" s="16"/>
      <c r="F3734" s="19"/>
      <c r="G3734" s="20"/>
      <c r="H3734" s="19"/>
    </row>
    <row r="3735">
      <c r="A3735" s="9"/>
      <c r="B3735" s="15"/>
      <c r="C3735" s="9"/>
      <c r="D3735" s="15"/>
      <c r="E3735" s="16"/>
      <c r="F3735" s="19"/>
      <c r="G3735" s="20"/>
      <c r="H3735" s="19"/>
    </row>
    <row r="3736">
      <c r="A3736" s="9"/>
      <c r="B3736" s="15"/>
      <c r="C3736" s="9"/>
      <c r="D3736" s="15"/>
      <c r="E3736" s="16"/>
      <c r="F3736" s="19"/>
      <c r="G3736" s="20"/>
      <c r="H3736" s="19"/>
    </row>
    <row r="3737">
      <c r="A3737" s="9"/>
      <c r="B3737" s="15"/>
      <c r="C3737" s="9"/>
      <c r="D3737" s="15"/>
      <c r="E3737" s="16"/>
      <c r="F3737" s="19"/>
      <c r="G3737" s="20"/>
      <c r="H3737" s="19"/>
    </row>
    <row r="3738">
      <c r="A3738" s="9"/>
      <c r="B3738" s="15"/>
      <c r="C3738" s="9"/>
      <c r="D3738" s="15"/>
      <c r="E3738" s="16"/>
      <c r="F3738" s="19"/>
      <c r="G3738" s="20"/>
      <c r="H3738" s="19"/>
    </row>
    <row r="3739">
      <c r="A3739" s="9"/>
      <c r="B3739" s="15"/>
      <c r="C3739" s="9"/>
      <c r="D3739" s="15"/>
      <c r="E3739" s="16"/>
      <c r="F3739" s="19"/>
      <c r="G3739" s="20"/>
      <c r="H3739" s="19"/>
    </row>
    <row r="3740">
      <c r="A3740" s="9"/>
      <c r="B3740" s="15"/>
      <c r="C3740" s="9"/>
      <c r="D3740" s="15"/>
      <c r="E3740" s="16"/>
      <c r="F3740" s="19"/>
      <c r="G3740" s="20"/>
      <c r="H3740" s="19"/>
    </row>
    <row r="3741">
      <c r="A3741" s="9"/>
      <c r="B3741" s="15"/>
      <c r="C3741" s="9"/>
      <c r="D3741" s="15"/>
      <c r="E3741" s="16"/>
      <c r="F3741" s="19"/>
      <c r="G3741" s="20"/>
      <c r="H3741" s="19"/>
    </row>
    <row r="3742">
      <c r="A3742" s="9"/>
      <c r="B3742" s="15"/>
      <c r="C3742" s="9"/>
      <c r="D3742" s="15"/>
      <c r="E3742" s="16"/>
      <c r="F3742" s="19"/>
      <c r="G3742" s="20"/>
      <c r="H3742" s="19"/>
    </row>
    <row r="3743">
      <c r="A3743" s="9"/>
      <c r="B3743" s="15"/>
      <c r="C3743" s="9"/>
      <c r="D3743" s="15"/>
      <c r="E3743" s="16"/>
      <c r="F3743" s="19"/>
      <c r="G3743" s="20"/>
      <c r="H3743" s="19"/>
    </row>
    <row r="3744">
      <c r="A3744" s="9"/>
      <c r="B3744" s="15"/>
      <c r="C3744" s="9"/>
      <c r="D3744" s="15"/>
      <c r="E3744" s="16"/>
      <c r="F3744" s="19"/>
      <c r="G3744" s="20"/>
      <c r="H3744" s="19"/>
    </row>
    <row r="3745">
      <c r="A3745" s="9"/>
      <c r="B3745" s="15"/>
      <c r="C3745" s="9"/>
      <c r="D3745" s="15"/>
      <c r="E3745" s="16"/>
      <c r="F3745" s="19"/>
      <c r="G3745" s="20"/>
      <c r="H3745" s="19"/>
    </row>
    <row r="3746">
      <c r="A3746" s="9"/>
      <c r="B3746" s="15"/>
      <c r="C3746" s="9"/>
      <c r="D3746" s="15"/>
      <c r="E3746" s="16"/>
      <c r="F3746" s="19"/>
      <c r="G3746" s="20"/>
      <c r="H3746" s="19"/>
    </row>
    <row r="3747">
      <c r="A3747" s="9"/>
      <c r="B3747" s="15"/>
      <c r="C3747" s="9"/>
      <c r="D3747" s="15"/>
      <c r="E3747" s="16"/>
      <c r="F3747" s="19"/>
      <c r="G3747" s="20"/>
      <c r="H3747" s="19"/>
    </row>
    <row r="3748">
      <c r="A3748" s="9"/>
      <c r="B3748" s="15"/>
      <c r="C3748" s="9"/>
      <c r="D3748" s="15"/>
      <c r="E3748" s="16"/>
      <c r="F3748" s="19"/>
      <c r="G3748" s="20"/>
      <c r="H3748" s="19"/>
    </row>
    <row r="3749">
      <c r="A3749" s="9"/>
      <c r="B3749" s="15"/>
      <c r="C3749" s="9"/>
      <c r="D3749" s="15"/>
      <c r="E3749" s="16"/>
      <c r="F3749" s="19"/>
      <c r="G3749" s="20"/>
      <c r="H3749" s="19"/>
    </row>
    <row r="3750">
      <c r="A3750" s="9"/>
      <c r="B3750" s="15"/>
      <c r="C3750" s="9"/>
      <c r="D3750" s="15"/>
      <c r="E3750" s="16"/>
      <c r="F3750" s="19"/>
      <c r="G3750" s="20"/>
      <c r="H3750" s="19"/>
    </row>
    <row r="3751">
      <c r="A3751" s="9"/>
      <c r="B3751" s="15"/>
      <c r="C3751" s="9"/>
      <c r="D3751" s="15"/>
      <c r="E3751" s="16"/>
      <c r="F3751" s="19"/>
      <c r="G3751" s="20"/>
      <c r="H3751" s="19"/>
    </row>
    <row r="3752">
      <c r="A3752" s="9"/>
      <c r="B3752" s="15"/>
      <c r="C3752" s="9"/>
      <c r="D3752" s="15"/>
      <c r="E3752" s="16"/>
      <c r="F3752" s="19"/>
      <c r="G3752" s="20"/>
      <c r="H3752" s="19"/>
    </row>
    <row r="3753">
      <c r="A3753" s="9"/>
      <c r="B3753" s="15"/>
      <c r="C3753" s="9"/>
      <c r="D3753" s="15"/>
      <c r="E3753" s="16"/>
      <c r="F3753" s="19"/>
      <c r="G3753" s="20"/>
      <c r="H3753" s="19"/>
    </row>
    <row r="3754">
      <c r="A3754" s="9"/>
      <c r="B3754" s="15"/>
      <c r="C3754" s="9"/>
      <c r="D3754" s="15"/>
      <c r="E3754" s="16"/>
      <c r="F3754" s="19"/>
      <c r="G3754" s="20"/>
      <c r="H3754" s="19"/>
    </row>
    <row r="3755">
      <c r="A3755" s="9"/>
      <c r="B3755" s="15"/>
      <c r="C3755" s="9"/>
      <c r="D3755" s="15"/>
      <c r="E3755" s="16"/>
      <c r="F3755" s="19"/>
      <c r="G3755" s="20"/>
      <c r="H3755" s="19"/>
    </row>
    <row r="3756">
      <c r="A3756" s="9"/>
      <c r="B3756" s="15"/>
      <c r="C3756" s="9"/>
      <c r="D3756" s="15"/>
      <c r="E3756" s="16"/>
      <c r="F3756" s="19"/>
      <c r="G3756" s="20"/>
      <c r="H3756" s="19"/>
    </row>
    <row r="3757">
      <c r="A3757" s="9"/>
      <c r="B3757" s="15"/>
      <c r="C3757" s="9"/>
      <c r="D3757" s="15"/>
      <c r="E3757" s="16"/>
      <c r="F3757" s="19"/>
      <c r="G3757" s="20"/>
      <c r="H3757" s="19"/>
    </row>
    <row r="3758">
      <c r="A3758" s="9"/>
      <c r="B3758" s="15"/>
      <c r="C3758" s="9"/>
      <c r="D3758" s="15"/>
      <c r="E3758" s="16"/>
      <c r="F3758" s="19"/>
      <c r="G3758" s="20"/>
      <c r="H3758" s="19"/>
    </row>
    <row r="3759">
      <c r="A3759" s="9"/>
      <c r="B3759" s="15"/>
      <c r="C3759" s="9"/>
      <c r="D3759" s="15"/>
      <c r="E3759" s="16"/>
      <c r="F3759" s="19"/>
      <c r="G3759" s="20"/>
      <c r="H3759" s="19"/>
    </row>
    <row r="3760">
      <c r="A3760" s="9"/>
      <c r="B3760" s="15"/>
      <c r="C3760" s="9"/>
      <c r="D3760" s="15"/>
      <c r="E3760" s="16"/>
      <c r="F3760" s="19"/>
      <c r="G3760" s="20"/>
      <c r="H3760" s="19"/>
    </row>
    <row r="3761">
      <c r="A3761" s="9"/>
      <c r="B3761" s="15"/>
      <c r="C3761" s="9"/>
      <c r="D3761" s="15"/>
      <c r="E3761" s="16"/>
      <c r="F3761" s="19"/>
      <c r="G3761" s="20"/>
      <c r="H3761" s="19"/>
    </row>
    <row r="3762">
      <c r="A3762" s="9"/>
      <c r="B3762" s="15"/>
      <c r="C3762" s="9"/>
      <c r="D3762" s="15"/>
      <c r="E3762" s="16"/>
      <c r="F3762" s="19"/>
      <c r="G3762" s="20"/>
      <c r="H3762" s="19"/>
    </row>
    <row r="3763">
      <c r="A3763" s="9"/>
      <c r="B3763" s="15"/>
      <c r="C3763" s="9"/>
      <c r="D3763" s="15"/>
      <c r="E3763" s="16"/>
      <c r="F3763" s="19"/>
      <c r="G3763" s="20"/>
      <c r="H3763" s="19"/>
    </row>
    <row r="3764">
      <c r="A3764" s="9"/>
      <c r="B3764" s="15"/>
      <c r="C3764" s="9"/>
      <c r="D3764" s="15"/>
      <c r="E3764" s="16"/>
      <c r="F3764" s="19"/>
      <c r="G3764" s="20"/>
      <c r="H3764" s="19"/>
    </row>
    <row r="3765">
      <c r="A3765" s="9"/>
      <c r="B3765" s="15"/>
      <c r="C3765" s="9"/>
      <c r="D3765" s="15"/>
      <c r="E3765" s="16"/>
      <c r="F3765" s="19"/>
      <c r="G3765" s="20"/>
      <c r="H3765" s="19"/>
    </row>
    <row r="3766">
      <c r="A3766" s="9"/>
      <c r="B3766" s="15"/>
      <c r="C3766" s="9"/>
      <c r="D3766" s="15"/>
      <c r="E3766" s="16"/>
      <c r="F3766" s="19"/>
      <c r="G3766" s="20"/>
      <c r="H3766" s="19"/>
    </row>
    <row r="3767">
      <c r="A3767" s="9"/>
      <c r="B3767" s="15"/>
      <c r="C3767" s="9"/>
      <c r="D3767" s="15"/>
      <c r="E3767" s="16"/>
      <c r="F3767" s="19"/>
      <c r="G3767" s="20"/>
      <c r="H3767" s="19"/>
    </row>
    <row r="3768">
      <c r="A3768" s="9"/>
      <c r="B3768" s="15"/>
      <c r="C3768" s="9"/>
      <c r="D3768" s="15"/>
      <c r="E3768" s="16"/>
      <c r="F3768" s="19"/>
      <c r="G3768" s="20"/>
      <c r="H3768" s="19"/>
    </row>
    <row r="3769">
      <c r="A3769" s="9"/>
      <c r="B3769" s="15"/>
      <c r="C3769" s="9"/>
      <c r="D3769" s="15"/>
      <c r="E3769" s="16"/>
      <c r="F3769" s="19"/>
      <c r="G3769" s="20"/>
      <c r="H3769" s="19"/>
    </row>
    <row r="3770">
      <c r="A3770" s="9"/>
      <c r="B3770" s="15"/>
      <c r="C3770" s="9"/>
      <c r="D3770" s="15"/>
      <c r="E3770" s="16"/>
      <c r="F3770" s="19"/>
      <c r="G3770" s="20"/>
      <c r="H3770" s="19"/>
    </row>
    <row r="3771">
      <c r="A3771" s="9"/>
      <c r="B3771" s="15"/>
      <c r="C3771" s="9"/>
      <c r="D3771" s="15"/>
      <c r="E3771" s="16"/>
      <c r="F3771" s="19"/>
      <c r="G3771" s="20"/>
      <c r="H3771" s="19"/>
    </row>
    <row r="3772">
      <c r="A3772" s="9"/>
      <c r="B3772" s="15"/>
      <c r="C3772" s="9"/>
      <c r="D3772" s="15"/>
      <c r="E3772" s="16"/>
      <c r="F3772" s="19"/>
      <c r="G3772" s="20"/>
      <c r="H3772" s="19"/>
    </row>
    <row r="3773">
      <c r="A3773" s="9"/>
      <c r="B3773" s="15"/>
      <c r="C3773" s="9"/>
      <c r="D3773" s="15"/>
      <c r="E3773" s="16"/>
      <c r="F3773" s="19"/>
      <c r="G3773" s="20"/>
      <c r="H3773" s="19"/>
    </row>
    <row r="3774">
      <c r="A3774" s="9"/>
      <c r="B3774" s="15"/>
      <c r="C3774" s="9"/>
      <c r="D3774" s="15"/>
      <c r="E3774" s="16"/>
      <c r="F3774" s="19"/>
      <c r="G3774" s="20"/>
      <c r="H3774" s="19"/>
    </row>
    <row r="3775">
      <c r="A3775" s="9"/>
      <c r="B3775" s="15"/>
      <c r="C3775" s="9"/>
      <c r="D3775" s="15"/>
      <c r="E3775" s="16"/>
      <c r="F3775" s="19"/>
      <c r="G3775" s="20"/>
      <c r="H3775" s="19"/>
    </row>
    <row r="3776">
      <c r="A3776" s="9"/>
      <c r="B3776" s="15"/>
      <c r="C3776" s="9"/>
      <c r="D3776" s="15"/>
      <c r="E3776" s="16"/>
      <c r="F3776" s="19"/>
      <c r="G3776" s="20"/>
      <c r="H3776" s="19"/>
    </row>
    <row r="3777">
      <c r="A3777" s="9"/>
      <c r="B3777" s="15"/>
      <c r="C3777" s="9"/>
      <c r="D3777" s="15"/>
      <c r="E3777" s="16"/>
      <c r="F3777" s="19"/>
      <c r="G3777" s="20"/>
      <c r="H3777" s="19"/>
    </row>
    <row r="3778">
      <c r="A3778" s="9"/>
      <c r="B3778" s="15"/>
      <c r="C3778" s="9"/>
      <c r="D3778" s="15"/>
      <c r="E3778" s="16"/>
      <c r="F3778" s="19"/>
      <c r="G3778" s="20"/>
      <c r="H3778" s="19"/>
    </row>
    <row r="3779">
      <c r="A3779" s="9"/>
      <c r="B3779" s="15"/>
      <c r="C3779" s="9"/>
      <c r="D3779" s="15"/>
      <c r="E3779" s="16"/>
      <c r="F3779" s="19"/>
      <c r="G3779" s="20"/>
      <c r="H3779" s="19"/>
    </row>
    <row r="3780">
      <c r="A3780" s="9"/>
      <c r="B3780" s="15"/>
      <c r="C3780" s="9"/>
      <c r="D3780" s="15"/>
      <c r="E3780" s="16"/>
      <c r="F3780" s="19"/>
      <c r="G3780" s="20"/>
      <c r="H3780" s="19"/>
    </row>
    <row r="3781">
      <c r="A3781" s="9"/>
      <c r="B3781" s="15"/>
      <c r="C3781" s="9"/>
      <c r="D3781" s="15"/>
      <c r="E3781" s="16"/>
      <c r="F3781" s="19"/>
      <c r="G3781" s="20"/>
      <c r="H3781" s="19"/>
    </row>
    <row r="3782">
      <c r="A3782" s="9"/>
      <c r="B3782" s="15"/>
      <c r="C3782" s="9"/>
      <c r="D3782" s="15"/>
      <c r="E3782" s="16"/>
      <c r="F3782" s="19"/>
      <c r="G3782" s="20"/>
      <c r="H3782" s="19"/>
    </row>
    <row r="3783">
      <c r="A3783" s="9"/>
      <c r="B3783" s="15"/>
      <c r="C3783" s="9"/>
      <c r="D3783" s="15"/>
      <c r="E3783" s="16"/>
      <c r="F3783" s="19"/>
      <c r="G3783" s="20"/>
      <c r="H3783" s="19"/>
    </row>
    <row r="3784">
      <c r="A3784" s="9"/>
      <c r="B3784" s="15"/>
      <c r="C3784" s="9"/>
      <c r="D3784" s="15"/>
      <c r="E3784" s="16"/>
      <c r="F3784" s="19"/>
      <c r="G3784" s="20"/>
      <c r="H3784" s="19"/>
    </row>
    <row r="3785">
      <c r="A3785" s="9"/>
      <c r="B3785" s="15"/>
      <c r="C3785" s="9"/>
      <c r="D3785" s="15"/>
      <c r="E3785" s="16"/>
      <c r="F3785" s="19"/>
      <c r="G3785" s="20"/>
      <c r="H3785" s="19"/>
    </row>
    <row r="3786">
      <c r="A3786" s="9"/>
      <c r="B3786" s="15"/>
      <c r="C3786" s="9"/>
      <c r="D3786" s="15"/>
      <c r="E3786" s="16"/>
      <c r="F3786" s="19"/>
      <c r="G3786" s="20"/>
      <c r="H3786" s="19"/>
    </row>
    <row r="3787">
      <c r="A3787" s="9"/>
      <c r="B3787" s="15"/>
      <c r="C3787" s="9"/>
      <c r="D3787" s="15"/>
      <c r="E3787" s="16"/>
      <c r="F3787" s="19"/>
      <c r="G3787" s="20"/>
      <c r="H3787" s="19"/>
    </row>
    <row r="3788">
      <c r="A3788" s="9"/>
      <c r="B3788" s="15"/>
      <c r="C3788" s="9"/>
      <c r="D3788" s="15"/>
      <c r="E3788" s="16"/>
      <c r="F3788" s="19"/>
      <c r="G3788" s="20"/>
      <c r="H3788" s="19"/>
    </row>
    <row r="3789">
      <c r="A3789" s="9"/>
      <c r="B3789" s="15"/>
      <c r="C3789" s="9"/>
      <c r="D3789" s="15"/>
      <c r="E3789" s="16"/>
      <c r="F3789" s="19"/>
      <c r="G3789" s="20"/>
      <c r="H3789" s="19"/>
    </row>
    <row r="3790">
      <c r="A3790" s="9"/>
      <c r="B3790" s="15"/>
      <c r="C3790" s="9"/>
      <c r="D3790" s="15"/>
      <c r="E3790" s="16"/>
      <c r="F3790" s="19"/>
      <c r="G3790" s="20"/>
      <c r="H3790" s="19"/>
    </row>
    <row r="3791">
      <c r="A3791" s="9"/>
      <c r="B3791" s="15"/>
      <c r="C3791" s="9"/>
      <c r="D3791" s="15"/>
      <c r="E3791" s="16"/>
      <c r="F3791" s="19"/>
      <c r="G3791" s="20"/>
      <c r="H3791" s="19"/>
    </row>
    <row r="3792">
      <c r="A3792" s="9"/>
      <c r="B3792" s="15"/>
      <c r="C3792" s="9"/>
      <c r="D3792" s="15"/>
      <c r="E3792" s="16"/>
      <c r="F3792" s="19"/>
      <c r="G3792" s="20"/>
      <c r="H3792" s="19"/>
    </row>
    <row r="3793">
      <c r="A3793" s="9"/>
      <c r="B3793" s="15"/>
      <c r="C3793" s="9"/>
      <c r="D3793" s="15"/>
      <c r="E3793" s="16"/>
      <c r="F3793" s="19"/>
      <c r="G3793" s="20"/>
      <c r="H3793" s="19"/>
    </row>
    <row r="3794">
      <c r="A3794" s="9"/>
      <c r="B3794" s="15"/>
      <c r="C3794" s="9"/>
      <c r="D3794" s="15"/>
      <c r="E3794" s="16"/>
      <c r="F3794" s="19"/>
      <c r="G3794" s="20"/>
      <c r="H3794" s="19"/>
    </row>
    <row r="3795">
      <c r="A3795" s="9"/>
      <c r="B3795" s="15"/>
      <c r="C3795" s="9"/>
      <c r="D3795" s="15"/>
      <c r="E3795" s="16"/>
      <c r="F3795" s="19"/>
      <c r="G3795" s="20"/>
      <c r="H3795" s="19"/>
    </row>
    <row r="3796">
      <c r="A3796" s="9"/>
      <c r="B3796" s="15"/>
      <c r="C3796" s="9"/>
      <c r="D3796" s="15"/>
      <c r="E3796" s="16"/>
      <c r="F3796" s="19"/>
      <c r="G3796" s="20"/>
      <c r="H3796" s="19"/>
    </row>
    <row r="3797">
      <c r="A3797" s="9"/>
      <c r="B3797" s="15"/>
      <c r="C3797" s="9"/>
      <c r="D3797" s="15"/>
      <c r="E3797" s="16"/>
      <c r="F3797" s="19"/>
      <c r="G3797" s="20"/>
      <c r="H3797" s="19"/>
    </row>
    <row r="3798">
      <c r="A3798" s="9"/>
      <c r="B3798" s="15"/>
      <c r="C3798" s="9"/>
      <c r="D3798" s="15"/>
      <c r="E3798" s="16"/>
      <c r="F3798" s="19"/>
      <c r="G3798" s="20"/>
      <c r="H3798" s="19"/>
    </row>
    <row r="3799">
      <c r="A3799" s="9"/>
      <c r="B3799" s="15"/>
      <c r="C3799" s="9"/>
      <c r="D3799" s="15"/>
      <c r="E3799" s="16"/>
      <c r="F3799" s="19"/>
      <c r="G3799" s="20"/>
      <c r="H3799" s="19"/>
    </row>
    <row r="3800">
      <c r="A3800" s="9"/>
      <c r="B3800" s="15"/>
      <c r="C3800" s="9"/>
      <c r="D3800" s="15"/>
      <c r="E3800" s="16"/>
      <c r="F3800" s="19"/>
      <c r="G3800" s="20"/>
      <c r="H3800" s="19"/>
    </row>
    <row r="3801">
      <c r="A3801" s="9"/>
      <c r="B3801" s="15"/>
      <c r="C3801" s="9"/>
      <c r="D3801" s="15"/>
      <c r="E3801" s="16"/>
      <c r="F3801" s="19"/>
      <c r="G3801" s="20"/>
      <c r="H3801" s="19"/>
    </row>
    <row r="3802">
      <c r="A3802" s="9"/>
      <c r="B3802" s="15"/>
      <c r="C3802" s="9"/>
      <c r="D3802" s="15"/>
      <c r="E3802" s="16"/>
      <c r="F3802" s="19"/>
      <c r="G3802" s="20"/>
      <c r="H3802" s="19"/>
    </row>
    <row r="3803">
      <c r="A3803" s="9"/>
      <c r="B3803" s="15"/>
      <c r="C3803" s="9"/>
      <c r="D3803" s="15"/>
      <c r="E3803" s="16"/>
      <c r="F3803" s="19"/>
      <c r="G3803" s="20"/>
      <c r="H3803" s="19"/>
    </row>
    <row r="3804">
      <c r="A3804" s="9"/>
      <c r="B3804" s="15"/>
      <c r="C3804" s="9"/>
      <c r="D3804" s="15"/>
      <c r="E3804" s="16"/>
      <c r="F3804" s="19"/>
      <c r="G3804" s="20"/>
      <c r="H3804" s="19"/>
    </row>
    <row r="3805">
      <c r="A3805" s="9"/>
      <c r="B3805" s="15"/>
      <c r="C3805" s="9"/>
      <c r="D3805" s="15"/>
      <c r="E3805" s="16"/>
      <c r="F3805" s="19"/>
      <c r="G3805" s="20"/>
      <c r="H3805" s="19"/>
    </row>
    <row r="3806">
      <c r="A3806" s="9"/>
      <c r="B3806" s="15"/>
      <c r="C3806" s="9"/>
      <c r="D3806" s="15"/>
      <c r="E3806" s="16"/>
      <c r="F3806" s="19"/>
      <c r="G3806" s="20"/>
      <c r="H3806" s="19"/>
    </row>
    <row r="3807">
      <c r="A3807" s="9"/>
      <c r="B3807" s="15"/>
      <c r="C3807" s="9"/>
      <c r="D3807" s="15"/>
      <c r="E3807" s="16"/>
      <c r="F3807" s="19"/>
      <c r="G3807" s="20"/>
      <c r="H3807" s="19"/>
    </row>
    <row r="3808">
      <c r="A3808" s="9"/>
      <c r="B3808" s="15"/>
      <c r="C3808" s="9"/>
      <c r="D3808" s="15"/>
      <c r="E3808" s="16"/>
      <c r="F3808" s="19"/>
      <c r="G3808" s="20"/>
      <c r="H3808" s="19"/>
    </row>
    <row r="3809">
      <c r="A3809" s="9"/>
      <c r="B3809" s="15"/>
      <c r="C3809" s="9"/>
      <c r="D3809" s="15"/>
      <c r="E3809" s="16"/>
      <c r="F3809" s="19"/>
      <c r="G3809" s="20"/>
      <c r="H3809" s="19"/>
    </row>
    <row r="3810">
      <c r="A3810" s="9"/>
      <c r="B3810" s="15"/>
      <c r="C3810" s="9"/>
      <c r="D3810" s="15"/>
      <c r="E3810" s="16"/>
      <c r="F3810" s="19"/>
      <c r="G3810" s="20"/>
      <c r="H3810" s="19"/>
    </row>
    <row r="3811">
      <c r="A3811" s="9"/>
      <c r="B3811" s="15"/>
      <c r="C3811" s="9"/>
      <c r="D3811" s="15"/>
      <c r="E3811" s="16"/>
      <c r="F3811" s="19"/>
      <c r="G3811" s="20"/>
      <c r="H3811" s="19"/>
    </row>
    <row r="3812">
      <c r="A3812" s="9"/>
      <c r="B3812" s="15"/>
      <c r="C3812" s="9"/>
      <c r="D3812" s="15"/>
      <c r="E3812" s="16"/>
      <c r="F3812" s="19"/>
      <c r="G3812" s="20"/>
      <c r="H3812" s="19"/>
    </row>
    <row r="3813">
      <c r="A3813" s="9"/>
      <c r="B3813" s="15"/>
      <c r="C3813" s="9"/>
      <c r="D3813" s="15"/>
      <c r="E3813" s="16"/>
      <c r="F3813" s="19"/>
      <c r="G3813" s="20"/>
      <c r="H3813" s="19"/>
    </row>
    <row r="3814">
      <c r="A3814" s="9"/>
      <c r="B3814" s="15"/>
      <c r="C3814" s="9"/>
      <c r="D3814" s="15"/>
      <c r="E3814" s="16"/>
      <c r="F3814" s="19"/>
      <c r="G3814" s="20"/>
      <c r="H3814" s="19"/>
    </row>
    <row r="3815">
      <c r="A3815" s="9"/>
      <c r="B3815" s="15"/>
      <c r="C3815" s="9"/>
      <c r="D3815" s="15"/>
      <c r="E3815" s="16"/>
      <c r="F3815" s="19"/>
      <c r="G3815" s="20"/>
      <c r="H3815" s="19"/>
    </row>
    <row r="3816">
      <c r="A3816" s="9"/>
      <c r="B3816" s="15"/>
      <c r="C3816" s="9"/>
      <c r="D3816" s="15"/>
      <c r="E3816" s="16"/>
      <c r="F3816" s="19"/>
      <c r="G3816" s="20"/>
      <c r="H3816" s="19"/>
    </row>
    <row r="3817">
      <c r="A3817" s="9"/>
      <c r="B3817" s="15"/>
      <c r="C3817" s="9"/>
      <c r="D3817" s="15"/>
      <c r="E3817" s="16"/>
      <c r="F3817" s="19"/>
      <c r="G3817" s="20"/>
      <c r="H3817" s="19"/>
    </row>
    <row r="3818">
      <c r="A3818" s="9"/>
      <c r="B3818" s="15"/>
      <c r="C3818" s="9"/>
      <c r="D3818" s="15"/>
      <c r="E3818" s="16"/>
      <c r="F3818" s="19"/>
      <c r="G3818" s="20"/>
      <c r="H3818" s="19"/>
    </row>
    <row r="3819">
      <c r="A3819" s="9"/>
      <c r="B3819" s="15"/>
      <c r="C3819" s="9"/>
      <c r="D3819" s="15"/>
      <c r="E3819" s="16"/>
      <c r="F3819" s="19"/>
      <c r="G3819" s="20"/>
      <c r="H3819" s="19"/>
    </row>
    <row r="3820">
      <c r="A3820" s="9"/>
      <c r="B3820" s="15"/>
      <c r="C3820" s="9"/>
      <c r="D3820" s="15"/>
      <c r="E3820" s="16"/>
      <c r="F3820" s="19"/>
      <c r="G3820" s="20"/>
      <c r="H3820" s="19"/>
    </row>
    <row r="3821">
      <c r="A3821" s="9"/>
      <c r="B3821" s="15"/>
      <c r="C3821" s="9"/>
      <c r="D3821" s="15"/>
      <c r="E3821" s="16"/>
      <c r="F3821" s="19"/>
      <c r="G3821" s="20"/>
      <c r="H3821" s="19"/>
    </row>
    <row r="3822">
      <c r="A3822" s="9"/>
      <c r="B3822" s="15"/>
      <c r="C3822" s="9"/>
      <c r="D3822" s="15"/>
      <c r="E3822" s="16"/>
      <c r="F3822" s="19"/>
      <c r="G3822" s="20"/>
      <c r="H3822" s="19"/>
    </row>
    <row r="3823">
      <c r="A3823" s="9"/>
      <c r="B3823" s="15"/>
      <c r="C3823" s="9"/>
      <c r="D3823" s="15"/>
      <c r="E3823" s="16"/>
      <c r="F3823" s="19"/>
      <c r="G3823" s="20"/>
      <c r="H3823" s="19"/>
    </row>
    <row r="3824">
      <c r="A3824" s="9"/>
      <c r="B3824" s="15"/>
      <c r="C3824" s="9"/>
      <c r="D3824" s="15"/>
      <c r="E3824" s="16"/>
      <c r="F3824" s="19"/>
      <c r="G3824" s="20"/>
      <c r="H3824" s="19"/>
    </row>
    <row r="3825">
      <c r="A3825" s="9"/>
      <c r="B3825" s="15"/>
      <c r="C3825" s="9"/>
      <c r="D3825" s="15"/>
      <c r="E3825" s="16"/>
      <c r="F3825" s="19"/>
      <c r="G3825" s="20"/>
      <c r="H3825" s="19"/>
    </row>
    <row r="3826">
      <c r="A3826" s="9"/>
      <c r="B3826" s="15"/>
      <c r="C3826" s="9"/>
      <c r="D3826" s="15"/>
      <c r="E3826" s="16"/>
      <c r="F3826" s="19"/>
      <c r="G3826" s="20"/>
      <c r="H3826" s="19"/>
    </row>
    <row r="3827">
      <c r="A3827" s="9"/>
      <c r="B3827" s="15"/>
      <c r="C3827" s="9"/>
      <c r="D3827" s="15"/>
      <c r="E3827" s="16"/>
      <c r="F3827" s="19"/>
      <c r="G3827" s="20"/>
      <c r="H3827" s="19"/>
    </row>
    <row r="3828">
      <c r="A3828" s="9"/>
      <c r="B3828" s="15"/>
      <c r="C3828" s="9"/>
      <c r="D3828" s="15"/>
      <c r="E3828" s="16"/>
      <c r="F3828" s="19"/>
      <c r="G3828" s="20"/>
      <c r="H3828" s="19"/>
    </row>
    <row r="3829">
      <c r="A3829" s="9"/>
      <c r="B3829" s="15"/>
      <c r="C3829" s="9"/>
      <c r="D3829" s="15"/>
      <c r="E3829" s="16"/>
      <c r="F3829" s="19"/>
      <c r="G3829" s="20"/>
      <c r="H3829" s="19"/>
    </row>
    <row r="3830">
      <c r="A3830" s="9"/>
      <c r="B3830" s="15"/>
      <c r="C3830" s="9"/>
      <c r="D3830" s="15"/>
      <c r="E3830" s="16"/>
      <c r="F3830" s="19"/>
      <c r="G3830" s="20"/>
      <c r="H3830" s="19"/>
    </row>
    <row r="3831">
      <c r="A3831" s="9"/>
      <c r="B3831" s="15"/>
      <c r="C3831" s="9"/>
      <c r="D3831" s="15"/>
      <c r="E3831" s="16"/>
      <c r="F3831" s="19"/>
      <c r="G3831" s="20"/>
      <c r="H3831" s="19"/>
    </row>
    <row r="3832">
      <c r="A3832" s="9"/>
      <c r="B3832" s="15"/>
      <c r="C3832" s="9"/>
      <c r="D3832" s="15"/>
      <c r="E3832" s="16"/>
      <c r="F3832" s="19"/>
      <c r="G3832" s="20"/>
      <c r="H3832" s="19"/>
    </row>
    <row r="3833">
      <c r="A3833" s="9"/>
      <c r="B3833" s="15"/>
      <c r="C3833" s="9"/>
      <c r="D3833" s="15"/>
      <c r="E3833" s="16"/>
      <c r="F3833" s="19"/>
      <c r="G3833" s="20"/>
      <c r="H3833" s="19"/>
    </row>
    <row r="3834">
      <c r="A3834" s="9"/>
      <c r="B3834" s="15"/>
      <c r="C3834" s="9"/>
      <c r="D3834" s="15"/>
      <c r="E3834" s="16"/>
      <c r="F3834" s="19"/>
      <c r="G3834" s="20"/>
      <c r="H3834" s="19"/>
    </row>
    <row r="3835">
      <c r="A3835" s="9"/>
      <c r="B3835" s="15"/>
      <c r="C3835" s="9"/>
      <c r="D3835" s="15"/>
      <c r="E3835" s="16"/>
      <c r="F3835" s="19"/>
      <c r="G3835" s="20"/>
      <c r="H3835" s="19"/>
    </row>
    <row r="3836">
      <c r="A3836" s="9"/>
      <c r="B3836" s="15"/>
      <c r="C3836" s="9"/>
      <c r="D3836" s="15"/>
      <c r="E3836" s="16"/>
      <c r="F3836" s="19"/>
      <c r="G3836" s="20"/>
      <c r="H3836" s="19"/>
    </row>
    <row r="3837">
      <c r="A3837" s="9"/>
      <c r="B3837" s="15"/>
      <c r="C3837" s="9"/>
      <c r="D3837" s="15"/>
      <c r="E3837" s="16"/>
      <c r="F3837" s="19"/>
      <c r="G3837" s="20"/>
      <c r="H3837" s="19"/>
    </row>
    <row r="3838">
      <c r="A3838" s="9"/>
      <c r="B3838" s="15"/>
      <c r="C3838" s="9"/>
      <c r="D3838" s="15"/>
      <c r="E3838" s="16"/>
      <c r="F3838" s="19"/>
      <c r="G3838" s="20"/>
      <c r="H3838" s="19"/>
    </row>
    <row r="3839">
      <c r="A3839" s="9"/>
      <c r="B3839" s="15"/>
      <c r="C3839" s="9"/>
      <c r="D3839" s="15"/>
      <c r="E3839" s="16"/>
      <c r="F3839" s="19"/>
      <c r="G3839" s="20"/>
      <c r="H3839" s="19"/>
    </row>
    <row r="3840">
      <c r="A3840" s="9"/>
      <c r="B3840" s="15"/>
      <c r="C3840" s="9"/>
      <c r="D3840" s="15"/>
      <c r="E3840" s="16"/>
      <c r="F3840" s="19"/>
      <c r="G3840" s="20"/>
      <c r="H3840" s="19"/>
    </row>
    <row r="3841">
      <c r="A3841" s="9"/>
      <c r="B3841" s="15"/>
      <c r="C3841" s="9"/>
      <c r="D3841" s="15"/>
      <c r="E3841" s="16"/>
      <c r="F3841" s="19"/>
      <c r="G3841" s="20"/>
      <c r="H3841" s="19"/>
    </row>
    <row r="3842">
      <c r="A3842" s="9"/>
      <c r="B3842" s="15"/>
      <c r="C3842" s="9"/>
      <c r="D3842" s="15"/>
      <c r="E3842" s="16"/>
      <c r="F3842" s="19"/>
      <c r="G3842" s="20"/>
      <c r="H3842" s="19"/>
    </row>
    <row r="3843">
      <c r="A3843" s="9"/>
      <c r="B3843" s="15"/>
      <c r="C3843" s="9"/>
      <c r="D3843" s="15"/>
      <c r="E3843" s="16"/>
      <c r="F3843" s="19"/>
      <c r="G3843" s="20"/>
      <c r="H3843" s="19"/>
    </row>
    <row r="3844">
      <c r="A3844" s="9"/>
      <c r="B3844" s="15"/>
      <c r="C3844" s="9"/>
      <c r="D3844" s="15"/>
      <c r="E3844" s="16"/>
      <c r="F3844" s="19"/>
      <c r="G3844" s="20"/>
      <c r="H3844" s="19"/>
    </row>
    <row r="3845">
      <c r="A3845" s="9"/>
      <c r="B3845" s="15"/>
      <c r="C3845" s="9"/>
      <c r="D3845" s="15"/>
      <c r="E3845" s="16"/>
      <c r="F3845" s="19"/>
      <c r="G3845" s="20"/>
      <c r="H3845" s="19"/>
    </row>
    <row r="3846">
      <c r="A3846" s="9"/>
      <c r="B3846" s="15"/>
      <c r="C3846" s="9"/>
      <c r="D3846" s="15"/>
      <c r="E3846" s="16"/>
      <c r="F3846" s="19"/>
      <c r="G3846" s="20"/>
      <c r="H3846" s="19"/>
    </row>
    <row r="3847">
      <c r="A3847" s="9"/>
      <c r="B3847" s="15"/>
      <c r="C3847" s="9"/>
      <c r="D3847" s="15"/>
      <c r="E3847" s="16"/>
      <c r="F3847" s="19"/>
      <c r="G3847" s="20"/>
      <c r="H3847" s="19"/>
    </row>
    <row r="3848">
      <c r="A3848" s="9"/>
      <c r="B3848" s="15"/>
      <c r="C3848" s="9"/>
      <c r="D3848" s="15"/>
      <c r="E3848" s="16"/>
      <c r="F3848" s="19"/>
      <c r="G3848" s="20"/>
      <c r="H3848" s="19"/>
    </row>
    <row r="3849">
      <c r="A3849" s="9"/>
      <c r="B3849" s="15"/>
      <c r="C3849" s="9"/>
      <c r="D3849" s="15"/>
      <c r="E3849" s="16"/>
      <c r="F3849" s="19"/>
      <c r="G3849" s="20"/>
      <c r="H3849" s="19"/>
    </row>
    <row r="3850">
      <c r="A3850" s="9"/>
      <c r="B3850" s="15"/>
      <c r="C3850" s="9"/>
      <c r="D3850" s="15"/>
      <c r="E3850" s="16"/>
      <c r="F3850" s="19"/>
      <c r="G3850" s="20"/>
      <c r="H3850" s="19"/>
    </row>
    <row r="3851">
      <c r="A3851" s="9"/>
      <c r="B3851" s="15"/>
      <c r="C3851" s="9"/>
      <c r="D3851" s="15"/>
      <c r="E3851" s="16"/>
      <c r="F3851" s="19"/>
      <c r="G3851" s="20"/>
      <c r="H3851" s="19"/>
    </row>
    <row r="3852">
      <c r="A3852" s="9"/>
      <c r="B3852" s="15"/>
      <c r="C3852" s="9"/>
      <c r="D3852" s="15"/>
      <c r="E3852" s="16"/>
      <c r="F3852" s="19"/>
      <c r="G3852" s="20"/>
      <c r="H3852" s="19"/>
    </row>
    <row r="3853">
      <c r="A3853" s="9"/>
      <c r="B3853" s="15"/>
      <c r="C3853" s="9"/>
      <c r="D3853" s="15"/>
      <c r="E3853" s="16"/>
      <c r="F3853" s="19"/>
      <c r="G3853" s="20"/>
      <c r="H3853" s="19"/>
    </row>
    <row r="3854">
      <c r="A3854" s="9"/>
      <c r="B3854" s="15"/>
      <c r="C3854" s="9"/>
      <c r="D3854" s="15"/>
      <c r="E3854" s="16"/>
      <c r="F3854" s="19"/>
      <c r="G3854" s="20"/>
      <c r="H3854" s="19"/>
    </row>
    <row r="3855">
      <c r="A3855" s="9"/>
      <c r="B3855" s="15"/>
      <c r="C3855" s="9"/>
      <c r="D3855" s="15"/>
      <c r="E3855" s="16"/>
      <c r="F3855" s="19"/>
      <c r="G3855" s="20"/>
      <c r="H3855" s="19"/>
    </row>
    <row r="3856">
      <c r="A3856" s="9"/>
      <c r="B3856" s="15"/>
      <c r="C3856" s="9"/>
      <c r="D3856" s="15"/>
      <c r="E3856" s="16"/>
      <c r="F3856" s="19"/>
      <c r="G3856" s="20"/>
      <c r="H3856" s="19"/>
    </row>
    <row r="3857">
      <c r="A3857" s="9"/>
      <c r="B3857" s="15"/>
      <c r="C3857" s="9"/>
      <c r="D3857" s="15"/>
      <c r="E3857" s="16"/>
      <c r="F3857" s="19"/>
      <c r="G3857" s="20"/>
      <c r="H3857" s="19"/>
    </row>
    <row r="3858">
      <c r="A3858" s="9"/>
      <c r="B3858" s="15"/>
      <c r="C3858" s="9"/>
      <c r="D3858" s="15"/>
      <c r="E3858" s="16"/>
      <c r="F3858" s="19"/>
      <c r="G3858" s="20"/>
      <c r="H3858" s="19"/>
    </row>
    <row r="3859">
      <c r="A3859" s="9"/>
      <c r="B3859" s="15"/>
      <c r="C3859" s="9"/>
      <c r="D3859" s="15"/>
      <c r="E3859" s="16"/>
      <c r="F3859" s="19"/>
      <c r="G3859" s="20"/>
      <c r="H3859" s="19"/>
    </row>
    <row r="3860">
      <c r="A3860" s="9"/>
      <c r="B3860" s="15"/>
      <c r="C3860" s="9"/>
      <c r="D3860" s="15"/>
      <c r="E3860" s="16"/>
      <c r="F3860" s="19"/>
      <c r="G3860" s="20"/>
      <c r="H3860" s="19"/>
    </row>
    <row r="3861">
      <c r="A3861" s="9"/>
      <c r="B3861" s="15"/>
      <c r="C3861" s="9"/>
      <c r="D3861" s="15"/>
      <c r="E3861" s="16"/>
      <c r="F3861" s="19"/>
      <c r="G3861" s="20"/>
      <c r="H3861" s="19"/>
    </row>
    <row r="3862">
      <c r="A3862" s="9"/>
      <c r="B3862" s="15"/>
      <c r="C3862" s="9"/>
      <c r="D3862" s="15"/>
      <c r="E3862" s="16"/>
      <c r="F3862" s="19"/>
      <c r="G3862" s="20"/>
      <c r="H3862" s="19"/>
    </row>
    <row r="3863">
      <c r="A3863" s="9"/>
      <c r="B3863" s="15"/>
      <c r="C3863" s="9"/>
      <c r="D3863" s="15"/>
      <c r="E3863" s="16"/>
      <c r="F3863" s="19"/>
      <c r="G3863" s="20"/>
      <c r="H3863" s="19"/>
    </row>
    <row r="3864">
      <c r="A3864" s="9"/>
      <c r="B3864" s="15"/>
      <c r="C3864" s="9"/>
      <c r="D3864" s="15"/>
      <c r="E3864" s="16"/>
      <c r="F3864" s="19"/>
      <c r="G3864" s="20"/>
      <c r="H3864" s="19"/>
    </row>
    <row r="3865">
      <c r="A3865" s="9"/>
      <c r="B3865" s="15"/>
      <c r="C3865" s="9"/>
      <c r="D3865" s="15"/>
      <c r="E3865" s="16"/>
      <c r="F3865" s="19"/>
      <c r="G3865" s="20"/>
      <c r="H3865" s="19"/>
    </row>
    <row r="3866">
      <c r="A3866" s="9"/>
      <c r="B3866" s="15"/>
      <c r="C3866" s="9"/>
      <c r="D3866" s="15"/>
      <c r="E3866" s="16"/>
      <c r="F3866" s="19"/>
      <c r="G3866" s="20"/>
      <c r="H3866" s="19"/>
    </row>
    <row r="3867">
      <c r="A3867" s="9"/>
      <c r="B3867" s="15"/>
      <c r="C3867" s="9"/>
      <c r="D3867" s="15"/>
      <c r="E3867" s="16"/>
      <c r="F3867" s="19"/>
      <c r="G3867" s="20"/>
      <c r="H3867" s="19"/>
    </row>
    <row r="3868">
      <c r="A3868" s="9"/>
      <c r="B3868" s="15"/>
      <c r="C3868" s="9"/>
      <c r="D3868" s="15"/>
      <c r="E3868" s="16"/>
      <c r="F3868" s="19"/>
      <c r="G3868" s="20"/>
      <c r="H3868" s="19"/>
    </row>
    <row r="3869">
      <c r="A3869" s="9"/>
      <c r="B3869" s="15"/>
      <c r="C3869" s="9"/>
      <c r="D3869" s="15"/>
      <c r="E3869" s="16"/>
      <c r="F3869" s="19"/>
      <c r="G3869" s="20"/>
      <c r="H3869" s="19"/>
    </row>
    <row r="3870">
      <c r="A3870" s="9"/>
      <c r="B3870" s="15"/>
      <c r="C3870" s="9"/>
      <c r="D3870" s="15"/>
      <c r="E3870" s="16"/>
      <c r="F3870" s="19"/>
      <c r="G3870" s="20"/>
      <c r="H3870" s="19"/>
    </row>
    <row r="3871">
      <c r="A3871" s="9"/>
      <c r="B3871" s="15"/>
      <c r="C3871" s="9"/>
      <c r="D3871" s="15"/>
      <c r="E3871" s="16"/>
      <c r="F3871" s="19"/>
      <c r="G3871" s="20"/>
      <c r="H3871" s="19"/>
    </row>
    <row r="3872">
      <c r="A3872" s="9"/>
      <c r="B3872" s="15"/>
      <c r="C3872" s="9"/>
      <c r="D3872" s="15"/>
      <c r="E3872" s="16"/>
      <c r="F3872" s="19"/>
      <c r="G3872" s="20"/>
      <c r="H3872" s="19"/>
    </row>
    <row r="3873">
      <c r="A3873" s="9"/>
      <c r="B3873" s="15"/>
      <c r="C3873" s="9"/>
      <c r="D3873" s="15"/>
      <c r="E3873" s="16"/>
      <c r="F3873" s="19"/>
      <c r="G3873" s="20"/>
      <c r="H3873" s="19"/>
    </row>
    <row r="3874">
      <c r="A3874" s="9"/>
      <c r="B3874" s="15"/>
      <c r="C3874" s="9"/>
      <c r="D3874" s="15"/>
      <c r="E3874" s="16"/>
      <c r="F3874" s="19"/>
      <c r="G3874" s="20"/>
      <c r="H3874" s="19"/>
    </row>
    <row r="3875">
      <c r="A3875" s="9"/>
      <c r="B3875" s="15"/>
      <c r="C3875" s="9"/>
      <c r="D3875" s="15"/>
      <c r="E3875" s="16"/>
      <c r="F3875" s="19"/>
      <c r="G3875" s="20"/>
      <c r="H3875" s="19"/>
    </row>
    <row r="3876">
      <c r="A3876" s="9"/>
      <c r="B3876" s="15"/>
      <c r="C3876" s="9"/>
      <c r="D3876" s="15"/>
      <c r="E3876" s="16"/>
      <c r="F3876" s="19"/>
      <c r="G3876" s="20"/>
      <c r="H3876" s="19"/>
    </row>
    <row r="3877">
      <c r="A3877" s="9"/>
      <c r="B3877" s="15"/>
      <c r="C3877" s="9"/>
      <c r="D3877" s="15"/>
      <c r="E3877" s="16"/>
      <c r="F3877" s="19"/>
      <c r="G3877" s="20"/>
      <c r="H3877" s="19"/>
    </row>
    <row r="3878">
      <c r="A3878" s="9"/>
      <c r="B3878" s="15"/>
      <c r="C3878" s="9"/>
      <c r="D3878" s="15"/>
      <c r="E3878" s="16"/>
      <c r="F3878" s="19"/>
      <c r="G3878" s="20"/>
      <c r="H3878" s="19"/>
    </row>
    <row r="3879">
      <c r="A3879" s="9"/>
      <c r="B3879" s="15"/>
      <c r="C3879" s="9"/>
      <c r="D3879" s="15"/>
      <c r="E3879" s="16"/>
      <c r="F3879" s="19"/>
      <c r="G3879" s="20"/>
      <c r="H3879" s="19"/>
    </row>
    <row r="3880">
      <c r="A3880" s="9"/>
      <c r="B3880" s="15"/>
      <c r="C3880" s="9"/>
      <c r="D3880" s="15"/>
      <c r="E3880" s="16"/>
      <c r="F3880" s="19"/>
      <c r="G3880" s="20"/>
      <c r="H3880" s="19"/>
    </row>
    <row r="3881">
      <c r="A3881" s="9"/>
      <c r="B3881" s="15"/>
      <c r="C3881" s="9"/>
      <c r="D3881" s="15"/>
      <c r="E3881" s="16"/>
      <c r="F3881" s="19"/>
      <c r="G3881" s="20"/>
      <c r="H3881" s="19"/>
    </row>
    <row r="3882">
      <c r="A3882" s="9"/>
      <c r="B3882" s="15"/>
      <c r="C3882" s="9"/>
      <c r="D3882" s="15"/>
      <c r="E3882" s="16"/>
      <c r="F3882" s="19"/>
      <c r="G3882" s="20"/>
      <c r="H3882" s="19"/>
    </row>
    <row r="3883">
      <c r="A3883" s="9"/>
      <c r="B3883" s="15"/>
      <c r="C3883" s="9"/>
      <c r="D3883" s="15"/>
      <c r="E3883" s="16"/>
      <c r="F3883" s="19"/>
      <c r="G3883" s="20"/>
      <c r="H3883" s="19"/>
    </row>
    <row r="3884">
      <c r="A3884" s="9"/>
      <c r="B3884" s="15"/>
      <c r="C3884" s="9"/>
      <c r="D3884" s="15"/>
      <c r="E3884" s="16"/>
      <c r="F3884" s="19"/>
      <c r="G3884" s="20"/>
      <c r="H3884" s="19"/>
    </row>
    <row r="3885">
      <c r="A3885" s="9"/>
      <c r="B3885" s="15"/>
      <c r="C3885" s="9"/>
      <c r="D3885" s="15"/>
      <c r="E3885" s="16"/>
      <c r="F3885" s="19"/>
      <c r="G3885" s="20"/>
      <c r="H3885" s="19"/>
    </row>
    <row r="3886">
      <c r="A3886" s="9"/>
      <c r="B3886" s="15"/>
      <c r="C3886" s="9"/>
      <c r="D3886" s="15"/>
      <c r="E3886" s="16"/>
      <c r="F3886" s="19"/>
      <c r="G3886" s="20"/>
      <c r="H3886" s="19"/>
    </row>
    <row r="3887">
      <c r="A3887" s="9"/>
      <c r="B3887" s="15"/>
      <c r="C3887" s="9"/>
      <c r="D3887" s="15"/>
      <c r="E3887" s="16"/>
      <c r="F3887" s="19"/>
      <c r="G3887" s="20"/>
      <c r="H3887" s="19"/>
    </row>
    <row r="3888">
      <c r="A3888" s="9"/>
      <c r="B3888" s="15"/>
      <c r="C3888" s="9"/>
      <c r="D3888" s="15"/>
      <c r="E3888" s="16"/>
      <c r="F3888" s="19"/>
      <c r="G3888" s="20"/>
      <c r="H3888" s="19"/>
    </row>
    <row r="3889">
      <c r="A3889" s="9"/>
      <c r="B3889" s="15"/>
      <c r="C3889" s="9"/>
      <c r="D3889" s="15"/>
      <c r="E3889" s="16"/>
      <c r="F3889" s="19"/>
      <c r="G3889" s="20"/>
      <c r="H3889" s="19"/>
    </row>
    <row r="3890">
      <c r="A3890" s="9"/>
      <c r="B3890" s="15"/>
      <c r="C3890" s="9"/>
      <c r="D3890" s="15"/>
      <c r="E3890" s="16"/>
      <c r="F3890" s="19"/>
      <c r="G3890" s="20"/>
      <c r="H3890" s="19"/>
    </row>
    <row r="3891">
      <c r="A3891" s="9"/>
      <c r="B3891" s="15"/>
      <c r="C3891" s="9"/>
      <c r="D3891" s="15"/>
      <c r="E3891" s="16"/>
      <c r="F3891" s="19"/>
      <c r="G3891" s="20"/>
      <c r="H3891" s="19"/>
    </row>
    <row r="3892">
      <c r="A3892" s="9"/>
      <c r="B3892" s="15"/>
      <c r="C3892" s="9"/>
      <c r="D3892" s="15"/>
      <c r="E3892" s="16"/>
      <c r="F3892" s="19"/>
      <c r="G3892" s="20"/>
      <c r="H3892" s="19"/>
    </row>
    <row r="3893">
      <c r="A3893" s="9"/>
      <c r="B3893" s="15"/>
      <c r="C3893" s="9"/>
      <c r="D3893" s="15"/>
      <c r="E3893" s="16"/>
      <c r="F3893" s="19"/>
      <c r="G3893" s="20"/>
      <c r="H3893" s="19"/>
    </row>
    <row r="3894">
      <c r="A3894" s="9"/>
      <c r="B3894" s="15"/>
      <c r="C3894" s="9"/>
      <c r="D3894" s="15"/>
      <c r="E3894" s="16"/>
      <c r="F3894" s="19"/>
      <c r="G3894" s="20"/>
      <c r="H3894" s="19"/>
    </row>
    <row r="3895">
      <c r="A3895" s="9"/>
      <c r="B3895" s="15"/>
      <c r="C3895" s="9"/>
      <c r="D3895" s="15"/>
      <c r="E3895" s="16"/>
      <c r="F3895" s="19"/>
      <c r="G3895" s="20"/>
      <c r="H3895" s="19"/>
    </row>
    <row r="3896">
      <c r="A3896" s="9"/>
      <c r="B3896" s="15"/>
      <c r="C3896" s="9"/>
      <c r="D3896" s="15"/>
      <c r="E3896" s="16"/>
      <c r="F3896" s="19"/>
      <c r="G3896" s="20"/>
      <c r="H3896" s="19"/>
    </row>
    <row r="3897">
      <c r="A3897" s="9"/>
      <c r="B3897" s="15"/>
      <c r="C3897" s="9"/>
      <c r="D3897" s="15"/>
      <c r="E3897" s="16"/>
      <c r="F3897" s="19"/>
      <c r="G3897" s="20"/>
      <c r="H3897" s="19"/>
    </row>
    <row r="3898">
      <c r="A3898" s="9"/>
      <c r="B3898" s="15"/>
      <c r="C3898" s="9"/>
      <c r="D3898" s="15"/>
      <c r="E3898" s="16"/>
      <c r="F3898" s="19"/>
      <c r="G3898" s="20"/>
      <c r="H3898" s="19"/>
    </row>
    <row r="3899">
      <c r="A3899" s="9"/>
      <c r="B3899" s="15"/>
      <c r="C3899" s="9"/>
      <c r="D3899" s="15"/>
      <c r="E3899" s="16"/>
      <c r="F3899" s="19"/>
      <c r="G3899" s="20"/>
      <c r="H3899" s="19"/>
    </row>
    <row r="3900">
      <c r="A3900" s="9"/>
      <c r="B3900" s="15"/>
      <c r="C3900" s="9"/>
      <c r="D3900" s="15"/>
      <c r="E3900" s="16"/>
      <c r="F3900" s="19"/>
      <c r="G3900" s="20"/>
      <c r="H3900" s="19"/>
    </row>
    <row r="3901">
      <c r="A3901" s="9"/>
      <c r="B3901" s="15"/>
      <c r="C3901" s="9"/>
      <c r="D3901" s="15"/>
      <c r="E3901" s="16"/>
      <c r="F3901" s="19"/>
      <c r="G3901" s="20"/>
      <c r="H3901" s="19"/>
    </row>
    <row r="3902">
      <c r="A3902" s="9"/>
      <c r="B3902" s="15"/>
      <c r="C3902" s="9"/>
      <c r="D3902" s="15"/>
      <c r="E3902" s="16"/>
      <c r="F3902" s="19"/>
      <c r="G3902" s="20"/>
      <c r="H3902" s="19"/>
    </row>
    <row r="3903">
      <c r="A3903" s="9"/>
      <c r="B3903" s="15"/>
      <c r="C3903" s="9"/>
      <c r="D3903" s="15"/>
      <c r="E3903" s="16"/>
      <c r="F3903" s="19"/>
      <c r="G3903" s="20"/>
      <c r="H3903" s="19"/>
    </row>
    <row r="3904">
      <c r="A3904" s="9"/>
      <c r="B3904" s="15"/>
      <c r="C3904" s="9"/>
      <c r="D3904" s="15"/>
      <c r="E3904" s="16"/>
      <c r="F3904" s="19"/>
      <c r="G3904" s="20"/>
      <c r="H3904" s="19"/>
    </row>
    <row r="3905">
      <c r="A3905" s="9"/>
      <c r="B3905" s="15"/>
      <c r="C3905" s="9"/>
      <c r="D3905" s="15"/>
      <c r="E3905" s="16"/>
      <c r="F3905" s="19"/>
      <c r="G3905" s="20"/>
      <c r="H3905" s="19"/>
    </row>
    <row r="3906">
      <c r="A3906" s="9"/>
      <c r="B3906" s="15"/>
      <c r="C3906" s="9"/>
      <c r="D3906" s="15"/>
      <c r="E3906" s="16"/>
      <c r="F3906" s="19"/>
      <c r="G3906" s="20"/>
      <c r="H3906" s="19"/>
    </row>
    <row r="3907">
      <c r="A3907" s="9"/>
      <c r="B3907" s="15"/>
      <c r="C3907" s="9"/>
      <c r="D3907" s="15"/>
      <c r="E3907" s="16"/>
      <c r="F3907" s="19"/>
      <c r="G3907" s="20"/>
      <c r="H3907" s="19"/>
    </row>
    <row r="3908">
      <c r="A3908" s="9"/>
      <c r="B3908" s="15"/>
      <c r="C3908" s="9"/>
      <c r="D3908" s="15"/>
      <c r="E3908" s="16"/>
      <c r="F3908" s="19"/>
      <c r="G3908" s="20"/>
      <c r="H3908" s="19"/>
    </row>
    <row r="3909">
      <c r="A3909" s="9"/>
      <c r="B3909" s="15"/>
      <c r="C3909" s="9"/>
      <c r="D3909" s="15"/>
      <c r="E3909" s="16"/>
      <c r="F3909" s="19"/>
      <c r="G3909" s="20"/>
      <c r="H3909" s="19"/>
    </row>
    <row r="3910">
      <c r="A3910" s="9"/>
      <c r="B3910" s="15"/>
      <c r="C3910" s="9"/>
      <c r="D3910" s="15"/>
      <c r="E3910" s="16"/>
      <c r="F3910" s="19"/>
      <c r="G3910" s="20"/>
      <c r="H3910" s="19"/>
    </row>
    <row r="3911">
      <c r="A3911" s="9"/>
      <c r="B3911" s="15"/>
      <c r="C3911" s="9"/>
      <c r="D3911" s="15"/>
      <c r="E3911" s="16"/>
      <c r="F3911" s="19"/>
      <c r="G3911" s="20"/>
      <c r="H3911" s="19"/>
    </row>
    <row r="3912">
      <c r="A3912" s="9"/>
      <c r="B3912" s="15"/>
      <c r="C3912" s="9"/>
      <c r="D3912" s="15"/>
      <c r="E3912" s="16"/>
      <c r="F3912" s="19"/>
      <c r="G3912" s="20"/>
      <c r="H3912" s="19"/>
    </row>
    <row r="3913">
      <c r="A3913" s="9"/>
      <c r="B3913" s="15"/>
      <c r="C3913" s="9"/>
      <c r="D3913" s="15"/>
      <c r="E3913" s="16"/>
      <c r="F3913" s="19"/>
      <c r="G3913" s="20"/>
      <c r="H3913" s="19"/>
    </row>
    <row r="3914">
      <c r="A3914" s="9"/>
      <c r="B3914" s="15"/>
      <c r="C3914" s="9"/>
      <c r="D3914" s="15"/>
      <c r="E3914" s="16"/>
      <c r="F3914" s="19"/>
      <c r="G3914" s="20"/>
      <c r="H3914" s="19"/>
    </row>
    <row r="3915">
      <c r="A3915" s="9"/>
      <c r="B3915" s="15"/>
      <c r="C3915" s="9"/>
      <c r="D3915" s="15"/>
      <c r="E3915" s="16"/>
      <c r="F3915" s="19"/>
      <c r="G3915" s="20"/>
      <c r="H3915" s="19"/>
    </row>
    <row r="3916">
      <c r="A3916" s="9"/>
      <c r="B3916" s="15"/>
      <c r="C3916" s="9"/>
      <c r="D3916" s="15"/>
      <c r="E3916" s="16"/>
      <c r="F3916" s="19"/>
      <c r="G3916" s="20"/>
      <c r="H3916" s="19"/>
    </row>
    <row r="3917">
      <c r="A3917" s="9"/>
      <c r="B3917" s="15"/>
      <c r="C3917" s="9"/>
      <c r="D3917" s="15"/>
      <c r="E3917" s="16"/>
      <c r="F3917" s="19"/>
      <c r="G3917" s="20"/>
      <c r="H3917" s="19"/>
    </row>
    <row r="3918">
      <c r="A3918" s="9"/>
      <c r="B3918" s="15"/>
      <c r="C3918" s="9"/>
      <c r="D3918" s="15"/>
      <c r="E3918" s="16"/>
      <c r="F3918" s="19"/>
      <c r="G3918" s="20"/>
      <c r="H3918" s="19"/>
    </row>
    <row r="3919">
      <c r="A3919" s="9"/>
      <c r="B3919" s="15"/>
      <c r="C3919" s="9"/>
      <c r="D3919" s="15"/>
      <c r="E3919" s="16"/>
      <c r="F3919" s="19"/>
      <c r="G3919" s="20"/>
      <c r="H3919" s="19"/>
    </row>
    <row r="3920">
      <c r="A3920" s="9"/>
      <c r="B3920" s="15"/>
      <c r="C3920" s="9"/>
      <c r="D3920" s="15"/>
      <c r="E3920" s="16"/>
      <c r="F3920" s="19"/>
      <c r="G3920" s="20"/>
      <c r="H3920" s="19"/>
    </row>
    <row r="3921">
      <c r="A3921" s="9"/>
      <c r="B3921" s="15"/>
      <c r="C3921" s="9"/>
      <c r="D3921" s="15"/>
      <c r="E3921" s="16"/>
      <c r="F3921" s="19"/>
      <c r="G3921" s="20"/>
      <c r="H3921" s="19"/>
    </row>
    <row r="3922">
      <c r="A3922" s="9"/>
      <c r="B3922" s="15"/>
      <c r="C3922" s="9"/>
      <c r="D3922" s="15"/>
      <c r="E3922" s="16"/>
      <c r="F3922" s="19"/>
      <c r="G3922" s="20"/>
      <c r="H3922" s="19"/>
    </row>
    <row r="3923">
      <c r="A3923" s="9"/>
      <c r="B3923" s="15"/>
      <c r="C3923" s="9"/>
      <c r="D3923" s="15"/>
      <c r="E3923" s="16"/>
      <c r="F3923" s="19"/>
      <c r="G3923" s="20"/>
      <c r="H3923" s="19"/>
    </row>
    <row r="3924">
      <c r="A3924" s="9"/>
      <c r="B3924" s="15"/>
      <c r="C3924" s="9"/>
      <c r="D3924" s="15"/>
      <c r="E3924" s="16"/>
      <c r="F3924" s="19"/>
      <c r="G3924" s="20"/>
      <c r="H3924" s="19"/>
    </row>
    <row r="3925">
      <c r="A3925" s="9"/>
      <c r="B3925" s="15"/>
      <c r="C3925" s="9"/>
      <c r="D3925" s="15"/>
      <c r="E3925" s="16"/>
      <c r="F3925" s="19"/>
      <c r="G3925" s="20"/>
      <c r="H3925" s="19"/>
    </row>
    <row r="3926">
      <c r="A3926" s="9"/>
      <c r="B3926" s="15"/>
      <c r="C3926" s="9"/>
      <c r="D3926" s="15"/>
      <c r="E3926" s="16"/>
      <c r="F3926" s="19"/>
      <c r="G3926" s="20"/>
      <c r="H3926" s="19"/>
    </row>
    <row r="3927">
      <c r="A3927" s="9"/>
      <c r="B3927" s="15"/>
      <c r="C3927" s="9"/>
      <c r="D3927" s="15"/>
      <c r="E3927" s="16"/>
      <c r="F3927" s="19"/>
      <c r="G3927" s="20"/>
      <c r="H3927" s="19"/>
    </row>
    <row r="3928">
      <c r="A3928" s="9"/>
      <c r="B3928" s="15"/>
      <c r="C3928" s="9"/>
      <c r="D3928" s="15"/>
      <c r="E3928" s="16"/>
      <c r="F3928" s="19"/>
      <c r="G3928" s="20"/>
      <c r="H3928" s="19"/>
    </row>
    <row r="3929">
      <c r="A3929" s="9"/>
      <c r="B3929" s="15"/>
      <c r="C3929" s="9"/>
      <c r="D3929" s="15"/>
      <c r="E3929" s="16"/>
      <c r="F3929" s="19"/>
      <c r="G3929" s="20"/>
      <c r="H3929" s="19"/>
    </row>
    <row r="3930">
      <c r="A3930" s="9"/>
      <c r="B3930" s="15"/>
      <c r="C3930" s="9"/>
      <c r="D3930" s="15"/>
      <c r="E3930" s="16"/>
      <c r="F3930" s="19"/>
      <c r="G3930" s="20"/>
      <c r="H3930" s="19"/>
    </row>
    <row r="3931">
      <c r="A3931" s="9"/>
      <c r="B3931" s="15"/>
      <c r="C3931" s="9"/>
      <c r="D3931" s="15"/>
      <c r="E3931" s="16"/>
      <c r="F3931" s="19"/>
      <c r="G3931" s="20"/>
      <c r="H3931" s="19"/>
    </row>
    <row r="3932">
      <c r="A3932" s="9"/>
      <c r="B3932" s="15"/>
      <c r="C3932" s="9"/>
      <c r="D3932" s="15"/>
      <c r="E3932" s="16"/>
      <c r="F3932" s="19"/>
      <c r="G3932" s="20"/>
      <c r="H3932" s="19"/>
    </row>
    <row r="3933">
      <c r="A3933" s="9"/>
      <c r="B3933" s="15"/>
      <c r="C3933" s="9"/>
      <c r="D3933" s="15"/>
      <c r="E3933" s="16"/>
      <c r="F3933" s="19"/>
      <c r="G3933" s="20"/>
      <c r="H3933" s="19"/>
    </row>
    <row r="3934">
      <c r="A3934" s="9"/>
      <c r="B3934" s="15"/>
      <c r="C3934" s="9"/>
      <c r="D3934" s="15"/>
      <c r="E3934" s="16"/>
      <c r="F3934" s="19"/>
      <c r="G3934" s="20"/>
      <c r="H3934" s="19"/>
    </row>
    <row r="3935">
      <c r="A3935" s="9"/>
      <c r="B3935" s="15"/>
      <c r="C3935" s="9"/>
      <c r="D3935" s="15"/>
      <c r="E3935" s="16"/>
      <c r="F3935" s="19"/>
      <c r="G3935" s="20"/>
      <c r="H3935" s="19"/>
    </row>
    <row r="3936">
      <c r="A3936" s="9"/>
      <c r="B3936" s="15"/>
      <c r="C3936" s="9"/>
      <c r="D3936" s="15"/>
      <c r="E3936" s="16"/>
      <c r="F3936" s="19"/>
      <c r="G3936" s="20"/>
      <c r="H3936" s="19"/>
    </row>
    <row r="3937">
      <c r="A3937" s="9"/>
      <c r="B3937" s="15"/>
      <c r="C3937" s="9"/>
      <c r="D3937" s="15"/>
      <c r="E3937" s="16"/>
      <c r="F3937" s="19"/>
      <c r="G3937" s="20"/>
      <c r="H3937" s="19"/>
    </row>
    <row r="3938">
      <c r="A3938" s="9"/>
      <c r="B3938" s="15"/>
      <c r="C3938" s="9"/>
      <c r="D3938" s="15"/>
      <c r="E3938" s="16"/>
      <c r="F3938" s="19"/>
      <c r="G3938" s="20"/>
      <c r="H3938" s="19"/>
    </row>
    <row r="3939">
      <c r="A3939" s="9"/>
      <c r="B3939" s="15"/>
      <c r="C3939" s="9"/>
      <c r="D3939" s="15"/>
      <c r="E3939" s="16"/>
      <c r="F3939" s="19"/>
      <c r="G3939" s="20"/>
      <c r="H3939" s="19"/>
    </row>
    <row r="3940">
      <c r="A3940" s="9"/>
      <c r="B3940" s="15"/>
      <c r="C3940" s="9"/>
      <c r="D3940" s="15"/>
      <c r="E3940" s="16"/>
      <c r="F3940" s="19"/>
      <c r="G3940" s="20"/>
      <c r="H3940" s="19"/>
    </row>
    <row r="3941">
      <c r="A3941" s="9"/>
      <c r="B3941" s="15"/>
      <c r="C3941" s="9"/>
      <c r="D3941" s="15"/>
      <c r="E3941" s="16"/>
      <c r="F3941" s="19"/>
      <c r="G3941" s="20"/>
      <c r="H3941" s="19"/>
    </row>
    <row r="3942">
      <c r="A3942" s="9"/>
      <c r="B3942" s="15"/>
      <c r="C3942" s="9"/>
      <c r="D3942" s="15"/>
      <c r="E3942" s="16"/>
      <c r="F3942" s="19"/>
      <c r="G3942" s="20"/>
      <c r="H3942" s="19"/>
    </row>
    <row r="3943">
      <c r="A3943" s="9"/>
      <c r="B3943" s="15"/>
      <c r="C3943" s="9"/>
      <c r="D3943" s="15"/>
      <c r="E3943" s="16"/>
      <c r="F3943" s="19"/>
      <c r="G3943" s="20"/>
      <c r="H3943" s="19"/>
    </row>
    <row r="3944">
      <c r="A3944" s="9"/>
      <c r="B3944" s="15"/>
      <c r="C3944" s="9"/>
      <c r="D3944" s="15"/>
      <c r="E3944" s="16"/>
      <c r="F3944" s="19"/>
      <c r="G3944" s="20"/>
      <c r="H3944" s="19"/>
    </row>
    <row r="3945">
      <c r="A3945" s="9"/>
      <c r="B3945" s="15"/>
      <c r="C3945" s="9"/>
      <c r="D3945" s="15"/>
      <c r="E3945" s="16"/>
      <c r="F3945" s="19"/>
      <c r="G3945" s="20"/>
      <c r="H3945" s="19"/>
    </row>
    <row r="3946">
      <c r="A3946" s="9"/>
      <c r="B3946" s="15"/>
      <c r="C3946" s="9"/>
      <c r="D3946" s="15"/>
      <c r="E3946" s="16"/>
      <c r="F3946" s="19"/>
      <c r="G3946" s="20"/>
      <c r="H3946" s="19"/>
    </row>
    <row r="3947">
      <c r="A3947" s="9"/>
      <c r="B3947" s="15"/>
      <c r="C3947" s="9"/>
      <c r="D3947" s="15"/>
      <c r="E3947" s="16"/>
      <c r="F3947" s="19"/>
      <c r="G3947" s="20"/>
      <c r="H3947" s="19"/>
    </row>
    <row r="3948">
      <c r="A3948" s="9"/>
      <c r="B3948" s="15"/>
      <c r="C3948" s="9"/>
      <c r="D3948" s="15"/>
      <c r="E3948" s="16"/>
      <c r="F3948" s="19"/>
      <c r="G3948" s="20"/>
      <c r="H3948" s="19"/>
    </row>
    <row r="3949">
      <c r="A3949" s="9"/>
      <c r="B3949" s="15"/>
      <c r="C3949" s="9"/>
      <c r="D3949" s="15"/>
      <c r="E3949" s="16"/>
      <c r="F3949" s="19"/>
      <c r="G3949" s="20"/>
      <c r="H3949" s="19"/>
    </row>
    <row r="3950">
      <c r="A3950" s="9"/>
      <c r="B3950" s="15"/>
      <c r="C3950" s="9"/>
      <c r="D3950" s="15"/>
      <c r="E3950" s="16"/>
      <c r="F3950" s="19"/>
      <c r="G3950" s="20"/>
      <c r="H3950" s="19"/>
    </row>
    <row r="3951">
      <c r="A3951" s="9"/>
      <c r="B3951" s="15"/>
      <c r="C3951" s="9"/>
      <c r="D3951" s="15"/>
      <c r="E3951" s="16"/>
      <c r="F3951" s="19"/>
      <c r="G3951" s="20"/>
      <c r="H3951" s="19"/>
    </row>
    <row r="3952">
      <c r="A3952" s="9"/>
      <c r="B3952" s="15"/>
      <c r="C3952" s="9"/>
      <c r="D3952" s="15"/>
      <c r="E3952" s="16"/>
      <c r="F3952" s="19"/>
      <c r="G3952" s="20"/>
      <c r="H3952" s="19"/>
    </row>
    <row r="3953">
      <c r="A3953" s="9"/>
      <c r="B3953" s="15"/>
      <c r="C3953" s="9"/>
      <c r="D3953" s="15"/>
      <c r="E3953" s="16"/>
      <c r="F3953" s="19"/>
      <c r="G3953" s="20"/>
      <c r="H3953" s="19"/>
    </row>
    <row r="3954">
      <c r="A3954" s="9"/>
      <c r="B3954" s="15"/>
      <c r="C3954" s="9"/>
      <c r="D3954" s="15"/>
      <c r="E3954" s="16"/>
      <c r="F3954" s="19"/>
      <c r="G3954" s="20"/>
      <c r="H3954" s="19"/>
    </row>
    <row r="3955">
      <c r="A3955" s="9"/>
      <c r="B3955" s="15"/>
      <c r="C3955" s="9"/>
      <c r="D3955" s="15"/>
      <c r="E3955" s="16"/>
      <c r="F3955" s="19"/>
      <c r="G3955" s="20"/>
      <c r="H3955" s="19"/>
    </row>
    <row r="3956">
      <c r="A3956" s="9"/>
      <c r="B3956" s="15"/>
      <c r="C3956" s="9"/>
      <c r="D3956" s="15"/>
      <c r="E3956" s="16"/>
      <c r="F3956" s="19"/>
      <c r="G3956" s="20"/>
      <c r="H3956" s="19"/>
    </row>
    <row r="3957">
      <c r="A3957" s="9"/>
      <c r="B3957" s="15"/>
      <c r="C3957" s="9"/>
      <c r="D3957" s="15"/>
      <c r="E3957" s="16"/>
      <c r="F3957" s="19"/>
      <c r="G3957" s="20"/>
      <c r="H3957" s="19"/>
    </row>
    <row r="3958">
      <c r="A3958" s="9"/>
      <c r="B3958" s="15"/>
      <c r="C3958" s="9"/>
      <c r="D3958" s="15"/>
      <c r="E3958" s="16"/>
      <c r="F3958" s="19"/>
      <c r="G3958" s="20"/>
      <c r="H3958" s="19"/>
    </row>
    <row r="3959">
      <c r="A3959" s="9"/>
      <c r="B3959" s="15"/>
      <c r="C3959" s="9"/>
      <c r="D3959" s="15"/>
      <c r="E3959" s="16"/>
      <c r="F3959" s="19"/>
      <c r="G3959" s="20"/>
      <c r="H3959" s="19"/>
    </row>
    <row r="3960">
      <c r="A3960" s="9"/>
      <c r="B3960" s="15"/>
      <c r="C3960" s="9"/>
      <c r="D3960" s="15"/>
      <c r="E3960" s="16"/>
      <c r="F3960" s="19"/>
      <c r="G3960" s="20"/>
      <c r="H3960" s="19"/>
    </row>
    <row r="3961">
      <c r="A3961" s="9"/>
      <c r="B3961" s="15"/>
      <c r="C3961" s="9"/>
      <c r="D3961" s="15"/>
      <c r="E3961" s="16"/>
      <c r="F3961" s="19"/>
      <c r="G3961" s="20"/>
      <c r="H3961" s="19"/>
    </row>
    <row r="3962">
      <c r="A3962" s="9"/>
      <c r="B3962" s="15"/>
      <c r="C3962" s="9"/>
      <c r="D3962" s="15"/>
      <c r="E3962" s="16"/>
      <c r="F3962" s="19"/>
      <c r="G3962" s="20"/>
      <c r="H3962" s="19"/>
    </row>
    <row r="3963">
      <c r="A3963" s="9"/>
      <c r="B3963" s="15"/>
      <c r="C3963" s="9"/>
      <c r="D3963" s="15"/>
      <c r="E3963" s="16"/>
      <c r="F3963" s="19"/>
      <c r="G3963" s="20"/>
      <c r="H3963" s="19"/>
    </row>
    <row r="3964">
      <c r="A3964" s="9"/>
      <c r="B3964" s="15"/>
      <c r="C3964" s="9"/>
      <c r="D3964" s="15"/>
      <c r="E3964" s="16"/>
      <c r="F3964" s="19"/>
      <c r="G3964" s="20"/>
      <c r="H3964" s="19"/>
    </row>
    <row r="3965">
      <c r="A3965" s="9"/>
      <c r="B3965" s="15"/>
      <c r="C3965" s="9"/>
      <c r="D3965" s="15"/>
      <c r="E3965" s="16"/>
      <c r="F3965" s="19"/>
      <c r="G3965" s="20"/>
      <c r="H3965" s="19"/>
    </row>
    <row r="3966">
      <c r="A3966" s="9"/>
      <c r="B3966" s="15"/>
      <c r="C3966" s="9"/>
      <c r="D3966" s="15"/>
      <c r="E3966" s="16"/>
      <c r="F3966" s="19"/>
      <c r="G3966" s="20"/>
      <c r="H3966" s="19"/>
    </row>
    <row r="3967">
      <c r="A3967" s="9"/>
      <c r="B3967" s="15"/>
      <c r="C3967" s="9"/>
      <c r="D3967" s="15"/>
      <c r="E3967" s="16"/>
      <c r="F3967" s="19"/>
      <c r="G3967" s="20"/>
      <c r="H3967" s="19"/>
    </row>
    <row r="3968">
      <c r="A3968" s="9"/>
      <c r="B3968" s="15"/>
      <c r="C3968" s="9"/>
      <c r="D3968" s="15"/>
      <c r="E3968" s="16"/>
      <c r="F3968" s="19"/>
      <c r="G3968" s="20"/>
      <c r="H3968" s="19"/>
    </row>
    <row r="3969">
      <c r="A3969" s="9"/>
      <c r="B3969" s="15"/>
      <c r="C3969" s="9"/>
      <c r="D3969" s="15"/>
      <c r="E3969" s="16"/>
      <c r="F3969" s="19"/>
      <c r="G3969" s="20"/>
      <c r="H3969" s="19"/>
    </row>
    <row r="3970">
      <c r="A3970" s="9"/>
      <c r="B3970" s="15"/>
      <c r="C3970" s="9"/>
      <c r="D3970" s="15"/>
      <c r="E3970" s="16"/>
      <c r="F3970" s="19"/>
      <c r="G3970" s="20"/>
      <c r="H3970" s="19"/>
    </row>
    <row r="3971">
      <c r="A3971" s="9"/>
      <c r="B3971" s="15"/>
      <c r="C3971" s="9"/>
      <c r="D3971" s="15"/>
      <c r="E3971" s="16"/>
      <c r="F3971" s="19"/>
      <c r="G3971" s="20"/>
      <c r="H3971" s="19"/>
    </row>
    <row r="3972">
      <c r="A3972" s="9"/>
      <c r="B3972" s="15"/>
      <c r="C3972" s="9"/>
      <c r="D3972" s="15"/>
      <c r="E3972" s="16"/>
      <c r="F3972" s="19"/>
      <c r="G3972" s="20"/>
      <c r="H3972" s="19"/>
    </row>
    <row r="3973">
      <c r="A3973" s="9"/>
      <c r="B3973" s="15"/>
      <c r="C3973" s="9"/>
      <c r="D3973" s="15"/>
      <c r="E3973" s="16"/>
      <c r="F3973" s="19"/>
      <c r="G3973" s="20"/>
      <c r="H3973" s="19"/>
    </row>
    <row r="3974">
      <c r="A3974" s="9"/>
      <c r="B3974" s="15"/>
      <c r="C3974" s="9"/>
      <c r="D3974" s="15"/>
      <c r="E3974" s="16"/>
      <c r="F3974" s="19"/>
      <c r="G3974" s="20"/>
      <c r="H3974" s="19"/>
    </row>
    <row r="3975">
      <c r="A3975" s="9"/>
      <c r="B3975" s="15"/>
      <c r="C3975" s="9"/>
      <c r="D3975" s="15"/>
      <c r="E3975" s="16"/>
      <c r="F3975" s="19"/>
      <c r="G3975" s="20"/>
      <c r="H3975" s="19"/>
    </row>
    <row r="3976">
      <c r="A3976" s="9"/>
      <c r="B3976" s="15"/>
      <c r="C3976" s="9"/>
      <c r="D3976" s="15"/>
      <c r="E3976" s="16"/>
      <c r="F3976" s="19"/>
      <c r="G3976" s="20"/>
      <c r="H3976" s="19"/>
    </row>
    <row r="3977">
      <c r="A3977" s="9"/>
      <c r="B3977" s="15"/>
      <c r="C3977" s="9"/>
      <c r="D3977" s="15"/>
      <c r="E3977" s="16"/>
      <c r="F3977" s="19"/>
      <c r="G3977" s="20"/>
      <c r="H3977" s="19"/>
    </row>
    <row r="3978">
      <c r="A3978" s="9"/>
      <c r="B3978" s="15"/>
      <c r="C3978" s="9"/>
      <c r="D3978" s="15"/>
      <c r="E3978" s="16"/>
      <c r="F3978" s="19"/>
      <c r="G3978" s="20"/>
      <c r="H3978" s="19"/>
    </row>
    <row r="3979">
      <c r="A3979" s="9"/>
      <c r="B3979" s="15"/>
      <c r="C3979" s="9"/>
      <c r="D3979" s="15"/>
      <c r="E3979" s="16"/>
      <c r="F3979" s="19"/>
      <c r="G3979" s="20"/>
      <c r="H3979" s="19"/>
    </row>
    <row r="3980">
      <c r="A3980" s="9"/>
      <c r="B3980" s="15"/>
      <c r="C3980" s="9"/>
      <c r="D3980" s="15"/>
      <c r="E3980" s="16"/>
      <c r="F3980" s="19"/>
      <c r="G3980" s="20"/>
      <c r="H3980" s="19"/>
    </row>
    <row r="3981">
      <c r="A3981" s="9"/>
      <c r="B3981" s="15"/>
      <c r="C3981" s="9"/>
      <c r="D3981" s="15"/>
      <c r="E3981" s="16"/>
      <c r="F3981" s="19"/>
      <c r="G3981" s="20"/>
      <c r="H3981" s="19"/>
    </row>
    <row r="3982">
      <c r="A3982" s="9"/>
      <c r="B3982" s="15"/>
      <c r="C3982" s="9"/>
      <c r="D3982" s="15"/>
      <c r="E3982" s="16"/>
      <c r="F3982" s="19"/>
      <c r="G3982" s="20"/>
      <c r="H3982" s="19"/>
    </row>
    <row r="3983">
      <c r="A3983" s="9"/>
      <c r="B3983" s="15"/>
      <c r="C3983" s="9"/>
      <c r="D3983" s="15"/>
      <c r="E3983" s="16"/>
      <c r="F3983" s="19"/>
      <c r="G3983" s="20"/>
      <c r="H3983" s="19"/>
    </row>
    <row r="3984">
      <c r="A3984" s="9"/>
      <c r="B3984" s="15"/>
      <c r="C3984" s="9"/>
      <c r="D3984" s="15"/>
      <c r="E3984" s="16"/>
      <c r="F3984" s="19"/>
      <c r="G3984" s="20"/>
      <c r="H3984" s="19"/>
    </row>
    <row r="3985">
      <c r="A3985" s="9"/>
      <c r="B3985" s="15"/>
      <c r="C3985" s="9"/>
      <c r="D3985" s="15"/>
      <c r="E3985" s="16"/>
      <c r="F3985" s="19"/>
      <c r="G3985" s="20"/>
      <c r="H3985" s="19"/>
    </row>
    <row r="3986">
      <c r="A3986" s="9"/>
      <c r="B3986" s="15"/>
      <c r="C3986" s="9"/>
      <c r="D3986" s="15"/>
      <c r="E3986" s="16"/>
      <c r="F3986" s="19"/>
      <c r="G3986" s="20"/>
      <c r="H3986" s="19"/>
    </row>
    <row r="3987">
      <c r="A3987" s="9"/>
      <c r="B3987" s="15"/>
      <c r="C3987" s="9"/>
      <c r="D3987" s="15"/>
      <c r="E3987" s="16"/>
      <c r="F3987" s="19"/>
      <c r="G3987" s="20"/>
      <c r="H3987" s="19"/>
    </row>
    <row r="3988">
      <c r="A3988" s="9"/>
      <c r="B3988" s="15"/>
      <c r="C3988" s="9"/>
      <c r="D3988" s="15"/>
      <c r="E3988" s="16"/>
      <c r="F3988" s="19"/>
      <c r="G3988" s="20"/>
      <c r="H3988" s="19"/>
    </row>
    <row r="3989">
      <c r="A3989" s="9"/>
      <c r="B3989" s="15"/>
      <c r="C3989" s="9"/>
      <c r="D3989" s="15"/>
      <c r="E3989" s="16"/>
      <c r="F3989" s="19"/>
      <c r="G3989" s="20"/>
      <c r="H3989" s="19"/>
    </row>
    <row r="3990">
      <c r="A3990" s="9"/>
      <c r="B3990" s="15"/>
      <c r="C3990" s="9"/>
      <c r="D3990" s="15"/>
      <c r="E3990" s="16"/>
      <c r="F3990" s="19"/>
      <c r="G3990" s="20"/>
      <c r="H3990" s="19"/>
    </row>
    <row r="3991">
      <c r="A3991" s="9"/>
      <c r="B3991" s="15"/>
      <c r="C3991" s="9"/>
      <c r="D3991" s="15"/>
      <c r="E3991" s="16"/>
      <c r="F3991" s="19"/>
      <c r="G3991" s="20"/>
      <c r="H3991" s="19"/>
    </row>
    <row r="3992">
      <c r="A3992" s="9"/>
      <c r="B3992" s="15"/>
      <c r="C3992" s="9"/>
      <c r="D3992" s="15"/>
      <c r="E3992" s="16"/>
      <c r="F3992" s="19"/>
      <c r="G3992" s="20"/>
      <c r="H3992" s="19"/>
    </row>
    <row r="3993">
      <c r="A3993" s="9"/>
      <c r="B3993" s="15"/>
      <c r="C3993" s="9"/>
      <c r="D3993" s="15"/>
      <c r="E3993" s="16"/>
      <c r="F3993" s="19"/>
      <c r="G3993" s="20"/>
      <c r="H3993" s="19"/>
    </row>
    <row r="3994">
      <c r="A3994" s="9"/>
      <c r="B3994" s="15"/>
      <c r="C3994" s="9"/>
      <c r="D3994" s="15"/>
      <c r="E3994" s="16"/>
      <c r="F3994" s="19"/>
      <c r="G3994" s="20"/>
      <c r="H3994" s="19"/>
    </row>
    <row r="3995">
      <c r="A3995" s="9"/>
      <c r="B3995" s="15"/>
      <c r="C3995" s="9"/>
      <c r="D3995" s="15"/>
      <c r="E3995" s="16"/>
      <c r="F3995" s="19"/>
      <c r="G3995" s="20"/>
      <c r="H3995" s="19"/>
    </row>
    <row r="3996">
      <c r="A3996" s="9"/>
      <c r="B3996" s="15"/>
      <c r="C3996" s="9"/>
      <c r="D3996" s="15"/>
      <c r="E3996" s="16"/>
      <c r="F3996" s="19"/>
      <c r="G3996" s="20"/>
      <c r="H3996" s="19"/>
    </row>
    <row r="3997">
      <c r="A3997" s="9"/>
      <c r="B3997" s="15"/>
      <c r="C3997" s="9"/>
      <c r="D3997" s="15"/>
      <c r="E3997" s="16"/>
      <c r="F3997" s="19"/>
      <c r="G3997" s="20"/>
      <c r="H3997" s="19"/>
    </row>
    <row r="3998">
      <c r="A3998" s="9"/>
      <c r="B3998" s="15"/>
      <c r="C3998" s="9"/>
      <c r="D3998" s="15"/>
      <c r="E3998" s="16"/>
      <c r="F3998" s="19"/>
      <c r="G3998" s="20"/>
      <c r="H3998" s="19"/>
    </row>
    <row r="3999">
      <c r="A3999" s="9"/>
      <c r="B3999" s="15"/>
      <c r="C3999" s="9"/>
      <c r="D3999" s="15"/>
      <c r="E3999" s="16"/>
      <c r="F3999" s="19"/>
      <c r="G3999" s="20"/>
      <c r="H3999" s="19"/>
    </row>
    <row r="4000">
      <c r="A4000" s="9"/>
      <c r="B4000" s="15"/>
      <c r="C4000" s="9"/>
      <c r="D4000" s="15"/>
      <c r="E4000" s="16"/>
      <c r="F4000" s="19"/>
      <c r="G4000" s="20"/>
      <c r="H4000" s="19"/>
    </row>
    <row r="4001">
      <c r="A4001" s="9"/>
      <c r="B4001" s="15"/>
      <c r="C4001" s="9"/>
      <c r="D4001" s="15"/>
      <c r="E4001" s="16"/>
      <c r="F4001" s="19"/>
      <c r="G4001" s="20"/>
      <c r="H4001" s="19"/>
    </row>
    <row r="4002">
      <c r="A4002" s="9"/>
      <c r="B4002" s="15"/>
      <c r="C4002" s="9"/>
      <c r="D4002" s="15"/>
      <c r="E4002" s="16"/>
      <c r="F4002" s="19"/>
      <c r="G4002" s="20"/>
      <c r="H4002" s="19"/>
    </row>
    <row r="4003">
      <c r="A4003" s="9"/>
      <c r="B4003" s="15"/>
      <c r="C4003" s="9"/>
      <c r="D4003" s="15"/>
      <c r="E4003" s="16"/>
      <c r="F4003" s="19"/>
      <c r="G4003" s="20"/>
      <c r="H4003" s="19"/>
    </row>
    <row r="4004">
      <c r="A4004" s="9"/>
      <c r="B4004" s="15"/>
      <c r="C4004" s="9"/>
      <c r="D4004" s="15"/>
      <c r="E4004" s="16"/>
      <c r="F4004" s="19"/>
      <c r="G4004" s="20"/>
      <c r="H4004" s="19"/>
    </row>
    <row r="4005">
      <c r="A4005" s="9"/>
      <c r="B4005" s="15"/>
      <c r="C4005" s="9"/>
      <c r="D4005" s="15"/>
      <c r="E4005" s="16"/>
      <c r="F4005" s="19"/>
      <c r="G4005" s="20"/>
      <c r="H4005" s="19"/>
    </row>
    <row r="4006">
      <c r="A4006" s="9"/>
      <c r="B4006" s="15"/>
      <c r="C4006" s="9"/>
      <c r="D4006" s="15"/>
      <c r="E4006" s="16"/>
      <c r="F4006" s="19"/>
      <c r="G4006" s="20"/>
      <c r="H4006" s="19"/>
    </row>
    <row r="4007">
      <c r="A4007" s="9"/>
      <c r="B4007" s="15"/>
      <c r="C4007" s="9"/>
      <c r="D4007" s="15"/>
      <c r="E4007" s="16"/>
      <c r="F4007" s="19"/>
      <c r="G4007" s="20"/>
      <c r="H4007" s="19"/>
    </row>
    <row r="4008">
      <c r="A4008" s="9"/>
      <c r="B4008" s="15"/>
      <c r="C4008" s="9"/>
      <c r="D4008" s="15"/>
      <c r="E4008" s="16"/>
      <c r="F4008" s="19"/>
      <c r="G4008" s="20"/>
      <c r="H4008" s="19"/>
    </row>
    <row r="4009">
      <c r="A4009" s="9"/>
      <c r="B4009" s="15"/>
      <c r="C4009" s="9"/>
      <c r="D4009" s="15"/>
      <c r="E4009" s="16"/>
      <c r="F4009" s="19"/>
      <c r="G4009" s="20"/>
      <c r="H4009" s="19"/>
    </row>
    <row r="4010">
      <c r="A4010" s="9"/>
      <c r="B4010" s="15"/>
      <c r="C4010" s="9"/>
      <c r="D4010" s="15"/>
      <c r="E4010" s="16"/>
      <c r="F4010" s="19"/>
      <c r="G4010" s="20"/>
      <c r="H4010" s="19"/>
    </row>
    <row r="4011">
      <c r="A4011" s="9"/>
      <c r="B4011" s="15"/>
      <c r="C4011" s="9"/>
      <c r="D4011" s="15"/>
      <c r="E4011" s="16"/>
      <c r="F4011" s="19"/>
      <c r="G4011" s="20"/>
      <c r="H4011" s="19"/>
    </row>
    <row r="4012">
      <c r="A4012" s="9"/>
      <c r="B4012" s="15"/>
      <c r="C4012" s="9"/>
      <c r="D4012" s="15"/>
      <c r="E4012" s="16"/>
      <c r="F4012" s="19"/>
      <c r="G4012" s="20"/>
      <c r="H4012" s="19"/>
    </row>
    <row r="4013">
      <c r="A4013" s="9"/>
      <c r="B4013" s="15"/>
      <c r="C4013" s="9"/>
      <c r="D4013" s="15"/>
      <c r="E4013" s="16"/>
      <c r="F4013" s="19"/>
      <c r="G4013" s="20"/>
      <c r="H4013" s="19"/>
    </row>
    <row r="4014">
      <c r="A4014" s="9"/>
      <c r="B4014" s="15"/>
      <c r="C4014" s="9"/>
      <c r="D4014" s="15"/>
      <c r="E4014" s="16"/>
      <c r="F4014" s="19"/>
      <c r="G4014" s="20"/>
      <c r="H4014" s="19"/>
    </row>
    <row r="4015">
      <c r="A4015" s="9"/>
      <c r="B4015" s="15"/>
      <c r="C4015" s="9"/>
      <c r="D4015" s="15"/>
      <c r="E4015" s="16"/>
      <c r="F4015" s="19"/>
      <c r="G4015" s="20"/>
      <c r="H4015" s="19"/>
    </row>
    <row r="4016">
      <c r="A4016" s="9"/>
      <c r="B4016" s="15"/>
      <c r="C4016" s="9"/>
      <c r="D4016" s="15"/>
      <c r="E4016" s="16"/>
      <c r="F4016" s="19"/>
      <c r="G4016" s="20"/>
      <c r="H4016" s="19"/>
    </row>
    <row r="4017">
      <c r="A4017" s="9"/>
      <c r="B4017" s="15"/>
      <c r="C4017" s="9"/>
      <c r="D4017" s="15"/>
      <c r="E4017" s="16"/>
      <c r="F4017" s="19"/>
      <c r="G4017" s="20"/>
      <c r="H4017" s="19"/>
    </row>
    <row r="4018">
      <c r="A4018" s="9"/>
      <c r="B4018" s="15"/>
      <c r="C4018" s="9"/>
      <c r="D4018" s="15"/>
      <c r="E4018" s="16"/>
      <c r="F4018" s="19"/>
      <c r="G4018" s="20"/>
      <c r="H4018" s="19"/>
    </row>
    <row r="4019">
      <c r="A4019" s="9"/>
      <c r="B4019" s="15"/>
      <c r="C4019" s="9"/>
      <c r="D4019" s="15"/>
      <c r="E4019" s="16"/>
      <c r="F4019" s="19"/>
      <c r="G4019" s="20"/>
      <c r="H4019" s="19"/>
    </row>
    <row r="4020">
      <c r="A4020" s="9"/>
      <c r="B4020" s="15"/>
      <c r="C4020" s="9"/>
      <c r="D4020" s="15"/>
      <c r="E4020" s="16"/>
      <c r="F4020" s="19"/>
      <c r="G4020" s="20"/>
      <c r="H4020" s="19"/>
    </row>
    <row r="4021">
      <c r="A4021" s="9"/>
      <c r="B4021" s="15"/>
      <c r="C4021" s="9"/>
      <c r="D4021" s="15"/>
      <c r="E4021" s="16"/>
      <c r="F4021" s="19"/>
      <c r="G4021" s="20"/>
      <c r="H4021" s="19"/>
    </row>
    <row r="4022">
      <c r="A4022" s="9"/>
      <c r="B4022" s="15"/>
      <c r="C4022" s="9"/>
      <c r="D4022" s="15"/>
      <c r="E4022" s="16"/>
      <c r="F4022" s="19"/>
      <c r="G4022" s="20"/>
      <c r="H4022" s="19"/>
    </row>
    <row r="4023">
      <c r="A4023" s="9"/>
      <c r="B4023" s="15"/>
      <c r="C4023" s="9"/>
      <c r="D4023" s="15"/>
      <c r="E4023" s="16"/>
      <c r="F4023" s="19"/>
      <c r="G4023" s="20"/>
      <c r="H4023" s="19"/>
    </row>
    <row r="4024">
      <c r="A4024" s="9"/>
      <c r="B4024" s="15"/>
      <c r="C4024" s="9"/>
      <c r="D4024" s="15"/>
      <c r="E4024" s="16"/>
      <c r="F4024" s="19"/>
      <c r="G4024" s="20"/>
      <c r="H4024" s="19"/>
    </row>
    <row r="4025">
      <c r="A4025" s="9"/>
      <c r="B4025" s="15"/>
      <c r="C4025" s="9"/>
      <c r="D4025" s="15"/>
      <c r="E4025" s="16"/>
      <c r="F4025" s="19"/>
      <c r="G4025" s="20"/>
      <c r="H4025" s="19"/>
    </row>
    <row r="4026">
      <c r="A4026" s="9"/>
      <c r="B4026" s="15"/>
      <c r="C4026" s="9"/>
      <c r="D4026" s="15"/>
      <c r="E4026" s="16"/>
      <c r="F4026" s="19"/>
      <c r="G4026" s="20"/>
      <c r="H4026" s="19"/>
    </row>
    <row r="4027">
      <c r="A4027" s="9"/>
      <c r="B4027" s="15"/>
      <c r="C4027" s="9"/>
      <c r="D4027" s="15"/>
      <c r="E4027" s="16"/>
      <c r="F4027" s="19"/>
      <c r="G4027" s="20"/>
      <c r="H4027" s="19"/>
    </row>
    <row r="4028">
      <c r="A4028" s="9"/>
      <c r="B4028" s="15"/>
      <c r="C4028" s="9"/>
      <c r="D4028" s="15"/>
      <c r="E4028" s="16"/>
      <c r="F4028" s="19"/>
      <c r="G4028" s="20"/>
      <c r="H4028" s="19"/>
    </row>
    <row r="4029">
      <c r="A4029" s="9"/>
      <c r="B4029" s="15"/>
      <c r="C4029" s="9"/>
      <c r="D4029" s="15"/>
      <c r="E4029" s="16"/>
      <c r="F4029" s="19"/>
      <c r="G4029" s="20"/>
      <c r="H4029" s="19"/>
    </row>
    <row r="4030">
      <c r="A4030" s="9"/>
      <c r="B4030" s="15"/>
      <c r="C4030" s="9"/>
      <c r="D4030" s="15"/>
      <c r="E4030" s="16"/>
      <c r="F4030" s="19"/>
      <c r="G4030" s="20"/>
      <c r="H4030" s="19"/>
    </row>
    <row r="4031">
      <c r="A4031" s="9"/>
      <c r="B4031" s="15"/>
      <c r="C4031" s="9"/>
      <c r="D4031" s="15"/>
      <c r="E4031" s="16"/>
      <c r="F4031" s="19"/>
      <c r="G4031" s="20"/>
      <c r="H4031" s="19"/>
    </row>
    <row r="4032">
      <c r="A4032" s="9"/>
      <c r="B4032" s="15"/>
      <c r="C4032" s="9"/>
      <c r="D4032" s="15"/>
      <c r="E4032" s="16"/>
      <c r="F4032" s="19"/>
      <c r="G4032" s="20"/>
      <c r="H4032" s="19"/>
    </row>
    <row r="4033">
      <c r="A4033" s="9"/>
      <c r="B4033" s="15"/>
      <c r="C4033" s="9"/>
      <c r="D4033" s="15"/>
      <c r="E4033" s="16"/>
      <c r="F4033" s="19"/>
      <c r="G4033" s="20"/>
      <c r="H4033" s="19"/>
    </row>
    <row r="4034">
      <c r="A4034" s="9"/>
      <c r="B4034" s="15"/>
      <c r="C4034" s="9"/>
      <c r="D4034" s="15"/>
      <c r="E4034" s="16"/>
      <c r="F4034" s="19"/>
      <c r="G4034" s="20"/>
      <c r="H4034" s="19"/>
    </row>
    <row r="4035">
      <c r="A4035" s="9"/>
      <c r="B4035" s="15"/>
      <c r="C4035" s="9"/>
      <c r="D4035" s="15"/>
      <c r="E4035" s="16"/>
      <c r="F4035" s="19"/>
      <c r="G4035" s="20"/>
      <c r="H4035" s="19"/>
    </row>
    <row r="4036">
      <c r="A4036" s="9"/>
      <c r="B4036" s="15"/>
      <c r="C4036" s="9"/>
      <c r="D4036" s="15"/>
      <c r="E4036" s="16"/>
      <c r="F4036" s="19"/>
      <c r="G4036" s="20"/>
      <c r="H4036" s="19"/>
    </row>
    <row r="4037">
      <c r="A4037" s="9"/>
      <c r="B4037" s="15"/>
      <c r="C4037" s="9"/>
      <c r="D4037" s="15"/>
      <c r="E4037" s="16"/>
      <c r="F4037" s="19"/>
      <c r="G4037" s="20"/>
      <c r="H4037" s="19"/>
    </row>
    <row r="4038">
      <c r="A4038" s="9"/>
      <c r="B4038" s="15"/>
      <c r="C4038" s="9"/>
      <c r="D4038" s="15"/>
      <c r="E4038" s="16"/>
      <c r="F4038" s="19"/>
      <c r="G4038" s="20"/>
      <c r="H4038" s="19"/>
    </row>
    <row r="4039">
      <c r="A4039" s="9"/>
      <c r="B4039" s="15"/>
      <c r="C4039" s="9"/>
      <c r="D4039" s="15"/>
      <c r="E4039" s="16"/>
      <c r="F4039" s="19"/>
      <c r="G4039" s="20"/>
      <c r="H4039" s="19"/>
    </row>
    <row r="4040">
      <c r="A4040" s="9"/>
      <c r="B4040" s="15"/>
      <c r="C4040" s="9"/>
      <c r="D4040" s="15"/>
      <c r="E4040" s="16"/>
      <c r="F4040" s="19"/>
      <c r="G4040" s="20"/>
      <c r="H4040" s="19"/>
    </row>
    <row r="4041">
      <c r="A4041" s="9"/>
      <c r="B4041" s="15"/>
      <c r="C4041" s="9"/>
      <c r="D4041" s="15"/>
      <c r="E4041" s="16"/>
      <c r="F4041" s="19"/>
      <c r="G4041" s="20"/>
      <c r="H4041" s="19"/>
    </row>
    <row r="4042">
      <c r="A4042" s="9"/>
      <c r="B4042" s="15"/>
      <c r="C4042" s="9"/>
      <c r="D4042" s="15"/>
      <c r="E4042" s="16"/>
      <c r="F4042" s="19"/>
      <c r="G4042" s="20"/>
      <c r="H4042" s="19"/>
    </row>
    <row r="4043">
      <c r="A4043" s="9"/>
      <c r="B4043" s="15"/>
      <c r="C4043" s="9"/>
      <c r="D4043" s="15"/>
      <c r="E4043" s="16"/>
      <c r="F4043" s="19"/>
      <c r="G4043" s="20"/>
      <c r="H4043" s="19"/>
    </row>
    <row r="4044">
      <c r="A4044" s="9"/>
      <c r="B4044" s="15"/>
      <c r="C4044" s="9"/>
      <c r="D4044" s="15"/>
      <c r="E4044" s="16"/>
      <c r="F4044" s="19"/>
      <c r="G4044" s="20"/>
      <c r="H4044" s="19"/>
    </row>
    <row r="4045">
      <c r="A4045" s="9"/>
      <c r="B4045" s="15"/>
      <c r="C4045" s="9"/>
      <c r="D4045" s="15"/>
      <c r="E4045" s="16"/>
      <c r="F4045" s="19"/>
      <c r="G4045" s="20"/>
      <c r="H4045" s="19"/>
    </row>
    <row r="4046">
      <c r="A4046" s="9"/>
      <c r="B4046" s="15"/>
      <c r="C4046" s="9"/>
      <c r="D4046" s="15"/>
      <c r="E4046" s="16"/>
      <c r="F4046" s="19"/>
      <c r="G4046" s="20"/>
      <c r="H4046" s="19"/>
    </row>
    <row r="4047">
      <c r="A4047" s="9"/>
      <c r="B4047" s="15"/>
      <c r="C4047" s="9"/>
      <c r="D4047" s="15"/>
      <c r="E4047" s="16"/>
      <c r="F4047" s="19"/>
      <c r="G4047" s="20"/>
      <c r="H4047" s="19"/>
    </row>
    <row r="4048">
      <c r="A4048" s="9"/>
      <c r="B4048" s="15"/>
      <c r="C4048" s="9"/>
      <c r="D4048" s="15"/>
      <c r="E4048" s="16"/>
      <c r="F4048" s="19"/>
      <c r="G4048" s="20"/>
      <c r="H4048" s="19"/>
    </row>
    <row r="4049">
      <c r="A4049" s="9"/>
      <c r="B4049" s="15"/>
      <c r="C4049" s="9"/>
      <c r="D4049" s="15"/>
      <c r="E4049" s="16"/>
      <c r="F4049" s="19"/>
      <c r="G4049" s="20"/>
      <c r="H4049" s="19"/>
    </row>
    <row r="4050">
      <c r="A4050" s="9"/>
      <c r="B4050" s="15"/>
      <c r="C4050" s="9"/>
      <c r="D4050" s="15"/>
      <c r="E4050" s="16"/>
      <c r="F4050" s="19"/>
      <c r="G4050" s="20"/>
      <c r="H4050" s="19"/>
    </row>
    <row r="4051">
      <c r="A4051" s="9"/>
      <c r="B4051" s="15"/>
      <c r="C4051" s="9"/>
      <c r="D4051" s="15"/>
      <c r="E4051" s="16"/>
      <c r="F4051" s="19"/>
      <c r="G4051" s="20"/>
      <c r="H4051" s="19"/>
    </row>
    <row r="4052">
      <c r="A4052" s="9"/>
      <c r="B4052" s="15"/>
      <c r="C4052" s="9"/>
      <c r="D4052" s="15"/>
      <c r="E4052" s="16"/>
      <c r="F4052" s="19"/>
      <c r="G4052" s="20"/>
      <c r="H4052" s="19"/>
    </row>
    <row r="4053">
      <c r="A4053" s="9"/>
      <c r="B4053" s="15"/>
      <c r="C4053" s="9"/>
      <c r="D4053" s="15"/>
      <c r="E4053" s="16"/>
      <c r="F4053" s="19"/>
      <c r="G4053" s="20"/>
      <c r="H4053" s="19"/>
    </row>
    <row r="4054">
      <c r="A4054" s="9"/>
      <c r="B4054" s="15"/>
      <c r="C4054" s="9"/>
      <c r="D4054" s="15"/>
      <c r="E4054" s="16"/>
      <c r="F4054" s="19"/>
      <c r="G4054" s="20"/>
      <c r="H4054" s="19"/>
    </row>
    <row r="4055">
      <c r="A4055" s="9"/>
      <c r="B4055" s="15"/>
      <c r="C4055" s="9"/>
      <c r="D4055" s="15"/>
      <c r="E4055" s="16"/>
      <c r="F4055" s="19"/>
      <c r="G4055" s="20"/>
      <c r="H4055" s="19"/>
    </row>
    <row r="4056">
      <c r="A4056" s="9"/>
      <c r="B4056" s="15"/>
      <c r="C4056" s="9"/>
      <c r="D4056" s="15"/>
      <c r="E4056" s="16"/>
      <c r="F4056" s="19"/>
      <c r="G4056" s="20"/>
      <c r="H4056" s="19"/>
    </row>
    <row r="4057">
      <c r="A4057" s="9"/>
      <c r="B4057" s="15"/>
      <c r="C4057" s="9"/>
      <c r="D4057" s="15"/>
      <c r="E4057" s="16"/>
      <c r="F4057" s="19"/>
      <c r="G4057" s="20"/>
      <c r="H4057" s="19"/>
    </row>
    <row r="4058">
      <c r="A4058" s="9"/>
      <c r="B4058" s="15"/>
      <c r="C4058" s="9"/>
      <c r="D4058" s="15"/>
      <c r="E4058" s="16"/>
      <c r="F4058" s="19"/>
      <c r="G4058" s="20"/>
      <c r="H4058" s="19"/>
    </row>
    <row r="4059">
      <c r="A4059" s="9"/>
      <c r="B4059" s="15"/>
      <c r="C4059" s="9"/>
      <c r="D4059" s="15"/>
      <c r="E4059" s="16"/>
      <c r="F4059" s="19"/>
      <c r="G4059" s="20"/>
      <c r="H4059" s="19"/>
    </row>
    <row r="4060">
      <c r="A4060" s="9"/>
      <c r="B4060" s="15"/>
      <c r="C4060" s="9"/>
      <c r="D4060" s="15"/>
      <c r="E4060" s="16"/>
      <c r="F4060" s="19"/>
      <c r="G4060" s="20"/>
      <c r="H4060" s="19"/>
    </row>
    <row r="4061">
      <c r="A4061" s="9"/>
      <c r="B4061" s="15"/>
      <c r="C4061" s="9"/>
      <c r="D4061" s="15"/>
      <c r="E4061" s="16"/>
      <c r="F4061" s="19"/>
      <c r="G4061" s="20"/>
      <c r="H4061" s="19"/>
    </row>
    <row r="4062">
      <c r="A4062" s="9"/>
      <c r="B4062" s="15"/>
      <c r="C4062" s="9"/>
      <c r="D4062" s="15"/>
      <c r="E4062" s="16"/>
      <c r="F4062" s="19"/>
      <c r="G4062" s="20"/>
      <c r="H4062" s="19"/>
    </row>
    <row r="4063">
      <c r="A4063" s="9"/>
      <c r="B4063" s="15"/>
      <c r="C4063" s="9"/>
      <c r="D4063" s="15"/>
      <c r="E4063" s="16"/>
      <c r="F4063" s="19"/>
      <c r="G4063" s="20"/>
      <c r="H4063" s="19"/>
    </row>
    <row r="4064">
      <c r="A4064" s="9"/>
      <c r="B4064" s="15"/>
      <c r="C4064" s="9"/>
      <c r="D4064" s="15"/>
      <c r="E4064" s="16"/>
      <c r="F4064" s="19"/>
      <c r="G4064" s="20"/>
      <c r="H4064" s="19"/>
    </row>
    <row r="4065">
      <c r="A4065" s="9"/>
      <c r="B4065" s="15"/>
      <c r="C4065" s="9"/>
      <c r="D4065" s="15"/>
      <c r="E4065" s="16"/>
      <c r="F4065" s="19"/>
      <c r="G4065" s="20"/>
      <c r="H4065" s="19"/>
    </row>
    <row r="4066">
      <c r="A4066" s="9"/>
      <c r="B4066" s="15"/>
      <c r="C4066" s="9"/>
      <c r="D4066" s="15"/>
      <c r="E4066" s="16"/>
      <c r="F4066" s="19"/>
      <c r="G4066" s="20"/>
      <c r="H4066" s="19"/>
    </row>
    <row r="4067">
      <c r="A4067" s="9"/>
      <c r="B4067" s="15"/>
      <c r="C4067" s="9"/>
      <c r="D4067" s="15"/>
      <c r="E4067" s="16"/>
      <c r="F4067" s="19"/>
      <c r="G4067" s="20"/>
      <c r="H4067" s="19"/>
    </row>
    <row r="4068">
      <c r="A4068" s="9"/>
      <c r="B4068" s="15"/>
      <c r="C4068" s="9"/>
      <c r="D4068" s="15"/>
      <c r="E4068" s="16"/>
      <c r="F4068" s="19"/>
      <c r="G4068" s="20"/>
      <c r="H4068" s="19"/>
    </row>
    <row r="4069">
      <c r="A4069" s="9"/>
      <c r="B4069" s="15"/>
      <c r="C4069" s="9"/>
      <c r="D4069" s="15"/>
      <c r="E4069" s="16"/>
      <c r="F4069" s="19"/>
      <c r="G4069" s="20"/>
      <c r="H4069" s="19"/>
    </row>
    <row r="4070">
      <c r="A4070" s="9"/>
      <c r="B4070" s="15"/>
      <c r="C4070" s="9"/>
      <c r="D4070" s="15"/>
      <c r="E4070" s="16"/>
      <c r="F4070" s="19"/>
      <c r="G4070" s="20"/>
      <c r="H4070" s="19"/>
    </row>
    <row r="4071">
      <c r="A4071" s="9"/>
      <c r="B4071" s="15"/>
      <c r="C4071" s="9"/>
      <c r="D4071" s="15"/>
      <c r="E4071" s="16"/>
      <c r="F4071" s="19"/>
      <c r="G4071" s="20"/>
      <c r="H4071" s="19"/>
    </row>
    <row r="4072">
      <c r="A4072" s="9"/>
      <c r="B4072" s="15"/>
      <c r="C4072" s="9"/>
      <c r="D4072" s="15"/>
      <c r="E4072" s="16"/>
      <c r="F4072" s="19"/>
      <c r="G4072" s="20"/>
      <c r="H4072" s="19"/>
    </row>
    <row r="4073">
      <c r="A4073" s="9"/>
      <c r="B4073" s="15"/>
      <c r="C4073" s="9"/>
      <c r="D4073" s="15"/>
      <c r="E4073" s="16"/>
      <c r="F4073" s="19"/>
      <c r="G4073" s="20"/>
      <c r="H4073" s="19"/>
    </row>
    <row r="4074">
      <c r="A4074" s="9"/>
      <c r="B4074" s="15"/>
      <c r="C4074" s="9"/>
      <c r="D4074" s="15"/>
      <c r="E4074" s="16"/>
      <c r="F4074" s="19"/>
      <c r="G4074" s="20"/>
      <c r="H4074" s="19"/>
    </row>
    <row r="4075">
      <c r="A4075" s="9"/>
      <c r="B4075" s="15"/>
      <c r="C4075" s="9"/>
      <c r="D4075" s="15"/>
      <c r="E4075" s="16"/>
      <c r="F4075" s="19"/>
      <c r="G4075" s="20"/>
      <c r="H4075" s="19"/>
    </row>
    <row r="4076">
      <c r="A4076" s="9"/>
      <c r="B4076" s="15"/>
      <c r="C4076" s="9"/>
      <c r="D4076" s="15"/>
      <c r="E4076" s="16"/>
      <c r="F4076" s="19"/>
      <c r="G4076" s="20"/>
      <c r="H4076" s="19"/>
    </row>
    <row r="4077">
      <c r="A4077" s="9"/>
      <c r="B4077" s="15"/>
      <c r="C4077" s="9"/>
      <c r="D4077" s="15"/>
      <c r="E4077" s="16"/>
      <c r="F4077" s="19"/>
      <c r="G4077" s="20"/>
      <c r="H4077" s="19"/>
    </row>
    <row r="4078">
      <c r="A4078" s="9"/>
      <c r="B4078" s="15"/>
      <c r="C4078" s="9"/>
      <c r="D4078" s="15"/>
      <c r="E4078" s="16"/>
      <c r="F4078" s="19"/>
      <c r="G4078" s="20"/>
      <c r="H4078" s="19"/>
    </row>
    <row r="4079">
      <c r="A4079" s="9"/>
      <c r="B4079" s="15"/>
      <c r="C4079" s="9"/>
      <c r="D4079" s="15"/>
      <c r="E4079" s="16"/>
      <c r="F4079" s="19"/>
      <c r="G4079" s="20"/>
      <c r="H4079" s="19"/>
    </row>
    <row r="4080">
      <c r="A4080" s="9"/>
      <c r="B4080" s="15"/>
      <c r="C4080" s="9"/>
      <c r="D4080" s="15"/>
      <c r="E4080" s="16"/>
      <c r="F4080" s="19"/>
      <c r="G4080" s="20"/>
      <c r="H4080" s="19"/>
    </row>
    <row r="4081">
      <c r="A4081" s="9"/>
      <c r="B4081" s="15"/>
      <c r="C4081" s="9"/>
      <c r="D4081" s="15"/>
      <c r="E4081" s="16"/>
      <c r="F4081" s="19"/>
      <c r="G4081" s="20"/>
      <c r="H4081" s="19"/>
    </row>
    <row r="4082">
      <c r="A4082" s="9"/>
      <c r="B4082" s="15"/>
      <c r="C4082" s="9"/>
      <c r="D4082" s="15"/>
      <c r="E4082" s="16"/>
      <c r="F4082" s="19"/>
      <c r="G4082" s="20"/>
      <c r="H4082" s="19"/>
    </row>
    <row r="4083">
      <c r="A4083" s="9"/>
      <c r="B4083" s="15"/>
      <c r="C4083" s="9"/>
      <c r="D4083" s="15"/>
      <c r="E4083" s="16"/>
      <c r="F4083" s="19"/>
      <c r="G4083" s="20"/>
      <c r="H4083" s="19"/>
    </row>
    <row r="4084">
      <c r="A4084" s="9"/>
      <c r="B4084" s="15"/>
      <c r="C4084" s="9"/>
      <c r="D4084" s="15"/>
      <c r="E4084" s="16"/>
      <c r="F4084" s="19"/>
      <c r="G4084" s="20"/>
      <c r="H4084" s="19"/>
    </row>
    <row r="4085">
      <c r="A4085" s="9"/>
      <c r="B4085" s="15"/>
      <c r="C4085" s="9"/>
      <c r="D4085" s="15"/>
      <c r="E4085" s="16"/>
      <c r="F4085" s="19"/>
      <c r="G4085" s="20"/>
      <c r="H4085" s="19"/>
    </row>
    <row r="4086">
      <c r="A4086" s="9"/>
      <c r="B4086" s="15"/>
      <c r="C4086" s="9"/>
      <c r="D4086" s="15"/>
      <c r="E4086" s="16"/>
      <c r="F4086" s="19"/>
      <c r="G4086" s="20"/>
      <c r="H4086" s="19"/>
    </row>
    <row r="4087">
      <c r="A4087" s="9"/>
      <c r="B4087" s="15"/>
      <c r="C4087" s="9"/>
      <c r="D4087" s="15"/>
      <c r="E4087" s="16"/>
      <c r="F4087" s="19"/>
      <c r="G4087" s="20"/>
      <c r="H4087" s="19"/>
    </row>
    <row r="4088">
      <c r="A4088" s="9"/>
      <c r="B4088" s="15"/>
      <c r="C4088" s="9"/>
      <c r="D4088" s="15"/>
      <c r="E4088" s="16"/>
      <c r="F4088" s="19"/>
      <c r="G4088" s="20"/>
      <c r="H4088" s="19"/>
    </row>
    <row r="4089">
      <c r="A4089" s="9"/>
      <c r="B4089" s="15"/>
      <c r="C4089" s="9"/>
      <c r="D4089" s="15"/>
      <c r="E4089" s="16"/>
      <c r="F4089" s="19"/>
      <c r="G4089" s="20"/>
      <c r="H4089" s="19"/>
    </row>
    <row r="4090">
      <c r="A4090" s="9"/>
      <c r="B4090" s="15"/>
      <c r="C4090" s="9"/>
      <c r="D4090" s="15"/>
      <c r="E4090" s="16"/>
      <c r="F4090" s="19"/>
      <c r="G4090" s="20"/>
      <c r="H4090" s="19"/>
    </row>
    <row r="4091">
      <c r="A4091" s="9"/>
      <c r="B4091" s="15"/>
      <c r="C4091" s="9"/>
      <c r="D4091" s="15"/>
      <c r="E4091" s="16"/>
      <c r="F4091" s="19"/>
      <c r="G4091" s="20"/>
      <c r="H4091" s="19"/>
    </row>
    <row r="4092">
      <c r="A4092" s="9"/>
      <c r="B4092" s="15"/>
      <c r="C4092" s="9"/>
      <c r="D4092" s="15"/>
      <c r="E4092" s="16"/>
      <c r="F4092" s="19"/>
      <c r="G4092" s="20"/>
      <c r="H4092" s="19"/>
    </row>
    <row r="4093">
      <c r="A4093" s="9"/>
      <c r="B4093" s="15"/>
      <c r="C4093" s="9"/>
      <c r="D4093" s="15"/>
      <c r="E4093" s="16"/>
      <c r="F4093" s="19"/>
      <c r="G4093" s="20"/>
      <c r="H4093" s="19"/>
    </row>
    <row r="4094">
      <c r="A4094" s="9"/>
      <c r="B4094" s="15"/>
      <c r="C4094" s="9"/>
      <c r="D4094" s="15"/>
      <c r="E4094" s="16"/>
      <c r="F4094" s="19"/>
      <c r="G4094" s="20"/>
      <c r="H4094" s="19"/>
    </row>
    <row r="4095">
      <c r="A4095" s="9"/>
      <c r="B4095" s="15"/>
      <c r="C4095" s="9"/>
      <c r="D4095" s="15"/>
      <c r="E4095" s="16"/>
      <c r="F4095" s="19"/>
      <c r="G4095" s="20"/>
      <c r="H4095" s="19"/>
    </row>
    <row r="4096">
      <c r="A4096" s="9"/>
      <c r="B4096" s="15"/>
      <c r="C4096" s="9"/>
      <c r="D4096" s="15"/>
      <c r="E4096" s="16"/>
      <c r="F4096" s="19"/>
      <c r="G4096" s="20"/>
      <c r="H4096" s="19"/>
    </row>
    <row r="4097">
      <c r="A4097" s="9"/>
      <c r="B4097" s="15"/>
      <c r="C4097" s="9"/>
      <c r="D4097" s="15"/>
      <c r="E4097" s="16"/>
      <c r="F4097" s="19"/>
      <c r="G4097" s="20"/>
      <c r="H4097" s="19"/>
    </row>
    <row r="4098">
      <c r="A4098" s="9"/>
      <c r="B4098" s="15"/>
      <c r="C4098" s="9"/>
      <c r="D4098" s="15"/>
      <c r="E4098" s="16"/>
      <c r="F4098" s="19"/>
      <c r="G4098" s="20"/>
      <c r="H4098" s="19"/>
    </row>
    <row r="4099">
      <c r="A4099" s="9"/>
      <c r="B4099" s="15"/>
      <c r="C4099" s="9"/>
      <c r="D4099" s="15"/>
      <c r="E4099" s="16"/>
      <c r="F4099" s="19"/>
      <c r="G4099" s="20"/>
      <c r="H4099" s="19"/>
    </row>
    <row r="4100">
      <c r="A4100" s="9"/>
      <c r="B4100" s="15"/>
      <c r="C4100" s="9"/>
      <c r="D4100" s="15"/>
      <c r="E4100" s="16"/>
      <c r="F4100" s="19"/>
      <c r="G4100" s="20"/>
      <c r="H4100" s="19"/>
    </row>
    <row r="4101">
      <c r="A4101" s="9"/>
      <c r="B4101" s="15"/>
      <c r="C4101" s="9"/>
      <c r="D4101" s="15"/>
      <c r="E4101" s="16"/>
      <c r="F4101" s="19"/>
      <c r="G4101" s="20"/>
      <c r="H4101" s="19"/>
    </row>
    <row r="4102">
      <c r="A4102" s="9"/>
      <c r="B4102" s="15"/>
      <c r="C4102" s="9"/>
      <c r="D4102" s="15"/>
      <c r="E4102" s="16"/>
      <c r="F4102" s="19"/>
      <c r="G4102" s="20"/>
      <c r="H4102" s="19"/>
    </row>
    <row r="4103">
      <c r="A4103" s="9"/>
      <c r="B4103" s="15"/>
      <c r="C4103" s="9"/>
      <c r="D4103" s="15"/>
      <c r="E4103" s="16"/>
      <c r="F4103" s="19"/>
      <c r="G4103" s="20"/>
      <c r="H4103" s="19"/>
    </row>
    <row r="4104">
      <c r="A4104" s="9"/>
      <c r="B4104" s="15"/>
      <c r="C4104" s="9"/>
      <c r="D4104" s="15"/>
      <c r="E4104" s="16"/>
      <c r="F4104" s="19"/>
      <c r="G4104" s="20"/>
      <c r="H4104" s="19"/>
    </row>
    <row r="4105">
      <c r="A4105" s="9"/>
      <c r="B4105" s="15"/>
      <c r="C4105" s="9"/>
      <c r="D4105" s="15"/>
      <c r="E4105" s="16"/>
      <c r="F4105" s="19"/>
      <c r="G4105" s="20"/>
      <c r="H4105" s="19"/>
    </row>
    <row r="4106">
      <c r="A4106" s="9"/>
      <c r="B4106" s="15"/>
      <c r="C4106" s="9"/>
      <c r="D4106" s="15"/>
      <c r="E4106" s="16"/>
      <c r="F4106" s="19"/>
      <c r="G4106" s="20"/>
      <c r="H4106" s="19"/>
    </row>
    <row r="4107">
      <c r="A4107" s="9"/>
      <c r="B4107" s="15"/>
      <c r="C4107" s="9"/>
      <c r="D4107" s="15"/>
      <c r="E4107" s="16"/>
      <c r="F4107" s="19"/>
      <c r="G4107" s="20"/>
      <c r="H4107" s="19"/>
    </row>
    <row r="4108">
      <c r="A4108" s="9"/>
      <c r="B4108" s="15"/>
      <c r="C4108" s="9"/>
      <c r="D4108" s="15"/>
      <c r="E4108" s="16"/>
      <c r="F4108" s="19"/>
      <c r="G4108" s="20"/>
      <c r="H4108" s="19"/>
    </row>
    <row r="4109">
      <c r="A4109" s="9"/>
      <c r="B4109" s="15"/>
      <c r="C4109" s="9"/>
      <c r="D4109" s="15"/>
      <c r="E4109" s="16"/>
      <c r="F4109" s="19"/>
      <c r="G4109" s="20"/>
      <c r="H4109" s="19"/>
    </row>
    <row r="4110">
      <c r="A4110" s="9"/>
      <c r="B4110" s="15"/>
      <c r="C4110" s="9"/>
      <c r="D4110" s="15"/>
      <c r="E4110" s="16"/>
      <c r="F4110" s="19"/>
      <c r="G4110" s="20"/>
      <c r="H4110" s="19"/>
    </row>
    <row r="4111">
      <c r="A4111" s="9"/>
      <c r="B4111" s="15"/>
      <c r="C4111" s="9"/>
      <c r="D4111" s="15"/>
      <c r="E4111" s="16"/>
      <c r="F4111" s="19"/>
      <c r="G4111" s="20"/>
      <c r="H4111" s="19"/>
    </row>
    <row r="4112">
      <c r="A4112" s="9"/>
      <c r="B4112" s="15"/>
      <c r="C4112" s="9"/>
      <c r="D4112" s="15"/>
      <c r="E4112" s="16"/>
      <c r="F4112" s="19"/>
      <c r="G4112" s="20"/>
      <c r="H4112" s="19"/>
    </row>
    <row r="4113">
      <c r="A4113" s="9"/>
      <c r="B4113" s="15"/>
      <c r="C4113" s="9"/>
      <c r="D4113" s="15"/>
      <c r="E4113" s="16"/>
      <c r="F4113" s="19"/>
      <c r="G4113" s="20"/>
      <c r="H4113" s="19"/>
    </row>
    <row r="4114">
      <c r="A4114" s="9"/>
      <c r="B4114" s="15"/>
      <c r="C4114" s="9"/>
      <c r="D4114" s="15"/>
      <c r="E4114" s="16"/>
      <c r="F4114" s="19"/>
      <c r="G4114" s="20"/>
      <c r="H4114" s="19"/>
    </row>
    <row r="4115">
      <c r="A4115" s="9"/>
      <c r="B4115" s="15"/>
      <c r="C4115" s="9"/>
      <c r="D4115" s="15"/>
      <c r="E4115" s="16"/>
      <c r="F4115" s="19"/>
      <c r="G4115" s="20"/>
      <c r="H4115" s="19"/>
    </row>
    <row r="4116">
      <c r="A4116" s="9"/>
      <c r="B4116" s="15"/>
      <c r="C4116" s="9"/>
      <c r="D4116" s="15"/>
      <c r="E4116" s="16"/>
      <c r="F4116" s="19"/>
      <c r="G4116" s="20"/>
      <c r="H4116" s="19"/>
    </row>
    <row r="4117">
      <c r="A4117" s="9"/>
      <c r="B4117" s="15"/>
      <c r="C4117" s="9"/>
      <c r="D4117" s="15"/>
      <c r="E4117" s="16"/>
      <c r="F4117" s="19"/>
      <c r="G4117" s="20"/>
      <c r="H4117" s="19"/>
    </row>
    <row r="4118">
      <c r="A4118" s="9"/>
      <c r="B4118" s="15"/>
      <c r="C4118" s="9"/>
      <c r="D4118" s="15"/>
      <c r="E4118" s="16"/>
      <c r="F4118" s="19"/>
      <c r="G4118" s="20"/>
      <c r="H4118" s="19"/>
    </row>
    <row r="4119">
      <c r="A4119" s="9"/>
      <c r="B4119" s="15"/>
      <c r="C4119" s="9"/>
      <c r="D4119" s="15"/>
      <c r="E4119" s="16"/>
      <c r="F4119" s="19"/>
      <c r="G4119" s="20"/>
      <c r="H4119" s="19"/>
    </row>
    <row r="4120">
      <c r="A4120" s="9"/>
      <c r="B4120" s="15"/>
      <c r="C4120" s="9"/>
      <c r="D4120" s="15"/>
      <c r="E4120" s="16"/>
      <c r="F4120" s="19"/>
      <c r="G4120" s="20"/>
      <c r="H4120" s="19"/>
    </row>
    <row r="4121">
      <c r="A4121" s="9"/>
      <c r="B4121" s="15"/>
      <c r="C4121" s="9"/>
      <c r="D4121" s="15"/>
      <c r="E4121" s="16"/>
      <c r="F4121" s="19"/>
      <c r="G4121" s="20"/>
      <c r="H4121" s="19"/>
    </row>
    <row r="4122">
      <c r="A4122" s="9"/>
      <c r="B4122" s="15"/>
      <c r="C4122" s="9"/>
      <c r="D4122" s="15"/>
      <c r="E4122" s="16"/>
      <c r="F4122" s="19"/>
      <c r="G4122" s="20"/>
      <c r="H4122" s="19"/>
    </row>
    <row r="4123">
      <c r="A4123" s="9"/>
      <c r="B4123" s="15"/>
      <c r="C4123" s="9"/>
      <c r="D4123" s="15"/>
      <c r="E4123" s="16"/>
      <c r="F4123" s="19"/>
      <c r="G4123" s="20"/>
      <c r="H4123" s="19"/>
    </row>
    <row r="4124">
      <c r="A4124" s="9"/>
      <c r="B4124" s="15"/>
      <c r="C4124" s="9"/>
      <c r="D4124" s="15"/>
      <c r="E4124" s="16"/>
      <c r="F4124" s="19"/>
      <c r="G4124" s="20"/>
      <c r="H4124" s="19"/>
    </row>
    <row r="4125">
      <c r="A4125" s="9"/>
      <c r="B4125" s="15"/>
      <c r="C4125" s="9"/>
      <c r="D4125" s="15"/>
      <c r="E4125" s="16"/>
      <c r="F4125" s="19"/>
      <c r="G4125" s="20"/>
      <c r="H4125" s="19"/>
    </row>
    <row r="4126">
      <c r="A4126" s="9"/>
      <c r="B4126" s="15"/>
      <c r="C4126" s="9"/>
      <c r="D4126" s="15"/>
      <c r="E4126" s="16"/>
      <c r="F4126" s="19"/>
      <c r="G4126" s="20"/>
      <c r="H4126" s="19"/>
    </row>
    <row r="4127">
      <c r="A4127" s="9"/>
      <c r="B4127" s="15"/>
      <c r="C4127" s="9"/>
      <c r="D4127" s="15"/>
      <c r="E4127" s="16"/>
      <c r="F4127" s="19"/>
      <c r="G4127" s="20"/>
      <c r="H4127" s="19"/>
    </row>
    <row r="4128">
      <c r="A4128" s="9"/>
      <c r="B4128" s="15"/>
      <c r="C4128" s="9"/>
      <c r="D4128" s="15"/>
      <c r="E4128" s="16"/>
      <c r="F4128" s="19"/>
      <c r="G4128" s="20"/>
      <c r="H4128" s="19"/>
    </row>
    <row r="4129">
      <c r="A4129" s="9"/>
      <c r="B4129" s="15"/>
      <c r="C4129" s="9"/>
      <c r="D4129" s="15"/>
      <c r="E4129" s="16"/>
      <c r="F4129" s="19"/>
      <c r="G4129" s="20"/>
      <c r="H4129" s="19"/>
    </row>
    <row r="4130">
      <c r="A4130" s="9"/>
      <c r="B4130" s="15"/>
      <c r="C4130" s="9"/>
      <c r="D4130" s="15"/>
      <c r="E4130" s="16"/>
      <c r="F4130" s="19"/>
      <c r="G4130" s="20"/>
      <c r="H4130" s="19"/>
    </row>
    <row r="4131">
      <c r="A4131" s="9"/>
      <c r="B4131" s="15"/>
      <c r="C4131" s="9"/>
      <c r="D4131" s="15"/>
      <c r="E4131" s="16"/>
      <c r="F4131" s="19"/>
      <c r="G4131" s="20"/>
      <c r="H4131" s="19"/>
    </row>
    <row r="4132">
      <c r="A4132" s="9"/>
      <c r="B4132" s="15"/>
      <c r="C4132" s="9"/>
      <c r="D4132" s="15"/>
      <c r="E4132" s="16"/>
      <c r="F4132" s="19"/>
      <c r="G4132" s="20"/>
      <c r="H4132" s="19"/>
    </row>
    <row r="4133">
      <c r="A4133" s="9"/>
      <c r="B4133" s="15"/>
      <c r="C4133" s="9"/>
      <c r="D4133" s="15"/>
      <c r="E4133" s="16"/>
      <c r="F4133" s="19"/>
      <c r="G4133" s="20"/>
      <c r="H4133" s="19"/>
    </row>
    <row r="4134">
      <c r="A4134" s="9"/>
      <c r="B4134" s="15"/>
      <c r="C4134" s="9"/>
      <c r="D4134" s="15"/>
      <c r="E4134" s="16"/>
      <c r="F4134" s="19"/>
      <c r="G4134" s="20"/>
      <c r="H4134" s="19"/>
    </row>
    <row r="4135">
      <c r="A4135" s="9"/>
      <c r="B4135" s="15"/>
      <c r="C4135" s="9"/>
      <c r="D4135" s="15"/>
      <c r="E4135" s="16"/>
      <c r="F4135" s="19"/>
      <c r="G4135" s="20"/>
      <c r="H4135" s="19"/>
    </row>
    <row r="4136">
      <c r="A4136" s="9"/>
      <c r="B4136" s="15"/>
      <c r="C4136" s="9"/>
      <c r="D4136" s="15"/>
      <c r="E4136" s="16"/>
      <c r="F4136" s="19"/>
      <c r="G4136" s="20"/>
      <c r="H4136" s="19"/>
    </row>
    <row r="4137">
      <c r="A4137" s="9"/>
      <c r="B4137" s="15"/>
      <c r="C4137" s="9"/>
      <c r="D4137" s="15"/>
      <c r="E4137" s="16"/>
      <c r="F4137" s="19"/>
      <c r="G4137" s="20"/>
      <c r="H4137" s="19"/>
    </row>
    <row r="4138">
      <c r="A4138" s="9"/>
      <c r="B4138" s="15"/>
      <c r="C4138" s="9"/>
      <c r="D4138" s="15"/>
      <c r="E4138" s="16"/>
      <c r="F4138" s="19"/>
      <c r="G4138" s="20"/>
      <c r="H4138" s="19"/>
    </row>
    <row r="4139">
      <c r="A4139" s="9"/>
      <c r="B4139" s="15"/>
      <c r="C4139" s="9"/>
      <c r="D4139" s="15"/>
      <c r="E4139" s="16"/>
      <c r="F4139" s="19"/>
      <c r="G4139" s="20"/>
      <c r="H4139" s="19"/>
    </row>
    <row r="4140">
      <c r="A4140" s="9"/>
      <c r="B4140" s="15"/>
      <c r="C4140" s="9"/>
      <c r="D4140" s="15"/>
      <c r="E4140" s="16"/>
      <c r="F4140" s="19"/>
      <c r="G4140" s="20"/>
      <c r="H4140" s="19"/>
    </row>
    <row r="4141">
      <c r="A4141" s="9"/>
      <c r="B4141" s="15"/>
      <c r="C4141" s="9"/>
      <c r="D4141" s="15"/>
      <c r="E4141" s="16"/>
      <c r="F4141" s="19"/>
      <c r="G4141" s="20"/>
      <c r="H4141" s="19"/>
    </row>
    <row r="4142">
      <c r="A4142" s="9"/>
      <c r="B4142" s="15"/>
      <c r="C4142" s="9"/>
      <c r="D4142" s="15"/>
      <c r="E4142" s="16"/>
      <c r="F4142" s="19"/>
      <c r="G4142" s="20"/>
      <c r="H4142" s="19"/>
    </row>
    <row r="4143">
      <c r="A4143" s="9"/>
      <c r="B4143" s="15"/>
      <c r="C4143" s="9"/>
      <c r="D4143" s="15"/>
      <c r="E4143" s="16"/>
      <c r="F4143" s="19"/>
      <c r="G4143" s="20"/>
      <c r="H4143" s="19"/>
    </row>
    <row r="4144">
      <c r="A4144" s="9"/>
      <c r="B4144" s="15"/>
      <c r="C4144" s="9"/>
      <c r="D4144" s="15"/>
      <c r="E4144" s="16"/>
      <c r="F4144" s="19"/>
      <c r="G4144" s="20"/>
      <c r="H4144" s="19"/>
    </row>
    <row r="4145">
      <c r="A4145" s="9"/>
      <c r="B4145" s="15"/>
      <c r="C4145" s="9"/>
      <c r="D4145" s="15"/>
      <c r="E4145" s="16"/>
      <c r="F4145" s="19"/>
      <c r="G4145" s="20"/>
      <c r="H4145" s="19"/>
    </row>
    <row r="4146">
      <c r="A4146" s="9"/>
      <c r="B4146" s="15"/>
      <c r="C4146" s="9"/>
      <c r="D4146" s="15"/>
      <c r="E4146" s="16"/>
      <c r="F4146" s="19"/>
      <c r="G4146" s="20"/>
      <c r="H4146" s="19"/>
    </row>
    <row r="4147">
      <c r="A4147" s="9"/>
      <c r="B4147" s="15"/>
      <c r="C4147" s="9"/>
      <c r="D4147" s="15"/>
      <c r="E4147" s="16"/>
      <c r="F4147" s="19"/>
      <c r="G4147" s="20"/>
      <c r="H4147" s="19"/>
    </row>
    <row r="4148">
      <c r="A4148" s="9"/>
      <c r="B4148" s="15"/>
      <c r="C4148" s="9"/>
      <c r="D4148" s="15"/>
      <c r="E4148" s="16"/>
      <c r="F4148" s="19"/>
      <c r="G4148" s="20"/>
      <c r="H4148" s="19"/>
    </row>
    <row r="4149">
      <c r="A4149" s="9"/>
      <c r="B4149" s="15"/>
      <c r="C4149" s="9"/>
      <c r="D4149" s="15"/>
      <c r="E4149" s="16"/>
      <c r="F4149" s="19"/>
      <c r="G4149" s="20"/>
      <c r="H4149" s="19"/>
    </row>
    <row r="4150">
      <c r="A4150" s="9"/>
      <c r="B4150" s="15"/>
      <c r="C4150" s="9"/>
      <c r="D4150" s="15"/>
      <c r="E4150" s="16"/>
      <c r="F4150" s="19"/>
      <c r="G4150" s="20"/>
      <c r="H4150" s="19"/>
    </row>
    <row r="4151">
      <c r="A4151" s="9"/>
      <c r="B4151" s="15"/>
      <c r="C4151" s="9"/>
      <c r="D4151" s="15"/>
      <c r="E4151" s="16"/>
      <c r="F4151" s="19"/>
      <c r="G4151" s="20"/>
      <c r="H4151" s="19"/>
    </row>
    <row r="4152">
      <c r="A4152" s="9"/>
      <c r="B4152" s="15"/>
      <c r="C4152" s="9"/>
      <c r="D4152" s="15"/>
      <c r="E4152" s="16"/>
      <c r="F4152" s="19"/>
      <c r="G4152" s="20"/>
      <c r="H4152" s="19"/>
    </row>
    <row r="4153">
      <c r="A4153" s="9"/>
      <c r="B4153" s="15"/>
      <c r="C4153" s="9"/>
      <c r="D4153" s="15"/>
      <c r="E4153" s="16"/>
      <c r="F4153" s="19"/>
      <c r="G4153" s="20"/>
      <c r="H4153" s="19"/>
    </row>
    <row r="4154">
      <c r="A4154" s="9"/>
      <c r="B4154" s="15"/>
      <c r="C4154" s="9"/>
      <c r="D4154" s="15"/>
      <c r="E4154" s="16"/>
      <c r="F4154" s="19"/>
      <c r="G4154" s="20"/>
      <c r="H4154" s="19"/>
    </row>
    <row r="4155">
      <c r="A4155" s="9"/>
      <c r="B4155" s="15"/>
      <c r="C4155" s="9"/>
      <c r="D4155" s="15"/>
      <c r="E4155" s="16"/>
      <c r="F4155" s="19"/>
      <c r="G4155" s="20"/>
      <c r="H4155" s="19"/>
    </row>
    <row r="4156">
      <c r="A4156" s="9"/>
      <c r="B4156" s="15"/>
      <c r="C4156" s="9"/>
      <c r="D4156" s="15"/>
      <c r="E4156" s="16"/>
      <c r="F4156" s="19"/>
      <c r="G4156" s="20"/>
      <c r="H4156" s="19"/>
    </row>
    <row r="4157">
      <c r="A4157" s="9"/>
      <c r="B4157" s="15"/>
      <c r="C4157" s="9"/>
      <c r="D4157" s="15"/>
      <c r="E4157" s="16"/>
      <c r="F4157" s="19"/>
      <c r="G4157" s="20"/>
      <c r="H4157" s="19"/>
    </row>
    <row r="4158">
      <c r="A4158" s="9"/>
      <c r="B4158" s="15"/>
      <c r="C4158" s="9"/>
      <c r="D4158" s="15"/>
      <c r="E4158" s="16"/>
      <c r="F4158" s="19"/>
      <c r="G4158" s="20"/>
      <c r="H4158" s="19"/>
    </row>
    <row r="4159">
      <c r="A4159" s="9"/>
      <c r="B4159" s="15"/>
      <c r="C4159" s="9"/>
      <c r="D4159" s="15"/>
      <c r="E4159" s="16"/>
      <c r="F4159" s="19"/>
      <c r="G4159" s="20"/>
      <c r="H4159" s="19"/>
    </row>
    <row r="4160">
      <c r="A4160" s="9"/>
      <c r="B4160" s="15"/>
      <c r="C4160" s="9"/>
      <c r="D4160" s="15"/>
      <c r="E4160" s="16"/>
      <c r="F4160" s="19"/>
      <c r="G4160" s="20"/>
      <c r="H4160" s="19"/>
    </row>
    <row r="4161">
      <c r="A4161" s="9"/>
      <c r="B4161" s="15"/>
      <c r="C4161" s="9"/>
      <c r="D4161" s="15"/>
      <c r="E4161" s="16"/>
      <c r="F4161" s="19"/>
      <c r="G4161" s="20"/>
      <c r="H4161" s="19"/>
    </row>
    <row r="4162">
      <c r="A4162" s="9"/>
      <c r="B4162" s="15"/>
      <c r="C4162" s="9"/>
      <c r="D4162" s="15"/>
      <c r="E4162" s="16"/>
      <c r="F4162" s="19"/>
      <c r="G4162" s="20"/>
      <c r="H4162" s="19"/>
    </row>
    <row r="4163">
      <c r="A4163" s="9"/>
      <c r="B4163" s="15"/>
      <c r="C4163" s="9"/>
      <c r="D4163" s="15"/>
      <c r="E4163" s="16"/>
      <c r="F4163" s="19"/>
      <c r="G4163" s="20"/>
      <c r="H4163" s="19"/>
    </row>
    <row r="4164">
      <c r="A4164" s="9"/>
      <c r="B4164" s="15"/>
      <c r="C4164" s="9"/>
      <c r="D4164" s="15"/>
      <c r="E4164" s="16"/>
      <c r="F4164" s="19"/>
      <c r="G4164" s="20"/>
      <c r="H4164" s="19"/>
    </row>
    <row r="4165">
      <c r="A4165" s="9"/>
      <c r="B4165" s="15"/>
      <c r="C4165" s="9"/>
      <c r="D4165" s="15"/>
      <c r="E4165" s="16"/>
      <c r="F4165" s="19"/>
      <c r="G4165" s="20"/>
      <c r="H4165" s="19"/>
    </row>
    <row r="4166">
      <c r="A4166" s="9"/>
      <c r="B4166" s="15"/>
      <c r="C4166" s="9"/>
      <c r="D4166" s="15"/>
      <c r="E4166" s="16"/>
      <c r="F4166" s="19"/>
      <c r="G4166" s="20"/>
      <c r="H4166" s="19"/>
    </row>
    <row r="4167">
      <c r="A4167" s="9"/>
      <c r="B4167" s="15"/>
      <c r="C4167" s="9"/>
      <c r="D4167" s="15"/>
      <c r="E4167" s="16"/>
      <c r="F4167" s="19"/>
      <c r="G4167" s="20"/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qref="A22">
      <formula1>"Standard Method ABV:,Alternate Method ABV:,UK HMRC Method ABV:,Wine Method ABV:"</formula1>
    </dataValidation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44484.58118586805</v>
      </c>
      <c r="B2" s="50">
        <v>44484.7060166898</v>
      </c>
      <c r="C2" s="51">
        <v>1.055</v>
      </c>
      <c r="D2" s="51">
        <v>70.0</v>
      </c>
      <c r="E2" s="52" t="s">
        <v>25</v>
      </c>
      <c r="F2" s="52" t="s">
        <v>26</v>
      </c>
      <c r="G2" s="53"/>
    </row>
    <row r="3">
      <c r="A3" s="49">
        <v>44484.588429571755</v>
      </c>
      <c r="B3" s="50">
        <v>44484.7033131134</v>
      </c>
      <c r="C3" s="51">
        <v>1.055</v>
      </c>
      <c r="D3" s="51">
        <v>70.0</v>
      </c>
      <c r="E3" s="52" t="s">
        <v>25</v>
      </c>
      <c r="F3" s="52" t="s">
        <v>26</v>
      </c>
      <c r="G3" s="53"/>
    </row>
    <row r="4">
      <c r="A4" s="49">
        <v>44484.58876402778</v>
      </c>
      <c r="B4" s="50">
        <v>44484.7137385532</v>
      </c>
      <c r="C4" s="51">
        <v>1.055</v>
      </c>
      <c r="D4" s="51">
        <v>70.0</v>
      </c>
      <c r="E4" s="52" t="s">
        <v>25</v>
      </c>
      <c r="F4" s="52" t="s">
        <v>26</v>
      </c>
      <c r="G4" s="53"/>
    </row>
    <row r="5">
      <c r="A5" s="49">
        <v>44484.59922267361</v>
      </c>
      <c r="B5" s="50">
        <v>44484.724195</v>
      </c>
      <c r="C5" s="51">
        <v>1.055</v>
      </c>
      <c r="D5" s="51">
        <v>70.0</v>
      </c>
      <c r="E5" s="52" t="s">
        <v>25</v>
      </c>
      <c r="F5" s="52" t="s">
        <v>26</v>
      </c>
      <c r="G5" s="53"/>
    </row>
    <row r="6">
      <c r="A6" s="49">
        <v>44484.60964027778</v>
      </c>
      <c r="B6" s="50">
        <v>44484.7346170023</v>
      </c>
      <c r="C6" s="51">
        <v>1.055</v>
      </c>
      <c r="D6" s="51">
        <v>69.0</v>
      </c>
      <c r="E6" s="52" t="s">
        <v>25</v>
      </c>
      <c r="F6" s="52" t="s">
        <v>26</v>
      </c>
      <c r="G6" s="53"/>
    </row>
    <row r="7">
      <c r="A7" s="49">
        <v>44484.62007236111</v>
      </c>
      <c r="B7" s="50">
        <v>44484.7450496296</v>
      </c>
      <c r="C7" s="51">
        <v>1.055</v>
      </c>
      <c r="D7" s="51">
        <v>68.0</v>
      </c>
      <c r="E7" s="52" t="s">
        <v>25</v>
      </c>
      <c r="F7" s="52" t="s">
        <v>26</v>
      </c>
      <c r="G7" s="53"/>
    </row>
    <row r="8">
      <c r="A8" s="49">
        <v>44484.63049408565</v>
      </c>
      <c r="B8" s="50">
        <v>44484.7554702662</v>
      </c>
      <c r="C8" s="51">
        <v>1.055</v>
      </c>
      <c r="D8" s="51">
        <v>67.0</v>
      </c>
      <c r="E8" s="52" t="s">
        <v>25</v>
      </c>
      <c r="F8" s="52" t="s">
        <v>26</v>
      </c>
      <c r="G8" s="53"/>
    </row>
    <row r="9">
      <c r="A9" s="49">
        <v>44484.64092431713</v>
      </c>
      <c r="B9" s="50">
        <v>44484.7659025925</v>
      </c>
      <c r="C9" s="51">
        <v>1.054</v>
      </c>
      <c r="D9" s="51">
        <v>66.0</v>
      </c>
      <c r="E9" s="52" t="s">
        <v>25</v>
      </c>
      <c r="F9" s="52" t="s">
        <v>26</v>
      </c>
      <c r="G9" s="53"/>
    </row>
    <row r="10">
      <c r="A10" s="49">
        <v>44484.65135018519</v>
      </c>
      <c r="B10" s="50">
        <v>44484.7763248726</v>
      </c>
      <c r="C10" s="51">
        <v>1.054</v>
      </c>
      <c r="D10" s="51">
        <v>64.0</v>
      </c>
      <c r="E10" s="52" t="s">
        <v>25</v>
      </c>
      <c r="F10" s="52" t="s">
        <v>26</v>
      </c>
      <c r="G10" s="53"/>
    </row>
    <row r="11">
      <c r="A11" s="49">
        <v>44484.66176994213</v>
      </c>
      <c r="B11" s="50">
        <v>44484.7867473611</v>
      </c>
      <c r="C11" s="51">
        <v>1.054</v>
      </c>
      <c r="D11" s="51">
        <v>63.0</v>
      </c>
      <c r="E11" s="52" t="s">
        <v>25</v>
      </c>
      <c r="F11" s="52" t="s">
        <v>26</v>
      </c>
      <c r="G11" s="53"/>
    </row>
    <row r="12">
      <c r="A12" s="49">
        <v>44484.67219302083</v>
      </c>
      <c r="B12" s="50">
        <v>44484.7971679166</v>
      </c>
      <c r="C12" s="51">
        <v>1.054</v>
      </c>
      <c r="D12" s="51">
        <v>62.0</v>
      </c>
      <c r="E12" s="52" t="s">
        <v>25</v>
      </c>
      <c r="F12" s="52" t="s">
        <v>26</v>
      </c>
      <c r="G12" s="53"/>
    </row>
    <row r="13">
      <c r="A13" s="49">
        <v>44484.682618692124</v>
      </c>
      <c r="B13" s="50">
        <v>44484.8075914814</v>
      </c>
      <c r="C13" s="51">
        <v>1.054</v>
      </c>
      <c r="D13" s="51">
        <v>61.0</v>
      </c>
      <c r="E13" s="52" t="s">
        <v>25</v>
      </c>
      <c r="F13" s="52" t="s">
        <v>26</v>
      </c>
      <c r="G13" s="53"/>
    </row>
    <row r="14">
      <c r="A14" s="49">
        <v>44484.693038391204</v>
      </c>
      <c r="B14" s="50">
        <v>44484.8180135879</v>
      </c>
      <c r="C14" s="51">
        <v>1.054</v>
      </c>
      <c r="D14" s="51">
        <v>61.0</v>
      </c>
      <c r="E14" s="52" t="s">
        <v>25</v>
      </c>
      <c r="F14" s="52" t="s">
        <v>26</v>
      </c>
      <c r="G14" s="53"/>
    </row>
    <row r="15">
      <c r="A15" s="49">
        <v>44484.70346833333</v>
      </c>
      <c r="B15" s="50">
        <v>44484.8284458217</v>
      </c>
      <c r="C15" s="51">
        <v>1.054</v>
      </c>
      <c r="D15" s="51">
        <v>61.0</v>
      </c>
      <c r="E15" s="52" t="s">
        <v>25</v>
      </c>
      <c r="F15" s="52" t="s">
        <v>26</v>
      </c>
      <c r="G15" s="53"/>
    </row>
    <row r="16">
      <c r="A16" s="49">
        <v>44484.713915914355</v>
      </c>
      <c r="B16" s="50">
        <v>44484.8388783449</v>
      </c>
      <c r="C16" s="51">
        <v>1.054</v>
      </c>
      <c r="D16" s="51">
        <v>61.0</v>
      </c>
      <c r="E16" s="52" t="s">
        <v>25</v>
      </c>
      <c r="F16" s="52" t="s">
        <v>26</v>
      </c>
      <c r="G16" s="53"/>
    </row>
    <row r="17">
      <c r="A17" s="49">
        <v>44484.72431712963</v>
      </c>
      <c r="B17" s="50">
        <v>44484.849299537</v>
      </c>
      <c r="C17" s="51">
        <v>1.055</v>
      </c>
      <c r="D17" s="51">
        <v>61.0</v>
      </c>
      <c r="E17" s="52" t="s">
        <v>25</v>
      </c>
      <c r="F17" s="52" t="s">
        <v>26</v>
      </c>
      <c r="G17" s="53"/>
    </row>
    <row r="18">
      <c r="A18" s="49">
        <v>44484.73474922453</v>
      </c>
      <c r="B18" s="50">
        <v>44484.8597210763</v>
      </c>
      <c r="C18" s="51">
        <v>1.054</v>
      </c>
      <c r="D18" s="51">
        <v>61.0</v>
      </c>
      <c r="E18" s="52" t="s">
        <v>25</v>
      </c>
      <c r="F18" s="52" t="s">
        <v>26</v>
      </c>
      <c r="G18" s="53"/>
    </row>
    <row r="19">
      <c r="A19" s="49">
        <v>44484.74516719907</v>
      </c>
      <c r="B19" s="50">
        <v>44484.8701408564</v>
      </c>
      <c r="C19" s="51">
        <v>1.054</v>
      </c>
      <c r="D19" s="51">
        <v>61.0</v>
      </c>
      <c r="E19" s="52" t="s">
        <v>25</v>
      </c>
      <c r="F19" s="52" t="s">
        <v>26</v>
      </c>
      <c r="G19" s="53"/>
    </row>
    <row r="20">
      <c r="A20" s="49">
        <v>44484.755597870375</v>
      </c>
      <c r="B20" s="50">
        <v>44484.880575324</v>
      </c>
      <c r="C20" s="51">
        <v>1.054</v>
      </c>
      <c r="D20" s="51">
        <v>61.0</v>
      </c>
      <c r="E20" s="52" t="s">
        <v>25</v>
      </c>
      <c r="F20" s="52" t="s">
        <v>26</v>
      </c>
      <c r="G20" s="53"/>
    </row>
    <row r="21">
      <c r="A21" s="49">
        <v>44484.766018634255</v>
      </c>
      <c r="B21" s="50">
        <v>44484.8909955092</v>
      </c>
      <c r="C21" s="51">
        <v>1.054</v>
      </c>
      <c r="D21" s="51">
        <v>61.0</v>
      </c>
      <c r="E21" s="52" t="s">
        <v>25</v>
      </c>
      <c r="F21" s="52" t="s">
        <v>26</v>
      </c>
      <c r="G21" s="53"/>
    </row>
    <row r="22">
      <c r="A22" s="49">
        <v>44484.776447337965</v>
      </c>
      <c r="B22" s="50">
        <v>44484.9014288657</v>
      </c>
      <c r="C22" s="51">
        <v>1.054</v>
      </c>
      <c r="D22" s="51">
        <v>61.0</v>
      </c>
      <c r="E22" s="52" t="s">
        <v>25</v>
      </c>
      <c r="F22" s="52" t="s">
        <v>26</v>
      </c>
      <c r="G22" s="53"/>
    </row>
    <row r="23">
      <c r="A23" s="49">
        <v>44484.78687667824</v>
      </c>
      <c r="B23" s="50">
        <v>44484.9118494907</v>
      </c>
      <c r="C23" s="51">
        <v>1.054</v>
      </c>
      <c r="D23" s="51">
        <v>61.0</v>
      </c>
      <c r="E23" s="52" t="s">
        <v>25</v>
      </c>
      <c r="F23" s="52" t="s">
        <v>26</v>
      </c>
      <c r="G23" s="53"/>
    </row>
    <row r="24">
      <c r="A24" s="49">
        <v>44484.797309456015</v>
      </c>
      <c r="B24" s="50">
        <v>44484.9222816203</v>
      </c>
      <c r="C24" s="51">
        <v>1.054</v>
      </c>
      <c r="D24" s="51">
        <v>61.0</v>
      </c>
      <c r="E24" s="52" t="s">
        <v>25</v>
      </c>
      <c r="F24" s="52" t="s">
        <v>26</v>
      </c>
      <c r="G24" s="53"/>
    </row>
    <row r="25">
      <c r="A25" s="49">
        <v>44484.8077434838</v>
      </c>
      <c r="B25" s="50">
        <v>44484.932713449</v>
      </c>
      <c r="C25" s="51">
        <v>1.054</v>
      </c>
      <c r="D25" s="51">
        <v>61.0</v>
      </c>
      <c r="E25" s="52" t="s">
        <v>25</v>
      </c>
      <c r="F25" s="52" t="s">
        <v>26</v>
      </c>
      <c r="G25" s="53"/>
    </row>
    <row r="26">
      <c r="A26" s="49">
        <v>44484.818161284726</v>
      </c>
      <c r="B26" s="50">
        <v>44484.9431352662</v>
      </c>
      <c r="C26" s="51">
        <v>1.054</v>
      </c>
      <c r="D26" s="51">
        <v>62.0</v>
      </c>
      <c r="E26" s="52" t="s">
        <v>25</v>
      </c>
      <c r="F26" s="52" t="s">
        <v>26</v>
      </c>
      <c r="G26" s="53"/>
    </row>
    <row r="27">
      <c r="A27" s="49">
        <v>44484.82858094908</v>
      </c>
      <c r="B27" s="50">
        <v>44484.9535548726</v>
      </c>
      <c r="C27" s="51">
        <v>1.054</v>
      </c>
      <c r="D27" s="51">
        <v>62.0</v>
      </c>
      <c r="E27" s="52" t="s">
        <v>25</v>
      </c>
      <c r="F27" s="52" t="s">
        <v>26</v>
      </c>
      <c r="G27" s="53"/>
    </row>
    <row r="28">
      <c r="A28" s="49">
        <v>44484.83899880787</v>
      </c>
      <c r="B28" s="50">
        <v>44484.9639777083</v>
      </c>
      <c r="C28" s="51">
        <v>1.054</v>
      </c>
      <c r="D28" s="51">
        <v>62.0</v>
      </c>
      <c r="E28" s="52" t="s">
        <v>25</v>
      </c>
      <c r="F28" s="52" t="s">
        <v>26</v>
      </c>
      <c r="G28" s="53"/>
    </row>
    <row r="29">
      <c r="A29" s="49">
        <v>44484.84943833333</v>
      </c>
      <c r="B29" s="50">
        <v>44484.9744101851</v>
      </c>
      <c r="C29" s="51">
        <v>1.054</v>
      </c>
      <c r="D29" s="51">
        <v>62.0</v>
      </c>
      <c r="E29" s="52" t="s">
        <v>25</v>
      </c>
      <c r="F29" s="52" t="s">
        <v>26</v>
      </c>
      <c r="G29" s="53"/>
    </row>
    <row r="30">
      <c r="A30" s="49">
        <v>44484.85985857639</v>
      </c>
      <c r="B30" s="50">
        <v>44484.9848314467</v>
      </c>
      <c r="C30" s="51">
        <v>1.054</v>
      </c>
      <c r="D30" s="51">
        <v>62.0</v>
      </c>
      <c r="E30" s="52" t="s">
        <v>25</v>
      </c>
      <c r="F30" s="52" t="s">
        <v>26</v>
      </c>
      <c r="G30" s="53"/>
    </row>
    <row r="31">
      <c r="A31" s="49">
        <v>44484.870301724535</v>
      </c>
      <c r="B31" s="50">
        <v>44484.9952745486</v>
      </c>
      <c r="C31" s="51">
        <v>1.054</v>
      </c>
      <c r="D31" s="51">
        <v>62.0</v>
      </c>
      <c r="E31" s="52" t="s">
        <v>25</v>
      </c>
      <c r="F31" s="52" t="s">
        <v>26</v>
      </c>
      <c r="G31" s="53"/>
    </row>
    <row r="32">
      <c r="A32" s="49">
        <v>44484.88073414352</v>
      </c>
      <c r="B32" s="50">
        <v>44485.0057067592</v>
      </c>
      <c r="C32" s="51">
        <v>1.054</v>
      </c>
      <c r="D32" s="51">
        <v>62.0</v>
      </c>
      <c r="E32" s="52" t="s">
        <v>25</v>
      </c>
      <c r="F32" s="52" t="s">
        <v>26</v>
      </c>
      <c r="G32" s="53"/>
    </row>
    <row r="33">
      <c r="A33" s="49">
        <v>44484.891165486115</v>
      </c>
      <c r="B33" s="50">
        <v>44485.0161399189</v>
      </c>
      <c r="C33" s="51">
        <v>1.054</v>
      </c>
      <c r="D33" s="51">
        <v>62.0</v>
      </c>
      <c r="E33" s="52" t="s">
        <v>25</v>
      </c>
      <c r="F33" s="52" t="s">
        <v>26</v>
      </c>
      <c r="G33" s="53"/>
    </row>
    <row r="34">
      <c r="A34" s="49">
        <v>44484.90157756944</v>
      </c>
      <c r="B34" s="50">
        <v>44485.026562743</v>
      </c>
      <c r="C34" s="51">
        <v>1.054</v>
      </c>
      <c r="D34" s="51">
        <v>62.0</v>
      </c>
      <c r="E34" s="52" t="s">
        <v>25</v>
      </c>
      <c r="F34" s="52" t="s">
        <v>26</v>
      </c>
      <c r="G34" s="53"/>
    </row>
    <row r="35">
      <c r="A35" s="49">
        <v>44484.912013078705</v>
      </c>
      <c r="B35" s="50">
        <v>44485.0369846527</v>
      </c>
      <c r="C35" s="51">
        <v>1.054</v>
      </c>
      <c r="D35" s="51">
        <v>62.0</v>
      </c>
      <c r="E35" s="52" t="s">
        <v>25</v>
      </c>
      <c r="F35" s="52" t="s">
        <v>26</v>
      </c>
      <c r="G35" s="53"/>
    </row>
    <row r="36">
      <c r="A36" s="49">
        <v>44484.92243628472</v>
      </c>
      <c r="B36" s="50">
        <v>44485.0474058101</v>
      </c>
      <c r="C36" s="51">
        <v>1.054</v>
      </c>
      <c r="D36" s="51">
        <v>62.0</v>
      </c>
      <c r="E36" s="52" t="s">
        <v>25</v>
      </c>
      <c r="F36" s="52" t="s">
        <v>26</v>
      </c>
      <c r="G36" s="53"/>
    </row>
    <row r="37">
      <c r="A37" s="49">
        <v>44484.93287089121</v>
      </c>
      <c r="B37" s="50">
        <v>44485.05785</v>
      </c>
      <c r="C37" s="51">
        <v>1.054</v>
      </c>
      <c r="D37" s="51">
        <v>62.0</v>
      </c>
      <c r="E37" s="52" t="s">
        <v>25</v>
      </c>
      <c r="F37" s="52" t="s">
        <v>26</v>
      </c>
      <c r="G37" s="53"/>
    </row>
    <row r="38">
      <c r="A38" s="49">
        <v>44484.94331137731</v>
      </c>
      <c r="B38" s="50">
        <v>44485.0682852893</v>
      </c>
      <c r="C38" s="51">
        <v>1.054</v>
      </c>
      <c r="D38" s="51">
        <v>62.0</v>
      </c>
      <c r="E38" s="52" t="s">
        <v>25</v>
      </c>
      <c r="F38" s="52" t="s">
        <v>26</v>
      </c>
      <c r="G38" s="53"/>
    </row>
    <row r="39">
      <c r="A39" s="49">
        <v>44484.953743935184</v>
      </c>
      <c r="B39" s="50">
        <v>44485.0787190046</v>
      </c>
      <c r="C39" s="51">
        <v>1.054</v>
      </c>
      <c r="D39" s="51">
        <v>62.0</v>
      </c>
      <c r="E39" s="52" t="s">
        <v>25</v>
      </c>
      <c r="F39" s="52" t="s">
        <v>26</v>
      </c>
      <c r="G39" s="53"/>
    </row>
    <row r="40">
      <c r="A40" s="49">
        <v>44484.964163240744</v>
      </c>
      <c r="B40" s="50">
        <v>44485.0891393055</v>
      </c>
      <c r="C40" s="51">
        <v>1.054</v>
      </c>
      <c r="D40" s="51">
        <v>62.0</v>
      </c>
      <c r="E40" s="52" t="s">
        <v>25</v>
      </c>
      <c r="F40" s="52" t="s">
        <v>26</v>
      </c>
      <c r="G40" s="53"/>
    </row>
    <row r="41">
      <c r="A41" s="49">
        <v>44484.97457710648</v>
      </c>
      <c r="B41" s="50">
        <v>44485.0995604861</v>
      </c>
      <c r="C41" s="51">
        <v>1.054</v>
      </c>
      <c r="D41" s="51">
        <v>62.0</v>
      </c>
      <c r="E41" s="52" t="s">
        <v>25</v>
      </c>
      <c r="F41" s="52" t="s">
        <v>26</v>
      </c>
      <c r="G41" s="53"/>
    </row>
    <row r="42">
      <c r="A42" s="49">
        <v>44484.98502108797</v>
      </c>
      <c r="B42" s="50">
        <v>44485.1099812268</v>
      </c>
      <c r="C42" s="51">
        <v>1.054</v>
      </c>
      <c r="D42" s="51">
        <v>62.0</v>
      </c>
      <c r="E42" s="52" t="s">
        <v>25</v>
      </c>
      <c r="F42" s="52" t="s">
        <v>26</v>
      </c>
      <c r="G42" s="53"/>
    </row>
    <row r="43">
      <c r="A43" s="49">
        <v>44484.995464120366</v>
      </c>
      <c r="B43" s="50">
        <v>44485.1204386574</v>
      </c>
      <c r="C43" s="51">
        <v>1.054</v>
      </c>
      <c r="D43" s="51">
        <v>62.0</v>
      </c>
      <c r="E43" s="52" t="s">
        <v>25</v>
      </c>
      <c r="F43" s="52" t="s">
        <v>26</v>
      </c>
      <c r="G43" s="53"/>
    </row>
    <row r="44">
      <c r="A44" s="49">
        <v>44485.005882384256</v>
      </c>
      <c r="B44" s="50">
        <v>44485.1308598958</v>
      </c>
      <c r="C44" s="51">
        <v>1.054</v>
      </c>
      <c r="D44" s="51">
        <v>62.0</v>
      </c>
      <c r="E44" s="52" t="s">
        <v>25</v>
      </c>
      <c r="F44" s="52" t="s">
        <v>26</v>
      </c>
      <c r="G44" s="53"/>
    </row>
    <row r="45">
      <c r="A45" s="49">
        <v>44485.01629890046</v>
      </c>
      <c r="B45" s="50">
        <v>44485.1412809722</v>
      </c>
      <c r="C45" s="51">
        <v>1.054</v>
      </c>
      <c r="D45" s="51">
        <v>62.0</v>
      </c>
      <c r="E45" s="52" t="s">
        <v>25</v>
      </c>
      <c r="F45" s="52" t="s">
        <v>26</v>
      </c>
      <c r="G45" s="53"/>
    </row>
    <row r="46">
      <c r="A46" s="49">
        <v>44485.0267297338</v>
      </c>
      <c r="B46" s="50">
        <v>44485.1517029976</v>
      </c>
      <c r="C46" s="51">
        <v>1.054</v>
      </c>
      <c r="D46" s="51">
        <v>62.0</v>
      </c>
      <c r="E46" s="52" t="s">
        <v>25</v>
      </c>
      <c r="F46" s="52" t="s">
        <v>26</v>
      </c>
      <c r="G46" s="53"/>
    </row>
    <row r="47">
      <c r="A47" s="49">
        <v>44485.037146331015</v>
      </c>
      <c r="B47" s="50">
        <v>44485.1621240046</v>
      </c>
      <c r="C47" s="51">
        <v>1.054</v>
      </c>
      <c r="D47" s="51">
        <v>62.0</v>
      </c>
      <c r="E47" s="52" t="s">
        <v>25</v>
      </c>
      <c r="F47" s="52" t="s">
        <v>26</v>
      </c>
      <c r="G47" s="53"/>
    </row>
    <row r="48">
      <c r="A48" s="49">
        <v>44485.047576620374</v>
      </c>
      <c r="B48" s="50">
        <v>44485.1725560648</v>
      </c>
      <c r="C48" s="51">
        <v>1.054</v>
      </c>
      <c r="D48" s="51">
        <v>62.0</v>
      </c>
      <c r="E48" s="52" t="s">
        <v>25</v>
      </c>
      <c r="F48" s="52" t="s">
        <v>26</v>
      </c>
      <c r="G48" s="53"/>
    </row>
    <row r="49">
      <c r="A49" s="49">
        <v>44485.05799734953</v>
      </c>
      <c r="B49" s="50">
        <v>44485.1829770023</v>
      </c>
      <c r="C49" s="51">
        <v>1.054</v>
      </c>
      <c r="D49" s="51">
        <v>62.0</v>
      </c>
      <c r="E49" s="52" t="s">
        <v>25</v>
      </c>
      <c r="F49" s="52" t="s">
        <v>26</v>
      </c>
      <c r="G49" s="53"/>
    </row>
    <row r="50">
      <c r="A50" s="49">
        <v>44485.068423958335</v>
      </c>
      <c r="B50" s="50">
        <v>44485.193397581</v>
      </c>
      <c r="C50" s="51">
        <v>1.054</v>
      </c>
      <c r="D50" s="51">
        <v>62.0</v>
      </c>
      <c r="E50" s="52" t="s">
        <v>25</v>
      </c>
      <c r="F50" s="52" t="s">
        <v>26</v>
      </c>
      <c r="G50" s="53"/>
    </row>
    <row r="51">
      <c r="A51" s="49">
        <v>44485.07885480324</v>
      </c>
      <c r="B51" s="50">
        <v>44485.2038304398</v>
      </c>
      <c r="C51" s="51">
        <v>1.054</v>
      </c>
      <c r="D51" s="51">
        <v>63.0</v>
      </c>
      <c r="E51" s="52" t="s">
        <v>25</v>
      </c>
      <c r="F51" s="52" t="s">
        <v>26</v>
      </c>
      <c r="G51" s="53"/>
    </row>
    <row r="52">
      <c r="A52" s="49">
        <v>44485.08928246528</v>
      </c>
      <c r="B52" s="50">
        <v>44485.2142501967</v>
      </c>
      <c r="C52" s="51">
        <v>1.054</v>
      </c>
      <c r="D52" s="51">
        <v>63.0</v>
      </c>
      <c r="E52" s="52" t="s">
        <v>25</v>
      </c>
      <c r="F52" s="52" t="s">
        <v>26</v>
      </c>
      <c r="G52" s="53"/>
    </row>
    <row r="53">
      <c r="A53" s="49">
        <v>44485.09969840277</v>
      </c>
      <c r="B53" s="50">
        <v>44485.2246708333</v>
      </c>
      <c r="C53" s="51">
        <v>1.054</v>
      </c>
      <c r="D53" s="51">
        <v>63.0</v>
      </c>
      <c r="E53" s="52" t="s">
        <v>25</v>
      </c>
      <c r="F53" s="52" t="s">
        <v>26</v>
      </c>
      <c r="G53" s="53"/>
    </row>
    <row r="54">
      <c r="A54" s="49">
        <v>44485.11012521991</v>
      </c>
      <c r="B54" s="50">
        <v>44485.235102118</v>
      </c>
      <c r="C54" s="51">
        <v>1.054</v>
      </c>
      <c r="D54" s="51">
        <v>63.0</v>
      </c>
      <c r="E54" s="52" t="s">
        <v>25</v>
      </c>
      <c r="F54" s="52" t="s">
        <v>26</v>
      </c>
      <c r="G54" s="53"/>
    </row>
    <row r="55">
      <c r="A55" s="49">
        <v>44485.12053991898</v>
      </c>
      <c r="B55" s="50">
        <v>44485.2455234259</v>
      </c>
      <c r="C55" s="51">
        <v>1.054</v>
      </c>
      <c r="D55" s="51">
        <v>63.0</v>
      </c>
      <c r="E55" s="52" t="s">
        <v>25</v>
      </c>
      <c r="F55" s="52" t="s">
        <v>26</v>
      </c>
      <c r="G55" s="53"/>
    </row>
    <row r="56">
      <c r="A56" s="49">
        <v>44485.13097172454</v>
      </c>
      <c r="B56" s="50">
        <v>44485.25594375</v>
      </c>
      <c r="C56" s="51">
        <v>1.054</v>
      </c>
      <c r="D56" s="51">
        <v>63.0</v>
      </c>
      <c r="E56" s="52" t="s">
        <v>25</v>
      </c>
      <c r="F56" s="52" t="s">
        <v>26</v>
      </c>
      <c r="G56" s="53"/>
    </row>
    <row r="57">
      <c r="A57" s="49">
        <v>44485.14139550926</v>
      </c>
      <c r="B57" s="50">
        <v>44485.2663661111</v>
      </c>
      <c r="C57" s="51">
        <v>1.054</v>
      </c>
      <c r="D57" s="51">
        <v>63.0</v>
      </c>
      <c r="E57" s="52" t="s">
        <v>25</v>
      </c>
      <c r="F57" s="52" t="s">
        <v>26</v>
      </c>
      <c r="G57" s="53"/>
    </row>
    <row r="58">
      <c r="A58" s="49">
        <v>44485.15180496528</v>
      </c>
      <c r="B58" s="50">
        <v>44485.2767878356</v>
      </c>
      <c r="C58" s="51">
        <v>1.054</v>
      </c>
      <c r="D58" s="51">
        <v>63.0</v>
      </c>
      <c r="E58" s="52" t="s">
        <v>25</v>
      </c>
      <c r="F58" s="52" t="s">
        <v>26</v>
      </c>
      <c r="G58" s="53"/>
    </row>
    <row r="59">
      <c r="A59" s="49">
        <v>44485.1622369213</v>
      </c>
      <c r="B59" s="50">
        <v>44485.2872087963</v>
      </c>
      <c r="C59" s="51">
        <v>1.054</v>
      </c>
      <c r="D59" s="51">
        <v>63.0</v>
      </c>
      <c r="E59" s="52" t="s">
        <v>25</v>
      </c>
      <c r="F59" s="52" t="s">
        <v>26</v>
      </c>
      <c r="G59" s="53"/>
    </row>
    <row r="60">
      <c r="A60" s="49">
        <v>44485.17265753473</v>
      </c>
      <c r="B60" s="50">
        <v>44485.2976290162</v>
      </c>
      <c r="C60" s="51">
        <v>1.054</v>
      </c>
      <c r="D60" s="51">
        <v>63.0</v>
      </c>
      <c r="E60" s="52" t="s">
        <v>25</v>
      </c>
      <c r="F60" s="52" t="s">
        <v>26</v>
      </c>
      <c r="G60" s="53"/>
    </row>
    <row r="61">
      <c r="A61" s="49">
        <v>44485.18307186343</v>
      </c>
      <c r="B61" s="50">
        <v>44485.3080503588</v>
      </c>
      <c r="C61" s="51">
        <v>1.054</v>
      </c>
      <c r="D61" s="51">
        <v>63.0</v>
      </c>
      <c r="E61" s="52" t="s">
        <v>25</v>
      </c>
      <c r="F61" s="52" t="s">
        <v>26</v>
      </c>
      <c r="G61" s="53"/>
    </row>
    <row r="62">
      <c r="A62" s="49">
        <v>44485.193504097224</v>
      </c>
      <c r="B62" s="50">
        <v>44485.3184710995</v>
      </c>
      <c r="C62" s="51">
        <v>1.054</v>
      </c>
      <c r="D62" s="51">
        <v>63.0</v>
      </c>
      <c r="E62" s="52" t="s">
        <v>25</v>
      </c>
      <c r="F62" s="52" t="s">
        <v>26</v>
      </c>
      <c r="G62" s="53"/>
    </row>
    <row r="63">
      <c r="A63" s="49">
        <v>44485.20392399306</v>
      </c>
      <c r="B63" s="50">
        <v>44485.3288930092</v>
      </c>
      <c r="C63" s="51">
        <v>1.054</v>
      </c>
      <c r="D63" s="51">
        <v>63.0</v>
      </c>
      <c r="E63" s="52" t="s">
        <v>25</v>
      </c>
      <c r="F63" s="52" t="s">
        <v>26</v>
      </c>
      <c r="G63" s="53"/>
    </row>
    <row r="64">
      <c r="A64" s="49">
        <v>44485.21434209491</v>
      </c>
      <c r="B64" s="50">
        <v>44485.3393132523</v>
      </c>
      <c r="C64" s="51">
        <v>1.054</v>
      </c>
      <c r="D64" s="51">
        <v>63.0</v>
      </c>
      <c r="E64" s="52" t="s">
        <v>25</v>
      </c>
      <c r="F64" s="52" t="s">
        <v>26</v>
      </c>
      <c r="G64" s="53"/>
    </row>
    <row r="65">
      <c r="A65" s="49">
        <v>44485.224769039356</v>
      </c>
      <c r="B65" s="50">
        <v>44485.3497326851</v>
      </c>
      <c r="C65" s="51">
        <v>1.054</v>
      </c>
      <c r="D65" s="51">
        <v>63.0</v>
      </c>
      <c r="E65" s="52" t="s">
        <v>25</v>
      </c>
      <c r="F65" s="52" t="s">
        <v>26</v>
      </c>
      <c r="G65" s="53"/>
    </row>
    <row r="66">
      <c r="A66" s="49">
        <v>44485.23519799768</v>
      </c>
      <c r="B66" s="50">
        <v>44485.3601662037</v>
      </c>
      <c r="C66" s="51">
        <v>1.054</v>
      </c>
      <c r="D66" s="51">
        <v>63.0</v>
      </c>
      <c r="E66" s="52" t="s">
        <v>25</v>
      </c>
      <c r="F66" s="52" t="s">
        <v>26</v>
      </c>
      <c r="G66" s="53"/>
    </row>
    <row r="67">
      <c r="A67" s="49">
        <v>44485.24560894676</v>
      </c>
      <c r="B67" s="50">
        <v>44485.3705881134</v>
      </c>
      <c r="C67" s="51">
        <v>1.054</v>
      </c>
      <c r="D67" s="51">
        <v>63.0</v>
      </c>
      <c r="E67" s="52" t="s">
        <v>25</v>
      </c>
      <c r="F67" s="52" t="s">
        <v>26</v>
      </c>
      <c r="G67" s="53"/>
    </row>
    <row r="68">
      <c r="A68" s="49">
        <v>44485.256038287036</v>
      </c>
      <c r="B68" s="50">
        <v>44485.3810098842</v>
      </c>
      <c r="C68" s="51">
        <v>1.054</v>
      </c>
      <c r="D68" s="51">
        <v>63.0</v>
      </c>
      <c r="E68" s="52" t="s">
        <v>25</v>
      </c>
      <c r="F68" s="52" t="s">
        <v>26</v>
      </c>
      <c r="G68" s="53"/>
    </row>
    <row r="69">
      <c r="A69" s="49">
        <v>44485.26646042824</v>
      </c>
      <c r="B69" s="50">
        <v>44485.3914325</v>
      </c>
      <c r="C69" s="51">
        <v>1.054</v>
      </c>
      <c r="D69" s="51">
        <v>63.0</v>
      </c>
      <c r="E69" s="52" t="s">
        <v>25</v>
      </c>
      <c r="F69" s="52" t="s">
        <v>26</v>
      </c>
      <c r="G69" s="53"/>
    </row>
    <row r="70">
      <c r="A70" s="49">
        <v>44485.2768774537</v>
      </c>
      <c r="B70" s="50">
        <v>44485.4018528819</v>
      </c>
      <c r="C70" s="51">
        <v>1.054</v>
      </c>
      <c r="D70" s="51">
        <v>63.0</v>
      </c>
      <c r="E70" s="52" t="s">
        <v>25</v>
      </c>
      <c r="F70" s="52" t="s">
        <v>26</v>
      </c>
      <c r="G70" s="53"/>
    </row>
    <row r="71">
      <c r="A71" s="49">
        <v>44485.28730481482</v>
      </c>
      <c r="B71" s="50">
        <v>44485.4122865856</v>
      </c>
      <c r="C71" s="51">
        <v>1.054</v>
      </c>
      <c r="D71" s="51">
        <v>63.0</v>
      </c>
      <c r="E71" s="52" t="s">
        <v>25</v>
      </c>
      <c r="F71" s="52" t="s">
        <v>26</v>
      </c>
      <c r="G71" s="53"/>
    </row>
    <row r="72">
      <c r="A72" s="49">
        <v>44485.29775</v>
      </c>
      <c r="B72" s="50">
        <v>44485.4227207291</v>
      </c>
      <c r="C72" s="51">
        <v>1.054</v>
      </c>
      <c r="D72" s="51">
        <v>63.0</v>
      </c>
      <c r="E72" s="52" t="s">
        <v>25</v>
      </c>
      <c r="F72" s="52" t="s">
        <v>26</v>
      </c>
      <c r="G72" s="53"/>
    </row>
    <row r="73">
      <c r="A73" s="49">
        <v>44485.308164375005</v>
      </c>
      <c r="B73" s="50">
        <v>44485.4331437731</v>
      </c>
      <c r="C73" s="51">
        <v>1.054</v>
      </c>
      <c r="D73" s="51">
        <v>63.0</v>
      </c>
      <c r="E73" s="52" t="s">
        <v>25</v>
      </c>
      <c r="F73" s="52" t="s">
        <v>26</v>
      </c>
      <c r="G73" s="53"/>
    </row>
    <row r="74">
      <c r="A74" s="49">
        <v>44485.318598252314</v>
      </c>
      <c r="B74" s="50">
        <v>44485.4435639351</v>
      </c>
      <c r="C74" s="51">
        <v>1.054</v>
      </c>
      <c r="D74" s="51">
        <v>63.0</v>
      </c>
      <c r="E74" s="52" t="s">
        <v>25</v>
      </c>
      <c r="F74" s="52" t="s">
        <v>26</v>
      </c>
      <c r="G74" s="53"/>
    </row>
    <row r="75">
      <c r="A75" s="49">
        <v>44485.329028402775</v>
      </c>
      <c r="B75" s="50">
        <v>44485.4539960995</v>
      </c>
      <c r="C75" s="51">
        <v>1.054</v>
      </c>
      <c r="D75" s="51">
        <v>63.0</v>
      </c>
      <c r="E75" s="52" t="s">
        <v>25</v>
      </c>
      <c r="F75" s="52" t="s">
        <v>26</v>
      </c>
      <c r="G75" s="53"/>
    </row>
    <row r="76">
      <c r="A76" s="49">
        <v>44485.33945775463</v>
      </c>
      <c r="B76" s="50">
        <v>44485.4644291898</v>
      </c>
      <c r="C76" s="51">
        <v>1.054</v>
      </c>
      <c r="D76" s="51">
        <v>63.0</v>
      </c>
      <c r="E76" s="52" t="s">
        <v>25</v>
      </c>
      <c r="F76" s="52" t="s">
        <v>26</v>
      </c>
      <c r="G76" s="53"/>
    </row>
    <row r="77">
      <c r="A77" s="49">
        <v>44485.34987634259</v>
      </c>
      <c r="B77" s="50">
        <v>44485.4748497106</v>
      </c>
      <c r="C77" s="51">
        <v>1.054</v>
      </c>
      <c r="D77" s="51">
        <v>63.0</v>
      </c>
      <c r="E77" s="52" t="s">
        <v>25</v>
      </c>
      <c r="F77" s="52" t="s">
        <v>26</v>
      </c>
      <c r="G77" s="53"/>
    </row>
    <row r="78">
      <c r="A78" s="49">
        <v>44485.3603144213</v>
      </c>
      <c r="B78" s="50">
        <v>44485.4852937152</v>
      </c>
      <c r="C78" s="51">
        <v>1.054</v>
      </c>
      <c r="D78" s="51">
        <v>63.0</v>
      </c>
      <c r="E78" s="52" t="s">
        <v>25</v>
      </c>
      <c r="F78" s="52" t="s">
        <v>26</v>
      </c>
      <c r="G78" s="53"/>
    </row>
    <row r="79">
      <c r="A79" s="49">
        <v>44485.370745092594</v>
      </c>
      <c r="B79" s="50">
        <v>44485.495713449</v>
      </c>
      <c r="C79" s="51">
        <v>1.054</v>
      </c>
      <c r="D79" s="51">
        <v>63.0</v>
      </c>
      <c r="E79" s="52" t="s">
        <v>25</v>
      </c>
      <c r="F79" s="52" t="s">
        <v>26</v>
      </c>
      <c r="G79" s="53"/>
    </row>
    <row r="80">
      <c r="A80" s="49">
        <v>44485.38116334491</v>
      </c>
      <c r="B80" s="50">
        <v>44485.5061339351</v>
      </c>
      <c r="C80" s="51">
        <v>1.054</v>
      </c>
      <c r="D80" s="51">
        <v>63.0</v>
      </c>
      <c r="E80" s="52" t="s">
        <v>25</v>
      </c>
      <c r="F80" s="52" t="s">
        <v>26</v>
      </c>
      <c r="G80" s="53"/>
    </row>
    <row r="81">
      <c r="A81" s="49">
        <v>44485.39158252315</v>
      </c>
      <c r="B81" s="50">
        <v>44485.516554699</v>
      </c>
      <c r="C81" s="51">
        <v>1.054</v>
      </c>
      <c r="D81" s="51">
        <v>63.0</v>
      </c>
      <c r="E81" s="52" t="s">
        <v>25</v>
      </c>
      <c r="F81" s="52" t="s">
        <v>26</v>
      </c>
      <c r="G81" s="53"/>
    </row>
    <row r="82">
      <c r="A82" s="49">
        <v>44485.40202195602</v>
      </c>
      <c r="B82" s="50">
        <v>44485.526989537</v>
      </c>
      <c r="C82" s="51">
        <v>1.054</v>
      </c>
      <c r="D82" s="51">
        <v>63.0</v>
      </c>
      <c r="E82" s="52" t="s">
        <v>25</v>
      </c>
      <c r="F82" s="52" t="s">
        <v>26</v>
      </c>
      <c r="G82" s="53"/>
    </row>
    <row r="83">
      <c r="A83" s="49">
        <v>44485.41244600694</v>
      </c>
      <c r="B83" s="50">
        <v>44485.5374124305</v>
      </c>
      <c r="C83" s="51">
        <v>1.054</v>
      </c>
      <c r="D83" s="51">
        <v>63.0</v>
      </c>
      <c r="E83" s="52" t="s">
        <v>25</v>
      </c>
      <c r="F83" s="52" t="s">
        <v>26</v>
      </c>
      <c r="G83" s="53"/>
    </row>
    <row r="84">
      <c r="A84" s="49">
        <v>44485.422856261575</v>
      </c>
      <c r="B84" s="50">
        <v>44485.5478318981</v>
      </c>
      <c r="C84" s="51">
        <v>1.054</v>
      </c>
      <c r="D84" s="51">
        <v>64.0</v>
      </c>
      <c r="E84" s="52" t="s">
        <v>25</v>
      </c>
      <c r="F84" s="52" t="s">
        <v>26</v>
      </c>
      <c r="G84" s="53"/>
    </row>
    <row r="85">
      <c r="A85" s="49">
        <v>44485.43329195602</v>
      </c>
      <c r="B85" s="50">
        <v>44485.5582538541</v>
      </c>
      <c r="C85" s="51">
        <v>1.054</v>
      </c>
      <c r="D85" s="51">
        <v>64.0</v>
      </c>
      <c r="E85" s="52" t="s">
        <v>25</v>
      </c>
      <c r="F85" s="52" t="s">
        <v>26</v>
      </c>
      <c r="G85" s="53"/>
    </row>
    <row r="86">
      <c r="A86" s="49">
        <v>44485.443715671296</v>
      </c>
      <c r="B86" s="50">
        <v>44485.5686873148</v>
      </c>
      <c r="C86" s="51">
        <v>1.054</v>
      </c>
      <c r="D86" s="51">
        <v>63.0</v>
      </c>
      <c r="E86" s="52" t="s">
        <v>25</v>
      </c>
      <c r="F86" s="52" t="s">
        <v>26</v>
      </c>
      <c r="G86" s="53"/>
    </row>
    <row r="87">
      <c r="A87" s="49">
        <v>44485.45412759259</v>
      </c>
      <c r="B87" s="50">
        <v>44485.5791076041</v>
      </c>
      <c r="C87" s="51">
        <v>1.054</v>
      </c>
      <c r="D87" s="51">
        <v>64.0</v>
      </c>
      <c r="E87" s="52" t="s">
        <v>25</v>
      </c>
      <c r="F87" s="52" t="s">
        <v>26</v>
      </c>
      <c r="G87" s="53"/>
    </row>
    <row r="88">
      <c r="A88" s="49">
        <v>44485.464582615736</v>
      </c>
      <c r="B88" s="50">
        <v>44485.5895514351</v>
      </c>
      <c r="C88" s="51">
        <v>1.054</v>
      </c>
      <c r="D88" s="51">
        <v>64.0</v>
      </c>
      <c r="E88" s="52" t="s">
        <v>25</v>
      </c>
      <c r="F88" s="52" t="s">
        <v>26</v>
      </c>
      <c r="G88" s="53"/>
    </row>
    <row r="89">
      <c r="A89" s="49">
        <v>44485.47500247685</v>
      </c>
      <c r="B89" s="50">
        <v>44485.5999727662</v>
      </c>
      <c r="C89" s="51">
        <v>1.054</v>
      </c>
      <c r="D89" s="51">
        <v>64.0</v>
      </c>
      <c r="E89" s="52" t="s">
        <v>25</v>
      </c>
      <c r="F89" s="52" t="s">
        <v>26</v>
      </c>
      <c r="G89" s="53"/>
    </row>
    <row r="90">
      <c r="A90" s="49">
        <v>44485.485415462965</v>
      </c>
      <c r="B90" s="50">
        <v>44485.6103935648</v>
      </c>
      <c r="C90" s="51">
        <v>1.054</v>
      </c>
      <c r="D90" s="51">
        <v>64.0</v>
      </c>
      <c r="E90" s="52" t="s">
        <v>25</v>
      </c>
      <c r="F90" s="52" t="s">
        <v>26</v>
      </c>
      <c r="G90" s="53"/>
    </row>
    <row r="91">
      <c r="A91" s="49">
        <v>44485.49584693287</v>
      </c>
      <c r="B91" s="50">
        <v>44485.6208140162</v>
      </c>
      <c r="C91" s="51">
        <v>1.054</v>
      </c>
      <c r="D91" s="51">
        <v>64.0</v>
      </c>
      <c r="E91" s="52" t="s">
        <v>25</v>
      </c>
      <c r="F91" s="52" t="s">
        <v>26</v>
      </c>
      <c r="G91" s="53"/>
    </row>
    <row r="92">
      <c r="A92" s="49">
        <v>44485.50626743055</v>
      </c>
      <c r="B92" s="50">
        <v>44485.6312368518</v>
      </c>
      <c r="C92" s="51">
        <v>1.054</v>
      </c>
      <c r="D92" s="51">
        <v>64.0</v>
      </c>
      <c r="E92" s="52" t="s">
        <v>25</v>
      </c>
      <c r="F92" s="52" t="s">
        <v>26</v>
      </c>
      <c r="G92" s="53"/>
    </row>
    <row r="93">
      <c r="A93" s="49">
        <v>44485.5166872338</v>
      </c>
      <c r="B93" s="50">
        <v>44485.641657743</v>
      </c>
      <c r="C93" s="51">
        <v>1.054</v>
      </c>
      <c r="D93" s="51">
        <v>64.0</v>
      </c>
      <c r="E93" s="52" t="s">
        <v>25</v>
      </c>
      <c r="F93" s="52" t="s">
        <v>26</v>
      </c>
      <c r="G93" s="53"/>
    </row>
    <row r="94">
      <c r="A94" s="49">
        <v>44485.52710658565</v>
      </c>
      <c r="B94" s="50">
        <v>44485.6520777893</v>
      </c>
      <c r="C94" s="51">
        <v>1.054</v>
      </c>
      <c r="D94" s="51">
        <v>64.0</v>
      </c>
      <c r="E94" s="52" t="s">
        <v>25</v>
      </c>
      <c r="F94" s="52" t="s">
        <v>26</v>
      </c>
      <c r="G94" s="53"/>
    </row>
    <row r="95">
      <c r="A95" s="49">
        <v>44485.537531319445</v>
      </c>
      <c r="B95" s="50">
        <v>44485.6624996064</v>
      </c>
      <c r="C95" s="51">
        <v>1.054</v>
      </c>
      <c r="D95" s="51">
        <v>64.0</v>
      </c>
      <c r="E95" s="52" t="s">
        <v>25</v>
      </c>
      <c r="F95" s="52" t="s">
        <v>26</v>
      </c>
      <c r="G95" s="53"/>
    </row>
    <row r="96">
      <c r="A96" s="49">
        <v>44485.547960868054</v>
      </c>
      <c r="B96" s="50">
        <v>44485.6729308564</v>
      </c>
      <c r="C96" s="51">
        <v>1.054</v>
      </c>
      <c r="D96" s="51">
        <v>64.0</v>
      </c>
      <c r="E96" s="52" t="s">
        <v>25</v>
      </c>
      <c r="F96" s="52" t="s">
        <v>26</v>
      </c>
      <c r="G96" s="53"/>
    </row>
    <row r="97">
      <c r="A97" s="49">
        <v>44485.55837922454</v>
      </c>
      <c r="B97" s="50">
        <v>44485.6833514236</v>
      </c>
      <c r="C97" s="51">
        <v>1.054</v>
      </c>
      <c r="D97" s="51">
        <v>64.0</v>
      </c>
      <c r="E97" s="52" t="s">
        <v>25</v>
      </c>
      <c r="F97" s="52" t="s">
        <v>26</v>
      </c>
      <c r="G97" s="53"/>
    </row>
    <row r="98">
      <c r="A98" s="49">
        <v>44485.568795196756</v>
      </c>
      <c r="B98" s="50">
        <v>44485.6937743981</v>
      </c>
      <c r="C98" s="51">
        <v>1.054</v>
      </c>
      <c r="D98" s="51">
        <v>64.0</v>
      </c>
      <c r="E98" s="52" t="s">
        <v>25</v>
      </c>
      <c r="F98" s="52" t="s">
        <v>26</v>
      </c>
      <c r="G98" s="53"/>
    </row>
    <row r="99">
      <c r="A99" s="49">
        <v>44485.57922530093</v>
      </c>
      <c r="B99" s="50">
        <v>44485.704195405</v>
      </c>
      <c r="C99" s="51">
        <v>1.054</v>
      </c>
      <c r="D99" s="51">
        <v>64.0</v>
      </c>
      <c r="E99" s="52" t="s">
        <v>25</v>
      </c>
      <c r="F99" s="52" t="s">
        <v>26</v>
      </c>
      <c r="G99" s="53"/>
    </row>
    <row r="100">
      <c r="A100" s="49">
        <v>44485.589648333334</v>
      </c>
      <c r="B100" s="50">
        <v>44485.7146158449</v>
      </c>
      <c r="C100" s="51">
        <v>1.054</v>
      </c>
      <c r="D100" s="51">
        <v>64.0</v>
      </c>
      <c r="E100" s="52" t="s">
        <v>25</v>
      </c>
      <c r="F100" s="52" t="s">
        <v>26</v>
      </c>
      <c r="G100" s="53"/>
    </row>
    <row r="101">
      <c r="A101" s="49">
        <v>44485.6000621412</v>
      </c>
      <c r="B101" s="50">
        <v>44485.7250382638</v>
      </c>
      <c r="C101" s="51">
        <v>1.054</v>
      </c>
      <c r="D101" s="51">
        <v>64.0</v>
      </c>
      <c r="E101" s="52" t="s">
        <v>25</v>
      </c>
      <c r="F101" s="52" t="s">
        <v>26</v>
      </c>
      <c r="G101" s="53"/>
    </row>
    <row r="102">
      <c r="A102" s="49">
        <v>44485.6104987037</v>
      </c>
      <c r="B102" s="50">
        <v>44485.7354600578</v>
      </c>
      <c r="C102" s="51">
        <v>1.054</v>
      </c>
      <c r="D102" s="51">
        <v>64.0</v>
      </c>
      <c r="E102" s="52" t="s">
        <v>25</v>
      </c>
      <c r="F102" s="52" t="s">
        <v>26</v>
      </c>
      <c r="G102" s="53"/>
    </row>
    <row r="103">
      <c r="A103" s="49">
        <v>44485.62091049769</v>
      </c>
      <c r="B103" s="50">
        <v>44485.7458818402</v>
      </c>
      <c r="C103" s="51">
        <v>1.054</v>
      </c>
      <c r="D103" s="51">
        <v>64.0</v>
      </c>
      <c r="E103" s="52" t="s">
        <v>25</v>
      </c>
      <c r="F103" s="52" t="s">
        <v>26</v>
      </c>
      <c r="G103" s="53"/>
    </row>
    <row r="104">
      <c r="A104" s="49">
        <v>44485.631336597224</v>
      </c>
      <c r="B104" s="50">
        <v>44485.7563035995</v>
      </c>
      <c r="C104" s="51">
        <v>1.054</v>
      </c>
      <c r="D104" s="51">
        <v>64.0</v>
      </c>
      <c r="E104" s="52" t="s">
        <v>25</v>
      </c>
      <c r="F104" s="52" t="s">
        <v>26</v>
      </c>
      <c r="G104" s="53"/>
    </row>
    <row r="105">
      <c r="A105" s="49">
        <v>44485.64175121528</v>
      </c>
      <c r="B105" s="50">
        <v>44485.7667239583</v>
      </c>
      <c r="C105" s="51">
        <v>1.054</v>
      </c>
      <c r="D105" s="51">
        <v>64.0</v>
      </c>
      <c r="E105" s="52" t="s">
        <v>25</v>
      </c>
      <c r="F105" s="52" t="s">
        <v>26</v>
      </c>
      <c r="G105" s="53"/>
    </row>
    <row r="106">
      <c r="A106" s="49">
        <v>44485.652170393514</v>
      </c>
      <c r="B106" s="50">
        <v>44485.7771463773</v>
      </c>
      <c r="C106" s="51">
        <v>1.054</v>
      </c>
      <c r="D106" s="51">
        <v>64.0</v>
      </c>
      <c r="E106" s="52" t="s">
        <v>25</v>
      </c>
      <c r="F106" s="52" t="s">
        <v>26</v>
      </c>
      <c r="G106" s="53"/>
    </row>
    <row r="107">
      <c r="A107" s="49">
        <v>44485.66259605324</v>
      </c>
      <c r="B107" s="50">
        <v>44485.7875659837</v>
      </c>
      <c r="C107" s="51">
        <v>1.054</v>
      </c>
      <c r="D107" s="51">
        <v>64.0</v>
      </c>
      <c r="E107" s="52" t="s">
        <v>25</v>
      </c>
      <c r="F107" s="52" t="s">
        <v>26</v>
      </c>
      <c r="G107" s="53"/>
    </row>
    <row r="108">
      <c r="A108" s="49">
        <v>44485.6730163426</v>
      </c>
      <c r="B108" s="50">
        <v>44485.7979868402</v>
      </c>
      <c r="C108" s="51">
        <v>1.054</v>
      </c>
      <c r="D108" s="51">
        <v>64.0</v>
      </c>
      <c r="E108" s="52" t="s">
        <v>25</v>
      </c>
      <c r="F108" s="52" t="s">
        <v>26</v>
      </c>
      <c r="G108" s="53"/>
    </row>
    <row r="109">
      <c r="A109" s="49">
        <v>44485.68344795139</v>
      </c>
      <c r="B109" s="50">
        <v>44485.8084192476</v>
      </c>
      <c r="C109" s="51">
        <v>1.054</v>
      </c>
      <c r="D109" s="51">
        <v>64.0</v>
      </c>
      <c r="E109" s="52" t="s">
        <v>25</v>
      </c>
      <c r="F109" s="52" t="s">
        <v>26</v>
      </c>
      <c r="G109" s="53"/>
    </row>
    <row r="110">
      <c r="A110" s="49">
        <v>44485.693863946755</v>
      </c>
      <c r="B110" s="50">
        <v>44485.8188408333</v>
      </c>
      <c r="C110" s="51">
        <v>1.054</v>
      </c>
      <c r="D110" s="51">
        <v>64.0</v>
      </c>
      <c r="E110" s="52" t="s">
        <v>25</v>
      </c>
      <c r="F110" s="52" t="s">
        <v>26</v>
      </c>
      <c r="G110" s="53"/>
    </row>
    <row r="111">
      <c r="A111" s="49">
        <v>44485.70429538195</v>
      </c>
      <c r="B111" s="50">
        <v>44485.8292618865</v>
      </c>
      <c r="C111" s="51">
        <v>1.054</v>
      </c>
      <c r="D111" s="51">
        <v>65.0</v>
      </c>
      <c r="E111" s="52" t="s">
        <v>25</v>
      </c>
      <c r="F111" s="52" t="s">
        <v>26</v>
      </c>
      <c r="G111" s="53"/>
    </row>
    <row r="112">
      <c r="A112" s="49">
        <v>44485.7147150463</v>
      </c>
      <c r="B112" s="50">
        <v>44485.8396819444</v>
      </c>
      <c r="C112" s="51">
        <v>1.054</v>
      </c>
      <c r="D112" s="51">
        <v>65.0</v>
      </c>
      <c r="E112" s="52" t="s">
        <v>25</v>
      </c>
      <c r="F112" s="52" t="s">
        <v>26</v>
      </c>
      <c r="G112" s="53"/>
    </row>
    <row r="113">
      <c r="A113" s="49">
        <v>44485.72513521991</v>
      </c>
      <c r="B113" s="50">
        <v>44485.8501040972</v>
      </c>
      <c r="C113" s="51">
        <v>1.054</v>
      </c>
      <c r="D113" s="51">
        <v>65.0</v>
      </c>
      <c r="E113" s="52" t="s">
        <v>25</v>
      </c>
      <c r="F113" s="52" t="s">
        <v>26</v>
      </c>
      <c r="G113" s="53"/>
    </row>
    <row r="114">
      <c r="A114" s="49">
        <v>44485.73555549768</v>
      </c>
      <c r="B114" s="50">
        <v>44485.8605246643</v>
      </c>
      <c r="C114" s="51">
        <v>1.054</v>
      </c>
      <c r="D114" s="51">
        <v>65.0</v>
      </c>
      <c r="E114" s="52" t="s">
        <v>25</v>
      </c>
      <c r="F114" s="52" t="s">
        <v>26</v>
      </c>
      <c r="G114" s="53"/>
    </row>
    <row r="115">
      <c r="A115" s="49">
        <v>44485.74597703703</v>
      </c>
      <c r="B115" s="50">
        <v>44485.8709460879</v>
      </c>
      <c r="C115" s="51">
        <v>1.054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44485.75639361111</v>
      </c>
      <c r="B116" s="50">
        <v>44485.8813665046</v>
      </c>
      <c r="C116" s="51">
        <v>1.054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44485.76682164352</v>
      </c>
      <c r="B117" s="50">
        <v>44485.8917885648</v>
      </c>
      <c r="C117" s="51">
        <v>1.054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44485.777251481486</v>
      </c>
      <c r="B118" s="50">
        <v>44485.9022206944</v>
      </c>
      <c r="C118" s="51">
        <v>1.054</v>
      </c>
      <c r="D118" s="51">
        <v>65.0</v>
      </c>
      <c r="E118" s="52" t="s">
        <v>25</v>
      </c>
      <c r="F118" s="52" t="s">
        <v>26</v>
      </c>
      <c r="G118" s="53"/>
    </row>
    <row r="119">
      <c r="A119" s="49">
        <v>44485.78767099537</v>
      </c>
      <c r="B119" s="50">
        <v>44485.9126423263</v>
      </c>
      <c r="C119" s="51">
        <v>1.054</v>
      </c>
      <c r="D119" s="51">
        <v>65.0</v>
      </c>
      <c r="E119" s="52" t="s">
        <v>25</v>
      </c>
      <c r="F119" s="52" t="s">
        <v>26</v>
      </c>
      <c r="G119" s="53"/>
    </row>
    <row r="120">
      <c r="A120" s="49">
        <v>44485.79809516204</v>
      </c>
      <c r="B120" s="50">
        <v>44485.9230643518</v>
      </c>
      <c r="C120" s="51">
        <v>1.054</v>
      </c>
      <c r="D120" s="51">
        <v>65.0</v>
      </c>
      <c r="E120" s="52" t="s">
        <v>25</v>
      </c>
      <c r="F120" s="52" t="s">
        <v>26</v>
      </c>
      <c r="G120" s="53"/>
    </row>
    <row r="121">
      <c r="A121" s="49">
        <v>44485.808516018515</v>
      </c>
      <c r="B121" s="50">
        <v>44485.9334851967</v>
      </c>
      <c r="C121" s="51">
        <v>1.054</v>
      </c>
      <c r="D121" s="51">
        <v>65.0</v>
      </c>
      <c r="E121" s="52" t="s">
        <v>25</v>
      </c>
      <c r="F121" s="52" t="s">
        <v>26</v>
      </c>
      <c r="G121" s="53"/>
    </row>
    <row r="122">
      <c r="A122" s="49">
        <v>44485.818941226855</v>
      </c>
      <c r="B122" s="50">
        <v>44485.9439211689</v>
      </c>
      <c r="C122" s="51">
        <v>1.054</v>
      </c>
      <c r="D122" s="51">
        <v>65.0</v>
      </c>
      <c r="E122" s="52" t="s">
        <v>25</v>
      </c>
      <c r="F122" s="52" t="s">
        <v>26</v>
      </c>
      <c r="G122" s="53"/>
    </row>
    <row r="123">
      <c r="A123" s="49">
        <v>44485.82936665509</v>
      </c>
      <c r="B123" s="50">
        <v>44485.9543399768</v>
      </c>
      <c r="C123" s="51">
        <v>1.054</v>
      </c>
      <c r="D123" s="51">
        <v>65.0</v>
      </c>
      <c r="E123" s="52" t="s">
        <v>25</v>
      </c>
      <c r="F123" s="52" t="s">
        <v>26</v>
      </c>
      <c r="G123" s="53"/>
    </row>
    <row r="124">
      <c r="A124" s="49">
        <v>44485.83979270833</v>
      </c>
      <c r="B124" s="50">
        <v>44485.9647617824</v>
      </c>
      <c r="C124" s="51">
        <v>1.054</v>
      </c>
      <c r="D124" s="51">
        <v>65.0</v>
      </c>
      <c r="E124" s="52" t="s">
        <v>25</v>
      </c>
      <c r="F124" s="52" t="s">
        <v>26</v>
      </c>
      <c r="G124" s="53"/>
    </row>
    <row r="125">
      <c r="A125" s="49">
        <v>44485.850216817125</v>
      </c>
      <c r="B125" s="50">
        <v>44485.9751826041</v>
      </c>
      <c r="C125" s="51">
        <v>1.054</v>
      </c>
      <c r="D125" s="51">
        <v>65.0</v>
      </c>
      <c r="E125" s="52" t="s">
        <v>25</v>
      </c>
      <c r="F125" s="52" t="s">
        <v>26</v>
      </c>
      <c r="G125" s="53"/>
    </row>
    <row r="126">
      <c r="A126" s="49">
        <v>44485.86064587963</v>
      </c>
      <c r="B126" s="50">
        <v>44485.9856146875</v>
      </c>
      <c r="C126" s="51">
        <v>1.054</v>
      </c>
      <c r="D126" s="51">
        <v>65.0</v>
      </c>
      <c r="E126" s="52" t="s">
        <v>25</v>
      </c>
      <c r="F126" s="52" t="s">
        <v>26</v>
      </c>
      <c r="G126" s="53"/>
    </row>
    <row r="127">
      <c r="A127" s="49">
        <v>44485.87106039352</v>
      </c>
      <c r="B127" s="50">
        <v>44485.9960356713</v>
      </c>
      <c r="C127" s="51">
        <v>1.054</v>
      </c>
      <c r="D127" s="51">
        <v>65.0</v>
      </c>
      <c r="E127" s="52" t="s">
        <v>25</v>
      </c>
      <c r="F127" s="52" t="s">
        <v>26</v>
      </c>
      <c r="G127" s="53"/>
    </row>
    <row r="128">
      <c r="A128" s="49">
        <v>44485.88148386574</v>
      </c>
      <c r="B128" s="50">
        <v>44486.006455787</v>
      </c>
      <c r="C128" s="51">
        <v>1.054</v>
      </c>
      <c r="D128" s="51">
        <v>65.0</v>
      </c>
      <c r="E128" s="52" t="s">
        <v>25</v>
      </c>
      <c r="F128" s="52" t="s">
        <v>26</v>
      </c>
      <c r="G128" s="53"/>
    </row>
    <row r="129">
      <c r="A129" s="49">
        <v>44485.89189702546</v>
      </c>
      <c r="B129" s="50">
        <v>44486.0168770254</v>
      </c>
      <c r="C129" s="51">
        <v>1.054</v>
      </c>
      <c r="D129" s="51">
        <v>65.0</v>
      </c>
      <c r="E129" s="52" t="s">
        <v>25</v>
      </c>
      <c r="F129" s="52" t="s">
        <v>26</v>
      </c>
      <c r="G129" s="53"/>
    </row>
    <row r="130">
      <c r="A130" s="49">
        <v>44485.90231701389</v>
      </c>
      <c r="B130" s="50">
        <v>44486.0272960879</v>
      </c>
      <c r="C130" s="51">
        <v>1.054</v>
      </c>
      <c r="D130" s="51">
        <v>65.0</v>
      </c>
      <c r="E130" s="52" t="s">
        <v>25</v>
      </c>
      <c r="F130" s="52" t="s">
        <v>26</v>
      </c>
      <c r="G130" s="53"/>
    </row>
    <row r="131">
      <c r="A131" s="49">
        <v>44485.91274971065</v>
      </c>
      <c r="B131" s="50">
        <v>44486.0377167476</v>
      </c>
      <c r="C131" s="51">
        <v>1.054</v>
      </c>
      <c r="D131" s="51">
        <v>65.0</v>
      </c>
      <c r="E131" s="52" t="s">
        <v>25</v>
      </c>
      <c r="F131" s="52" t="s">
        <v>26</v>
      </c>
      <c r="G131" s="53"/>
    </row>
    <row r="132">
      <c r="A132" s="49">
        <v>44485.92316885416</v>
      </c>
      <c r="B132" s="50">
        <v>44486.0481374189</v>
      </c>
      <c r="C132" s="51">
        <v>1.054</v>
      </c>
      <c r="D132" s="51">
        <v>65.0</v>
      </c>
      <c r="E132" s="52" t="s">
        <v>25</v>
      </c>
      <c r="F132" s="52" t="s">
        <v>26</v>
      </c>
      <c r="G132" s="53"/>
    </row>
    <row r="133">
      <c r="A133" s="49">
        <v>44485.93359231482</v>
      </c>
      <c r="B133" s="50">
        <v>44486.0585600578</v>
      </c>
      <c r="C133" s="51">
        <v>1.054</v>
      </c>
      <c r="D133" s="51">
        <v>65.0</v>
      </c>
      <c r="E133" s="52" t="s">
        <v>25</v>
      </c>
      <c r="F133" s="52" t="s">
        <v>26</v>
      </c>
      <c r="G133" s="53"/>
    </row>
    <row r="134">
      <c r="A134" s="49">
        <v>44485.94401641204</v>
      </c>
      <c r="B134" s="50">
        <v>44486.0689821759</v>
      </c>
      <c r="C134" s="51">
        <v>1.054</v>
      </c>
      <c r="D134" s="51">
        <v>65.0</v>
      </c>
      <c r="E134" s="52" t="s">
        <v>25</v>
      </c>
      <c r="F134" s="52" t="s">
        <v>26</v>
      </c>
      <c r="G134" s="53"/>
    </row>
    <row r="135">
      <c r="A135" s="49">
        <v>44485.954434224535</v>
      </c>
      <c r="B135" s="50">
        <v>44486.0794029166</v>
      </c>
      <c r="C135" s="51">
        <v>1.054</v>
      </c>
      <c r="D135" s="51">
        <v>65.0</v>
      </c>
      <c r="E135" s="52" t="s">
        <v>25</v>
      </c>
      <c r="F135" s="52" t="s">
        <v>26</v>
      </c>
      <c r="G135" s="53"/>
    </row>
    <row r="136">
      <c r="A136" s="49">
        <v>44485.96486571759</v>
      </c>
      <c r="B136" s="50">
        <v>44486.0898349768</v>
      </c>
      <c r="C136" s="51">
        <v>1.054</v>
      </c>
      <c r="D136" s="51">
        <v>65.0</v>
      </c>
      <c r="E136" s="52" t="s">
        <v>25</v>
      </c>
      <c r="F136" s="52" t="s">
        <v>26</v>
      </c>
      <c r="G136" s="53"/>
    </row>
    <row r="137">
      <c r="A137" s="49">
        <v>44485.97528560185</v>
      </c>
      <c r="B137" s="50">
        <v>44486.1002553819</v>
      </c>
      <c r="C137" s="51">
        <v>1.054</v>
      </c>
      <c r="D137" s="51">
        <v>65.0</v>
      </c>
      <c r="E137" s="52" t="s">
        <v>25</v>
      </c>
      <c r="F137" s="52" t="s">
        <v>26</v>
      </c>
      <c r="G137" s="53"/>
    </row>
    <row r="138">
      <c r="A138" s="49">
        <v>44485.98570774306</v>
      </c>
      <c r="B138" s="50">
        <v>44486.1106762268</v>
      </c>
      <c r="C138" s="51">
        <v>1.054</v>
      </c>
      <c r="D138" s="51">
        <v>65.0</v>
      </c>
      <c r="E138" s="52" t="s">
        <v>25</v>
      </c>
      <c r="F138" s="52" t="s">
        <v>26</v>
      </c>
      <c r="G138" s="53"/>
    </row>
    <row r="139">
      <c r="A139" s="49">
        <v>44485.996123784724</v>
      </c>
      <c r="B139" s="50">
        <v>44486.121098368</v>
      </c>
      <c r="C139" s="51">
        <v>1.054</v>
      </c>
      <c r="D139" s="51">
        <v>65.0</v>
      </c>
      <c r="E139" s="52" t="s">
        <v>25</v>
      </c>
      <c r="F139" s="52" t="s">
        <v>26</v>
      </c>
      <c r="G139" s="53"/>
    </row>
    <row r="140">
      <c r="A140" s="49">
        <v>44486.00655302084</v>
      </c>
      <c r="B140" s="50">
        <v>44486.131519456</v>
      </c>
      <c r="C140" s="51">
        <v>1.054</v>
      </c>
      <c r="D140" s="51">
        <v>65.0</v>
      </c>
      <c r="E140" s="52" t="s">
        <v>25</v>
      </c>
      <c r="F140" s="52" t="s">
        <v>26</v>
      </c>
      <c r="G140" s="53"/>
    </row>
    <row r="141">
      <c r="A141" s="49">
        <v>44486.01696957176</v>
      </c>
      <c r="B141" s="50">
        <v>44486.1419402777</v>
      </c>
      <c r="C141" s="51">
        <v>1.054</v>
      </c>
      <c r="D141" s="51">
        <v>65.0</v>
      </c>
      <c r="E141" s="52" t="s">
        <v>25</v>
      </c>
      <c r="F141" s="52" t="s">
        <v>26</v>
      </c>
      <c r="G141" s="53"/>
    </row>
    <row r="142">
      <c r="A142" s="49">
        <v>44486.02739372685</v>
      </c>
      <c r="B142" s="50">
        <v>44486.1523588541</v>
      </c>
      <c r="C142" s="51">
        <v>1.054</v>
      </c>
      <c r="D142" s="51">
        <v>65.0</v>
      </c>
      <c r="E142" s="52" t="s">
        <v>25</v>
      </c>
      <c r="F142" s="52" t="s">
        <v>26</v>
      </c>
      <c r="G142" s="53"/>
    </row>
    <row r="143">
      <c r="A143" s="49">
        <v>44486.03780993055</v>
      </c>
      <c r="B143" s="50">
        <v>44486.1627801273</v>
      </c>
      <c r="C143" s="51">
        <v>1.054</v>
      </c>
      <c r="D143" s="51">
        <v>65.0</v>
      </c>
      <c r="E143" s="52" t="s">
        <v>25</v>
      </c>
      <c r="F143" s="52" t="s">
        <v>26</v>
      </c>
      <c r="G143" s="53"/>
    </row>
    <row r="144">
      <c r="A144" s="49">
        <v>44486.04823130787</v>
      </c>
      <c r="B144" s="50">
        <v>44486.1732009027</v>
      </c>
      <c r="C144" s="51">
        <v>1.054</v>
      </c>
      <c r="D144" s="51">
        <v>65.0</v>
      </c>
      <c r="E144" s="52" t="s">
        <v>25</v>
      </c>
      <c r="F144" s="52" t="s">
        <v>26</v>
      </c>
      <c r="G144" s="53"/>
    </row>
    <row r="145">
      <c r="A145" s="49">
        <v>44486.05865228009</v>
      </c>
      <c r="B145" s="50">
        <v>44486.1836233564</v>
      </c>
      <c r="C145" s="51">
        <v>1.054</v>
      </c>
      <c r="D145" s="51">
        <v>66.0</v>
      </c>
      <c r="E145" s="52" t="s">
        <v>25</v>
      </c>
      <c r="F145" s="52" t="s">
        <v>26</v>
      </c>
      <c r="G145" s="53"/>
    </row>
    <row r="146">
      <c r="A146" s="49">
        <v>44486.06908753472</v>
      </c>
      <c r="B146" s="50">
        <v>44486.1940557523</v>
      </c>
      <c r="C146" s="51">
        <v>1.054</v>
      </c>
      <c r="D146" s="51">
        <v>66.0</v>
      </c>
      <c r="E146" s="52" t="s">
        <v>25</v>
      </c>
      <c r="F146" s="52" t="s">
        <v>26</v>
      </c>
      <c r="G146" s="53"/>
    </row>
    <row r="147">
      <c r="A147" s="49">
        <v>44486.07950927083</v>
      </c>
      <c r="B147" s="50">
        <v>44486.2044784838</v>
      </c>
      <c r="C147" s="51">
        <v>1.054</v>
      </c>
      <c r="D147" s="51">
        <v>66.0</v>
      </c>
      <c r="E147" s="52" t="s">
        <v>25</v>
      </c>
      <c r="F147" s="52" t="s">
        <v>26</v>
      </c>
      <c r="G147" s="53"/>
    </row>
    <row r="148">
      <c r="A148" s="49">
        <v>44486.08994146991</v>
      </c>
      <c r="B148" s="50">
        <v>44486.2149105324</v>
      </c>
      <c r="C148" s="51">
        <v>1.054</v>
      </c>
      <c r="D148" s="51">
        <v>66.0</v>
      </c>
      <c r="E148" s="52" t="s">
        <v>25</v>
      </c>
      <c r="F148" s="52" t="s">
        <v>26</v>
      </c>
      <c r="G148" s="53"/>
    </row>
    <row r="149">
      <c r="A149" s="49">
        <v>44486.10035876157</v>
      </c>
      <c r="B149" s="50">
        <v>44486.2253315393</v>
      </c>
      <c r="C149" s="51">
        <v>1.054</v>
      </c>
      <c r="D149" s="51">
        <v>66.0</v>
      </c>
      <c r="E149" s="52" t="s">
        <v>25</v>
      </c>
      <c r="F149" s="52" t="s">
        <v>26</v>
      </c>
      <c r="G149" s="53"/>
    </row>
    <row r="150">
      <c r="A150" s="49">
        <v>44486.11077108796</v>
      </c>
      <c r="B150" s="50">
        <v>44486.2357522106</v>
      </c>
      <c r="C150" s="51">
        <v>1.054</v>
      </c>
      <c r="D150" s="51">
        <v>66.0</v>
      </c>
      <c r="E150" s="52" t="s">
        <v>25</v>
      </c>
      <c r="F150" s="52" t="s">
        <v>26</v>
      </c>
      <c r="G150" s="53"/>
    </row>
    <row r="151">
      <c r="A151" s="49">
        <v>44486.121204525465</v>
      </c>
      <c r="B151" s="50">
        <v>44486.2461723958</v>
      </c>
      <c r="C151" s="51">
        <v>1.054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44486.13162587963</v>
      </c>
      <c r="B152" s="50">
        <v>44486.256594456</v>
      </c>
      <c r="C152" s="51">
        <v>1.054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44486.142044340275</v>
      </c>
      <c r="B153" s="50">
        <v>44486.2670131944</v>
      </c>
      <c r="C153" s="51">
        <v>1.054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44486.15246546296</v>
      </c>
      <c r="B154" s="50">
        <v>44486.2774355324</v>
      </c>
      <c r="C154" s="51">
        <v>1.054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44486.16289028936</v>
      </c>
      <c r="B155" s="50">
        <v>44486.2878589004</v>
      </c>
      <c r="C155" s="51">
        <v>1.054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44486.173313506944</v>
      </c>
      <c r="B156" s="50">
        <v>44486.2982788194</v>
      </c>
      <c r="C156" s="51">
        <v>1.054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44486.18373121528</v>
      </c>
      <c r="B157" s="50">
        <v>44486.3087012615</v>
      </c>
      <c r="C157" s="51">
        <v>1.054</v>
      </c>
      <c r="D157" s="51">
        <v>66.0</v>
      </c>
      <c r="E157" s="52" t="s">
        <v>25</v>
      </c>
      <c r="F157" s="52" t="s">
        <v>26</v>
      </c>
      <c r="G157" s="53"/>
    </row>
    <row r="158">
      <c r="A158" s="49">
        <v>44486.19415260416</v>
      </c>
      <c r="B158" s="50">
        <v>44486.3191217361</v>
      </c>
      <c r="C158" s="51">
        <v>1.054</v>
      </c>
      <c r="D158" s="51">
        <v>66.0</v>
      </c>
      <c r="E158" s="52" t="s">
        <v>25</v>
      </c>
      <c r="F158" s="52" t="s">
        <v>26</v>
      </c>
      <c r="G158" s="53"/>
    </row>
    <row r="159">
      <c r="A159" s="49">
        <v>44486.20459069444</v>
      </c>
      <c r="B159" s="50">
        <v>44486.3295538657</v>
      </c>
      <c r="C159" s="51">
        <v>1.054</v>
      </c>
      <c r="D159" s="51">
        <v>66.0</v>
      </c>
      <c r="E159" s="52" t="s">
        <v>25</v>
      </c>
      <c r="F159" s="52" t="s">
        <v>26</v>
      </c>
      <c r="G159" s="53"/>
    </row>
    <row r="160">
      <c r="A160" s="49">
        <v>44486.21501193287</v>
      </c>
      <c r="B160" s="50">
        <v>44486.3399761805</v>
      </c>
      <c r="C160" s="51">
        <v>1.054</v>
      </c>
      <c r="D160" s="51">
        <v>66.0</v>
      </c>
      <c r="E160" s="52" t="s">
        <v>25</v>
      </c>
      <c r="F160" s="52" t="s">
        <v>26</v>
      </c>
      <c r="G160" s="53"/>
    </row>
    <row r="161">
      <c r="A161" s="49">
        <v>44486.22543202546</v>
      </c>
      <c r="B161" s="50">
        <v>44486.3503960069</v>
      </c>
      <c r="C161" s="51">
        <v>1.054</v>
      </c>
      <c r="D161" s="51">
        <v>66.0</v>
      </c>
      <c r="E161" s="52" t="s">
        <v>25</v>
      </c>
      <c r="F161" s="52" t="s">
        <v>26</v>
      </c>
      <c r="G161" s="53"/>
    </row>
    <row r="162">
      <c r="A162" s="49">
        <v>44486.235846701384</v>
      </c>
      <c r="B162" s="50">
        <v>44486.3608158449</v>
      </c>
      <c r="C162" s="51">
        <v>1.054</v>
      </c>
      <c r="D162" s="51">
        <v>66.0</v>
      </c>
      <c r="E162" s="52" t="s">
        <v>25</v>
      </c>
      <c r="F162" s="52" t="s">
        <v>26</v>
      </c>
      <c r="G162" s="53"/>
    </row>
    <row r="163">
      <c r="A163" s="49">
        <v>44486.245064375005</v>
      </c>
      <c r="B163" s="50">
        <v>44486.3700276041</v>
      </c>
      <c r="C163" s="51">
        <v>1.054</v>
      </c>
      <c r="D163" s="51">
        <v>66.0</v>
      </c>
      <c r="E163" s="52" t="s">
        <v>25</v>
      </c>
      <c r="F163" s="52" t="s">
        <v>26</v>
      </c>
      <c r="G163" s="53"/>
    </row>
    <row r="164">
      <c r="A164" s="49">
        <v>44486.255491504635</v>
      </c>
      <c r="B164" s="50">
        <v>44486.380461493</v>
      </c>
      <c r="C164" s="51">
        <v>1.054</v>
      </c>
      <c r="D164" s="51">
        <v>66.0</v>
      </c>
      <c r="E164" s="52" t="s">
        <v>25</v>
      </c>
      <c r="F164" s="52" t="s">
        <v>26</v>
      </c>
      <c r="G164" s="53"/>
    </row>
    <row r="165">
      <c r="A165" s="49">
        <v>44486.26590564815</v>
      </c>
      <c r="B165" s="50">
        <v>44486.3908829976</v>
      </c>
      <c r="C165" s="51">
        <v>1.054</v>
      </c>
      <c r="D165" s="51">
        <v>66.0</v>
      </c>
      <c r="E165" s="52" t="s">
        <v>25</v>
      </c>
      <c r="F165" s="52" t="s">
        <v>26</v>
      </c>
      <c r="G165" s="53"/>
    </row>
    <row r="166">
      <c r="A166" s="49">
        <v>44486.276339247685</v>
      </c>
      <c r="B166" s="50">
        <v>44486.4013055324</v>
      </c>
      <c r="C166" s="51">
        <v>1.054</v>
      </c>
      <c r="D166" s="51">
        <v>66.0</v>
      </c>
      <c r="E166" s="52" t="s">
        <v>25</v>
      </c>
      <c r="F166" s="52" t="s">
        <v>26</v>
      </c>
      <c r="G166" s="53"/>
    </row>
    <row r="167">
      <c r="A167" s="49">
        <v>44486.286819120374</v>
      </c>
      <c r="B167" s="50">
        <v>44486.41172853</v>
      </c>
      <c r="C167" s="51">
        <v>1.054</v>
      </c>
      <c r="D167" s="51">
        <v>66.0</v>
      </c>
      <c r="E167" s="52" t="s">
        <v>25</v>
      </c>
      <c r="F167" s="52" t="s">
        <v>26</v>
      </c>
      <c r="G167" s="53"/>
    </row>
    <row r="168">
      <c r="A168" s="49">
        <v>44486.29717675926</v>
      </c>
      <c r="B168" s="50">
        <v>44486.4221489351</v>
      </c>
      <c r="C168" s="51">
        <v>1.054</v>
      </c>
      <c r="D168" s="51">
        <v>66.0</v>
      </c>
      <c r="E168" s="52" t="s">
        <v>25</v>
      </c>
      <c r="F168" s="52" t="s">
        <v>26</v>
      </c>
      <c r="G168" s="53"/>
    </row>
    <row r="169">
      <c r="A169" s="49">
        <v>44486.307597384264</v>
      </c>
      <c r="B169" s="50">
        <v>44486.4325695138</v>
      </c>
      <c r="C169" s="51">
        <v>1.054</v>
      </c>
      <c r="D169" s="51">
        <v>66.0</v>
      </c>
      <c r="E169" s="52" t="s">
        <v>25</v>
      </c>
      <c r="F169" s="52" t="s">
        <v>26</v>
      </c>
      <c r="G169" s="53"/>
    </row>
    <row r="170">
      <c r="A170" s="49">
        <v>44486.31801877315</v>
      </c>
      <c r="B170" s="50">
        <v>44486.4429920833</v>
      </c>
      <c r="C170" s="51">
        <v>1.054</v>
      </c>
      <c r="D170" s="51">
        <v>66.0</v>
      </c>
      <c r="E170" s="52" t="s">
        <v>25</v>
      </c>
      <c r="F170" s="52" t="s">
        <v>26</v>
      </c>
      <c r="G170" s="53"/>
    </row>
    <row r="171">
      <c r="A171" s="49">
        <v>44486.328444224535</v>
      </c>
      <c r="B171" s="50">
        <v>44486.4534143634</v>
      </c>
      <c r="C171" s="51">
        <v>1.054</v>
      </c>
      <c r="D171" s="51">
        <v>66.0</v>
      </c>
      <c r="E171" s="52" t="s">
        <v>25</v>
      </c>
      <c r="F171" s="52" t="s">
        <v>26</v>
      </c>
      <c r="G171" s="53"/>
    </row>
    <row r="172">
      <c r="A172" s="49">
        <v>44486.33885246528</v>
      </c>
      <c r="B172" s="50">
        <v>44486.4638356828</v>
      </c>
      <c r="C172" s="51">
        <v>1.054</v>
      </c>
      <c r="D172" s="51">
        <v>66.0</v>
      </c>
      <c r="E172" s="52" t="s">
        <v>25</v>
      </c>
      <c r="F172" s="52" t="s">
        <v>26</v>
      </c>
      <c r="G172" s="53"/>
    </row>
    <row r="173">
      <c r="A173" s="49">
        <v>44486.349296053246</v>
      </c>
      <c r="B173" s="50">
        <v>44486.4742694444</v>
      </c>
      <c r="C173" s="51">
        <v>1.054</v>
      </c>
      <c r="D173" s="51">
        <v>66.0</v>
      </c>
      <c r="E173" s="52" t="s">
        <v>25</v>
      </c>
      <c r="F173" s="52" t="s">
        <v>26</v>
      </c>
      <c r="G173" s="53"/>
    </row>
    <row r="174">
      <c r="A174" s="49">
        <v>44486.35971424769</v>
      </c>
      <c r="B174" s="50">
        <v>44486.4846908796</v>
      </c>
      <c r="C174" s="51">
        <v>1.054</v>
      </c>
      <c r="D174" s="51">
        <v>66.0</v>
      </c>
      <c r="E174" s="52" t="s">
        <v>25</v>
      </c>
      <c r="F174" s="52" t="s">
        <v>26</v>
      </c>
      <c r="G174" s="53"/>
    </row>
    <row r="175">
      <c r="A175" s="49">
        <v>44486.37014694445</v>
      </c>
      <c r="B175" s="50">
        <v>44486.495124537</v>
      </c>
      <c r="C175" s="51">
        <v>1.054</v>
      </c>
      <c r="D175" s="51">
        <v>66.0</v>
      </c>
      <c r="E175" s="52" t="s">
        <v>25</v>
      </c>
      <c r="F175" s="52" t="s">
        <v>26</v>
      </c>
      <c r="G175" s="53"/>
    </row>
    <row r="176">
      <c r="A176" s="49">
        <v>44486.38056734954</v>
      </c>
      <c r="B176" s="50">
        <v>44486.5055447338</v>
      </c>
      <c r="C176" s="51">
        <v>1.054</v>
      </c>
      <c r="D176" s="51">
        <v>66.0</v>
      </c>
      <c r="E176" s="52" t="s">
        <v>25</v>
      </c>
      <c r="F176" s="52" t="s">
        <v>26</v>
      </c>
      <c r="G176" s="53"/>
    </row>
    <row r="177">
      <c r="A177" s="49">
        <v>44486.39099408565</v>
      </c>
      <c r="B177" s="50">
        <v>44486.515966574</v>
      </c>
      <c r="C177" s="51">
        <v>1.054</v>
      </c>
      <c r="D177" s="51">
        <v>66.0</v>
      </c>
      <c r="E177" s="52" t="s">
        <v>25</v>
      </c>
      <c r="F177" s="52" t="s">
        <v>26</v>
      </c>
      <c r="G177" s="53"/>
    </row>
    <row r="178">
      <c r="A178" s="49">
        <v>44486.401412824074</v>
      </c>
      <c r="B178" s="50">
        <v>44486.5263873495</v>
      </c>
      <c r="C178" s="51">
        <v>1.054</v>
      </c>
      <c r="D178" s="51">
        <v>66.0</v>
      </c>
      <c r="E178" s="52" t="s">
        <v>25</v>
      </c>
      <c r="F178" s="52" t="s">
        <v>26</v>
      </c>
      <c r="G178" s="53"/>
    </row>
    <row r="179">
      <c r="A179" s="49">
        <v>44486.411838541666</v>
      </c>
      <c r="B179" s="50">
        <v>44486.5368086805</v>
      </c>
      <c r="C179" s="51">
        <v>1.054</v>
      </c>
      <c r="D179" s="51">
        <v>66.0</v>
      </c>
      <c r="E179" s="52" t="s">
        <v>25</v>
      </c>
      <c r="F179" s="52" t="s">
        <v>26</v>
      </c>
      <c r="G179" s="53"/>
    </row>
    <row r="180">
      <c r="A180" s="49">
        <v>44486.4222661574</v>
      </c>
      <c r="B180" s="50">
        <v>44486.5472294097</v>
      </c>
      <c r="C180" s="51">
        <v>1.054</v>
      </c>
      <c r="D180" s="51">
        <v>66.0</v>
      </c>
      <c r="E180" s="52" t="s">
        <v>25</v>
      </c>
      <c r="F180" s="52" t="s">
        <v>26</v>
      </c>
      <c r="G180" s="53"/>
    </row>
    <row r="181">
      <c r="A181" s="49">
        <v>44486.43268116898</v>
      </c>
      <c r="B181" s="50">
        <v>44486.5576511574</v>
      </c>
      <c r="C181" s="51">
        <v>1.054</v>
      </c>
      <c r="D181" s="51">
        <v>66.0</v>
      </c>
      <c r="E181" s="52" t="s">
        <v>25</v>
      </c>
      <c r="F181" s="52" t="s">
        <v>26</v>
      </c>
      <c r="G181" s="53"/>
    </row>
    <row r="182">
      <c r="A182" s="49">
        <v>44486.44310685185</v>
      </c>
      <c r="B182" s="50">
        <v>44486.5680853356</v>
      </c>
      <c r="C182" s="51">
        <v>1.054</v>
      </c>
      <c r="D182" s="51">
        <v>65.0</v>
      </c>
      <c r="E182" s="52" t="s">
        <v>25</v>
      </c>
      <c r="F182" s="52" t="s">
        <v>26</v>
      </c>
      <c r="G182" s="53"/>
    </row>
    <row r="183">
      <c r="A183" s="49">
        <v>44486.45353774306</v>
      </c>
      <c r="B183" s="50">
        <v>44486.5785070833</v>
      </c>
      <c r="C183" s="51">
        <v>1.054</v>
      </c>
      <c r="D183" s="51">
        <v>63.0</v>
      </c>
      <c r="E183" s="52" t="s">
        <v>25</v>
      </c>
      <c r="F183" s="52" t="s">
        <v>26</v>
      </c>
      <c r="G183" s="53"/>
    </row>
    <row r="184">
      <c r="A184" s="49">
        <v>44486.463957500004</v>
      </c>
      <c r="B184" s="50">
        <v>44486.5889289004</v>
      </c>
      <c r="C184" s="51">
        <v>1.054</v>
      </c>
      <c r="D184" s="51">
        <v>62.0</v>
      </c>
      <c r="E184" s="52" t="s">
        <v>25</v>
      </c>
      <c r="F184" s="52" t="s">
        <v>26</v>
      </c>
      <c r="G184" s="53"/>
    </row>
    <row r="185">
      <c r="A185" s="49">
        <v>44486.474377129634</v>
      </c>
      <c r="B185" s="50">
        <v>44486.5993500347</v>
      </c>
      <c r="C185" s="51">
        <v>1.054</v>
      </c>
      <c r="D185" s="51">
        <v>61.0</v>
      </c>
      <c r="E185" s="52" t="s">
        <v>25</v>
      </c>
      <c r="F185" s="52" t="s">
        <v>26</v>
      </c>
      <c r="G185" s="53"/>
    </row>
    <row r="186">
      <c r="A186" s="49">
        <v>44486.485093877316</v>
      </c>
      <c r="B186" s="50">
        <v>44486.609770949</v>
      </c>
      <c r="C186" s="51">
        <v>1.054</v>
      </c>
      <c r="D186" s="51">
        <v>61.0</v>
      </c>
      <c r="E186" s="52" t="s">
        <v>25</v>
      </c>
      <c r="F186" s="52" t="s">
        <v>26</v>
      </c>
      <c r="G186" s="53"/>
    </row>
    <row r="187">
      <c r="A187" s="49">
        <v>44486.49522221065</v>
      </c>
      <c r="B187" s="50">
        <v>44486.6201919328</v>
      </c>
      <c r="C187" s="51">
        <v>1.054</v>
      </c>
      <c r="D187" s="51">
        <v>61.0</v>
      </c>
      <c r="E187" s="52" t="s">
        <v>25</v>
      </c>
      <c r="F187" s="52" t="s">
        <v>26</v>
      </c>
      <c r="G187" s="53"/>
    </row>
    <row r="188">
      <c r="A188" s="49">
        <v>44486.50564766204</v>
      </c>
      <c r="B188" s="50">
        <v>44486.6306234722</v>
      </c>
      <c r="C188" s="51">
        <v>1.054</v>
      </c>
      <c r="D188" s="51">
        <v>61.0</v>
      </c>
      <c r="E188" s="52" t="s">
        <v>25</v>
      </c>
      <c r="F188" s="52" t="s">
        <v>26</v>
      </c>
      <c r="G188" s="53"/>
    </row>
    <row r="189">
      <c r="A189" s="49">
        <v>44486.51607570602</v>
      </c>
      <c r="B189" s="50">
        <v>44486.641044699</v>
      </c>
      <c r="C189" s="51">
        <v>1.054</v>
      </c>
      <c r="D189" s="51">
        <v>62.0</v>
      </c>
      <c r="E189" s="52" t="s">
        <v>25</v>
      </c>
      <c r="F189" s="52" t="s">
        <v>26</v>
      </c>
      <c r="G189" s="53"/>
    </row>
    <row r="190">
      <c r="A190" s="49">
        <v>44486.52649408564</v>
      </c>
      <c r="B190" s="50">
        <v>44486.6514654976</v>
      </c>
      <c r="C190" s="51">
        <v>1.054</v>
      </c>
      <c r="D190" s="51">
        <v>62.0</v>
      </c>
      <c r="E190" s="52" t="s">
        <v>25</v>
      </c>
      <c r="F190" s="52" t="s">
        <v>26</v>
      </c>
      <c r="G190" s="53"/>
    </row>
    <row r="191">
      <c r="A191" s="49">
        <v>44486.53692190972</v>
      </c>
      <c r="B191" s="50">
        <v>44486.6618988426</v>
      </c>
      <c r="C191" s="51">
        <v>1.054</v>
      </c>
      <c r="D191" s="51">
        <v>62.0</v>
      </c>
      <c r="E191" s="52" t="s">
        <v>25</v>
      </c>
      <c r="F191" s="52" t="s">
        <v>26</v>
      </c>
      <c r="G191" s="53"/>
    </row>
    <row r="192">
      <c r="A192" s="49">
        <v>44486.54734824074</v>
      </c>
      <c r="B192" s="50">
        <v>44486.6723186226</v>
      </c>
      <c r="C192" s="51">
        <v>1.054</v>
      </c>
      <c r="D192" s="51">
        <v>62.0</v>
      </c>
      <c r="E192" s="52" t="s">
        <v>25</v>
      </c>
      <c r="F192" s="52" t="s">
        <v>26</v>
      </c>
      <c r="G192" s="53"/>
    </row>
    <row r="193">
      <c r="A193" s="49">
        <v>44486.55776105324</v>
      </c>
      <c r="B193" s="50">
        <v>44486.682738449</v>
      </c>
      <c r="C193" s="51">
        <v>1.054</v>
      </c>
      <c r="D193" s="51">
        <v>62.0</v>
      </c>
      <c r="E193" s="52" t="s">
        <v>25</v>
      </c>
      <c r="F193" s="52" t="s">
        <v>26</v>
      </c>
      <c r="G193" s="53"/>
    </row>
    <row r="194">
      <c r="A194" s="49">
        <v>44486.56818905093</v>
      </c>
      <c r="B194" s="50">
        <v>44486.6931602314</v>
      </c>
      <c r="C194" s="51">
        <v>1.054</v>
      </c>
      <c r="D194" s="51">
        <v>62.0</v>
      </c>
      <c r="E194" s="52" t="s">
        <v>25</v>
      </c>
      <c r="F194" s="52" t="s">
        <v>26</v>
      </c>
      <c r="G194" s="53"/>
    </row>
    <row r="195">
      <c r="A195" s="49">
        <v>44486.57861131945</v>
      </c>
      <c r="B195" s="50">
        <v>44486.7035811805</v>
      </c>
      <c r="C195" s="51">
        <v>1.054</v>
      </c>
      <c r="D195" s="51">
        <v>62.0</v>
      </c>
      <c r="E195" s="52" t="s">
        <v>25</v>
      </c>
      <c r="F195" s="52" t="s">
        <v>26</v>
      </c>
      <c r="G195" s="53"/>
    </row>
    <row r="196">
      <c r="A196" s="49">
        <v>44486.589030787036</v>
      </c>
      <c r="B196" s="50">
        <v>44486.7140020601</v>
      </c>
      <c r="C196" s="51">
        <v>1.054</v>
      </c>
      <c r="D196" s="51">
        <v>62.0</v>
      </c>
      <c r="E196" s="52" t="s">
        <v>25</v>
      </c>
      <c r="F196" s="52" t="s">
        <v>26</v>
      </c>
      <c r="G196" s="53"/>
    </row>
    <row r="197">
      <c r="A197" s="49">
        <v>44486.599453206014</v>
      </c>
      <c r="B197" s="50">
        <v>44486.7244248611</v>
      </c>
      <c r="C197" s="51">
        <v>1.054</v>
      </c>
      <c r="D197" s="51">
        <v>62.0</v>
      </c>
      <c r="E197" s="52" t="s">
        <v>25</v>
      </c>
      <c r="F197" s="52" t="s">
        <v>26</v>
      </c>
      <c r="G197" s="53"/>
    </row>
    <row r="198">
      <c r="A198" s="49">
        <v>44486.60987619213</v>
      </c>
      <c r="B198" s="50">
        <v>44486.7348467824</v>
      </c>
      <c r="C198" s="51">
        <v>1.054</v>
      </c>
      <c r="D198" s="51">
        <v>62.0</v>
      </c>
      <c r="E198" s="52" t="s">
        <v>25</v>
      </c>
      <c r="F198" s="52" t="s">
        <v>26</v>
      </c>
      <c r="G198" s="53"/>
    </row>
    <row r="199">
      <c r="A199" s="49">
        <v>44486.62029003473</v>
      </c>
      <c r="B199" s="50">
        <v>44486.7452674884</v>
      </c>
      <c r="C199" s="51">
        <v>1.054</v>
      </c>
      <c r="D199" s="51">
        <v>62.0</v>
      </c>
      <c r="E199" s="52" t="s">
        <v>25</v>
      </c>
      <c r="F199" s="52" t="s">
        <v>26</v>
      </c>
      <c r="G199" s="53"/>
    </row>
    <row r="200">
      <c r="A200" s="49">
        <v>44486.63071844907</v>
      </c>
      <c r="B200" s="50">
        <v>44486.7556882407</v>
      </c>
      <c r="C200" s="51">
        <v>1.054</v>
      </c>
      <c r="D200" s="51">
        <v>62.0</v>
      </c>
      <c r="E200" s="52" t="s">
        <v>25</v>
      </c>
      <c r="F200" s="52" t="s">
        <v>26</v>
      </c>
      <c r="G200" s="53"/>
    </row>
    <row r="201">
      <c r="A201" s="49">
        <v>44486.64114824074</v>
      </c>
      <c r="B201" s="50">
        <v>44486.7661223263</v>
      </c>
      <c r="C201" s="51">
        <v>1.054</v>
      </c>
      <c r="D201" s="51">
        <v>62.0</v>
      </c>
      <c r="E201" s="52" t="s">
        <v>25</v>
      </c>
      <c r="F201" s="52" t="s">
        <v>26</v>
      </c>
      <c r="G201" s="53"/>
    </row>
    <row r="202">
      <c r="A202" s="49">
        <v>44486.65156009259</v>
      </c>
      <c r="B202" s="50">
        <v>44486.776541574</v>
      </c>
      <c r="C202" s="51">
        <v>1.054</v>
      </c>
      <c r="D202" s="51">
        <v>62.0</v>
      </c>
      <c r="E202" s="52" t="s">
        <v>25</v>
      </c>
      <c r="F202" s="52" t="s">
        <v>26</v>
      </c>
      <c r="G202" s="53"/>
    </row>
    <row r="203">
      <c r="A203" s="49">
        <v>44486.661990925924</v>
      </c>
      <c r="B203" s="50">
        <v>44486.78696125</v>
      </c>
      <c r="C203" s="51">
        <v>1.054</v>
      </c>
      <c r="D203" s="51">
        <v>62.0</v>
      </c>
      <c r="E203" s="52" t="s">
        <v>25</v>
      </c>
      <c r="F203" s="52" t="s">
        <v>26</v>
      </c>
      <c r="G203" s="53"/>
    </row>
    <row r="204">
      <c r="A204" s="49">
        <v>44486.67242054398</v>
      </c>
      <c r="B204" s="50">
        <v>44486.7973939583</v>
      </c>
      <c r="C204" s="51">
        <v>1.054</v>
      </c>
      <c r="D204" s="51">
        <v>62.0</v>
      </c>
      <c r="E204" s="52" t="s">
        <v>25</v>
      </c>
      <c r="F204" s="52" t="s">
        <v>26</v>
      </c>
      <c r="G204" s="53"/>
    </row>
    <row r="205">
      <c r="A205" s="49">
        <v>44486.68283815972</v>
      </c>
      <c r="B205" s="50">
        <v>44486.8078146412</v>
      </c>
      <c r="C205" s="51">
        <v>1.054</v>
      </c>
      <c r="D205" s="51">
        <v>62.0</v>
      </c>
      <c r="E205" s="52" t="s">
        <v>25</v>
      </c>
      <c r="F205" s="52" t="s">
        <v>26</v>
      </c>
      <c r="G205" s="53"/>
    </row>
    <row r="206">
      <c r="A206" s="49">
        <v>44486.693292303244</v>
      </c>
      <c r="B206" s="50">
        <v>44486.818260243</v>
      </c>
      <c r="C206" s="51">
        <v>1.054</v>
      </c>
      <c r="D206" s="51">
        <v>62.0</v>
      </c>
      <c r="E206" s="52" t="s">
        <v>25</v>
      </c>
      <c r="F206" s="52" t="s">
        <v>26</v>
      </c>
      <c r="G206" s="53"/>
    </row>
    <row r="207">
      <c r="A207" s="49">
        <v>44486.70370903936</v>
      </c>
      <c r="B207" s="50">
        <v>44486.8286810995</v>
      </c>
      <c r="C207" s="51">
        <v>1.054</v>
      </c>
      <c r="D207" s="51">
        <v>62.0</v>
      </c>
      <c r="E207" s="52" t="s">
        <v>25</v>
      </c>
      <c r="F207" s="52" t="s">
        <v>26</v>
      </c>
      <c r="G207" s="53"/>
    </row>
    <row r="208">
      <c r="A208" s="49">
        <v>44486.714128101856</v>
      </c>
      <c r="B208" s="50">
        <v>44486.8391030092</v>
      </c>
      <c r="C208" s="51">
        <v>1.054</v>
      </c>
      <c r="D208" s="51">
        <v>62.0</v>
      </c>
      <c r="E208" s="52" t="s">
        <v>25</v>
      </c>
      <c r="F208" s="52" t="s">
        <v>26</v>
      </c>
      <c r="G208" s="53"/>
    </row>
    <row r="209">
      <c r="A209" s="49">
        <v>44486.724546770834</v>
      </c>
      <c r="B209" s="50">
        <v>44486.8495247338</v>
      </c>
      <c r="C209" s="51">
        <v>1.054</v>
      </c>
      <c r="D209" s="51">
        <v>62.0</v>
      </c>
      <c r="E209" s="52" t="s">
        <v>25</v>
      </c>
      <c r="F209" s="52" t="s">
        <v>26</v>
      </c>
      <c r="G209" s="53"/>
    </row>
    <row r="210">
      <c r="A210" s="49">
        <v>44486.734997754626</v>
      </c>
      <c r="B210" s="50">
        <v>44486.8599692939</v>
      </c>
      <c r="C210" s="51">
        <v>1.054</v>
      </c>
      <c r="D210" s="51">
        <v>62.0</v>
      </c>
      <c r="E210" s="52" t="s">
        <v>25</v>
      </c>
      <c r="F210" s="52" t="s">
        <v>26</v>
      </c>
      <c r="G210" s="53"/>
    </row>
    <row r="211">
      <c r="A211" s="49">
        <v>44486.74541585648</v>
      </c>
      <c r="B211" s="50">
        <v>44486.8703884259</v>
      </c>
      <c r="C211" s="51">
        <v>1.054</v>
      </c>
      <c r="D211" s="51">
        <v>62.0</v>
      </c>
      <c r="E211" s="52" t="s">
        <v>25</v>
      </c>
      <c r="F211" s="52" t="s">
        <v>26</v>
      </c>
      <c r="G211" s="53"/>
    </row>
    <row r="212">
      <c r="A212" s="49">
        <v>44486.75583708333</v>
      </c>
      <c r="B212" s="50">
        <v>44486.8808090625</v>
      </c>
      <c r="C212" s="51">
        <v>1.054</v>
      </c>
      <c r="D212" s="51">
        <v>62.0</v>
      </c>
      <c r="E212" s="52" t="s">
        <v>25</v>
      </c>
      <c r="F212" s="52" t="s">
        <v>26</v>
      </c>
      <c r="G212" s="53"/>
    </row>
    <row r="213">
      <c r="A213" s="49">
        <v>44486.766268437495</v>
      </c>
      <c r="B213" s="50">
        <v>44486.8912407754</v>
      </c>
      <c r="C213" s="51">
        <v>1.054</v>
      </c>
      <c r="D213" s="51">
        <v>62.0</v>
      </c>
      <c r="E213" s="52" t="s">
        <v>25</v>
      </c>
      <c r="F213" s="52" t="s">
        <v>26</v>
      </c>
      <c r="G213" s="53"/>
    </row>
    <row r="214">
      <c r="A214" s="49">
        <v>44486.776685046294</v>
      </c>
      <c r="B214" s="50">
        <v>44486.9016611458</v>
      </c>
      <c r="C214" s="51">
        <v>1.054</v>
      </c>
      <c r="D214" s="51">
        <v>62.0</v>
      </c>
      <c r="E214" s="52" t="s">
        <v>25</v>
      </c>
      <c r="F214" s="52" t="s">
        <v>26</v>
      </c>
      <c r="G214" s="53"/>
    </row>
    <row r="215">
      <c r="A215" s="49">
        <v>44486.78710288194</v>
      </c>
      <c r="B215" s="50">
        <v>44486.9120823495</v>
      </c>
      <c r="C215" s="51">
        <v>1.054</v>
      </c>
      <c r="D215" s="51">
        <v>62.0</v>
      </c>
      <c r="E215" s="52" t="s">
        <v>25</v>
      </c>
      <c r="F215" s="52" t="s">
        <v>26</v>
      </c>
      <c r="G215" s="53"/>
    </row>
    <row r="216">
      <c r="A216" s="49">
        <v>44486.79753354167</v>
      </c>
      <c r="B216" s="50">
        <v>44486.9225148148</v>
      </c>
      <c r="C216" s="51">
        <v>1.054</v>
      </c>
      <c r="D216" s="51">
        <v>62.0</v>
      </c>
      <c r="E216" s="52" t="s">
        <v>25</v>
      </c>
      <c r="F216" s="52" t="s">
        <v>26</v>
      </c>
      <c r="G216" s="53"/>
    </row>
    <row r="217">
      <c r="A217" s="49">
        <v>44486.807976157404</v>
      </c>
      <c r="B217" s="50">
        <v>44486.9329481134</v>
      </c>
      <c r="C217" s="51">
        <v>1.054</v>
      </c>
      <c r="D217" s="51">
        <v>62.0</v>
      </c>
      <c r="E217" s="52" t="s">
        <v>25</v>
      </c>
      <c r="F217" s="52" t="s">
        <v>26</v>
      </c>
      <c r="G217" s="53"/>
    </row>
    <row r="218">
      <c r="A218" s="49">
        <v>44486.81839502315</v>
      </c>
      <c r="B218" s="50">
        <v>44486.9433702314</v>
      </c>
      <c r="C218" s="51">
        <v>1.054</v>
      </c>
      <c r="D218" s="51">
        <v>62.0</v>
      </c>
      <c r="E218" s="52" t="s">
        <v>25</v>
      </c>
      <c r="F218" s="52" t="s">
        <v>26</v>
      </c>
      <c r="G218" s="53"/>
    </row>
    <row r="219">
      <c r="A219" s="49">
        <v>44486.82882484954</v>
      </c>
      <c r="B219" s="50">
        <v>44486.9537913888</v>
      </c>
      <c r="C219" s="51">
        <v>1.054</v>
      </c>
      <c r="D219" s="51">
        <v>62.0</v>
      </c>
      <c r="E219" s="52" t="s">
        <v>25</v>
      </c>
      <c r="F219" s="52" t="s">
        <v>26</v>
      </c>
      <c r="G219" s="53"/>
    </row>
    <row r="220">
      <c r="A220" s="49">
        <v>44486.83923755787</v>
      </c>
      <c r="B220" s="50">
        <v>44486.9642129398</v>
      </c>
      <c r="C220" s="51">
        <v>1.054</v>
      </c>
      <c r="D220" s="51">
        <v>62.0</v>
      </c>
      <c r="E220" s="52" t="s">
        <v>25</v>
      </c>
      <c r="F220" s="52" t="s">
        <v>26</v>
      </c>
      <c r="G220" s="53"/>
    </row>
    <row r="221">
      <c r="A221" s="49">
        <v>44486.849658252315</v>
      </c>
      <c r="B221" s="50">
        <v>44486.9746326851</v>
      </c>
      <c r="C221" s="51">
        <v>1.054</v>
      </c>
      <c r="D221" s="51">
        <v>62.0</v>
      </c>
      <c r="E221" s="52" t="s">
        <v>25</v>
      </c>
      <c r="F221" s="52" t="s">
        <v>26</v>
      </c>
      <c r="G221" s="53"/>
    </row>
    <row r="222">
      <c r="A222" s="49">
        <v>44486.86007708333</v>
      </c>
      <c r="B222" s="50">
        <v>44486.9850551273</v>
      </c>
      <c r="C222" s="51">
        <v>1.054</v>
      </c>
      <c r="D222" s="51">
        <v>62.0</v>
      </c>
      <c r="E222" s="52" t="s">
        <v>25</v>
      </c>
      <c r="F222" s="52" t="s">
        <v>26</v>
      </c>
      <c r="G222" s="53"/>
    </row>
    <row r="223">
      <c r="A223" s="49">
        <v>44486.870505196755</v>
      </c>
      <c r="B223" s="50">
        <v>44486.9954768634</v>
      </c>
      <c r="C223" s="51">
        <v>1.053</v>
      </c>
      <c r="D223" s="51">
        <v>62.0</v>
      </c>
      <c r="E223" s="52" t="s">
        <v>25</v>
      </c>
      <c r="F223" s="52" t="s">
        <v>26</v>
      </c>
      <c r="G223" s="53"/>
    </row>
    <row r="224">
      <c r="A224" s="49">
        <v>44486.88092630787</v>
      </c>
      <c r="B224" s="50">
        <v>44487.0058990972</v>
      </c>
      <c r="C224" s="51">
        <v>1.054</v>
      </c>
      <c r="D224" s="51">
        <v>63.0</v>
      </c>
      <c r="E224" s="52" t="s">
        <v>25</v>
      </c>
      <c r="F224" s="52" t="s">
        <v>26</v>
      </c>
      <c r="G224" s="53"/>
    </row>
    <row r="225">
      <c r="A225" s="49">
        <v>44486.89134119213</v>
      </c>
      <c r="B225" s="50">
        <v>44487.0163210069</v>
      </c>
      <c r="C225" s="51">
        <v>1.054</v>
      </c>
      <c r="D225" s="51">
        <v>63.0</v>
      </c>
      <c r="E225" s="52" t="s">
        <v>25</v>
      </c>
      <c r="F225" s="52" t="s">
        <v>26</v>
      </c>
      <c r="G225" s="53"/>
    </row>
    <row r="226">
      <c r="A226" s="49">
        <v>44486.901770833334</v>
      </c>
      <c r="B226" s="50">
        <v>44487.0267430555</v>
      </c>
      <c r="C226" s="51">
        <v>1.054</v>
      </c>
      <c r="D226" s="51">
        <v>63.0</v>
      </c>
      <c r="E226" s="52" t="s">
        <v>25</v>
      </c>
      <c r="F226" s="52" t="s">
        <v>26</v>
      </c>
      <c r="G226" s="53"/>
    </row>
    <row r="227">
      <c r="A227" s="49">
        <v>44486.91220471065</v>
      </c>
      <c r="B227" s="50">
        <v>44487.0371754629</v>
      </c>
      <c r="C227" s="51">
        <v>1.053</v>
      </c>
      <c r="D227" s="51">
        <v>63.0</v>
      </c>
      <c r="E227" s="52" t="s">
        <v>25</v>
      </c>
      <c r="F227" s="52" t="s">
        <v>26</v>
      </c>
      <c r="G227" s="53"/>
    </row>
    <row r="228">
      <c r="A228" s="49">
        <v>44486.922623356484</v>
      </c>
      <c r="B228" s="50">
        <v>44487.0475943634</v>
      </c>
      <c r="C228" s="51">
        <v>1.054</v>
      </c>
      <c r="D228" s="51">
        <v>63.0</v>
      </c>
      <c r="E228" s="52" t="s">
        <v>25</v>
      </c>
      <c r="F228" s="52" t="s">
        <v>26</v>
      </c>
      <c r="G228" s="53"/>
    </row>
    <row r="229">
      <c r="A229" s="49">
        <v>44486.9330444213</v>
      </c>
      <c r="B229" s="50">
        <v>44487.0580168634</v>
      </c>
      <c r="C229" s="51">
        <v>1.053</v>
      </c>
      <c r="D229" s="51">
        <v>63.0</v>
      </c>
      <c r="E229" s="52" t="s">
        <v>25</v>
      </c>
      <c r="F229" s="52" t="s">
        <v>26</v>
      </c>
      <c r="G229" s="53"/>
    </row>
    <row r="230">
      <c r="A230" s="49">
        <v>44486.94346782407</v>
      </c>
      <c r="B230" s="50">
        <v>44487.0684373148</v>
      </c>
      <c r="C230" s="51">
        <v>1.053</v>
      </c>
      <c r="D230" s="51">
        <v>63.0</v>
      </c>
      <c r="E230" s="52" t="s">
        <v>25</v>
      </c>
      <c r="F230" s="52" t="s">
        <v>26</v>
      </c>
      <c r="G230" s="53"/>
    </row>
    <row r="231">
      <c r="A231" s="49">
        <v>44486.95389334491</v>
      </c>
      <c r="B231" s="50">
        <v>44487.0788699768</v>
      </c>
      <c r="C231" s="51">
        <v>1.053</v>
      </c>
      <c r="D231" s="51">
        <v>63.0</v>
      </c>
      <c r="E231" s="52" t="s">
        <v>25</v>
      </c>
      <c r="F231" s="52" t="s">
        <v>26</v>
      </c>
      <c r="G231" s="53"/>
    </row>
    <row r="232">
      <c r="A232" s="49">
        <v>44486.96431001158</v>
      </c>
      <c r="B232" s="50">
        <v>44487.0892916319</v>
      </c>
      <c r="C232" s="51">
        <v>1.053</v>
      </c>
      <c r="D232" s="51">
        <v>63.0</v>
      </c>
      <c r="E232" s="52" t="s">
        <v>25</v>
      </c>
      <c r="F232" s="52" t="s">
        <v>26</v>
      </c>
      <c r="G232" s="53"/>
    </row>
    <row r="233">
      <c r="A233" s="49">
        <v>44486.97475302083</v>
      </c>
      <c r="B233" s="50">
        <v>44487.0997341782</v>
      </c>
      <c r="C233" s="51">
        <v>1.053</v>
      </c>
      <c r="D233" s="51">
        <v>63.0</v>
      </c>
      <c r="E233" s="52" t="s">
        <v>25</v>
      </c>
      <c r="F233" s="52" t="s">
        <v>26</v>
      </c>
      <c r="G233" s="53"/>
    </row>
    <row r="234">
      <c r="A234" s="49">
        <v>44486.98518754629</v>
      </c>
      <c r="B234" s="50">
        <v>44487.1101566435</v>
      </c>
      <c r="C234" s="51">
        <v>1.053</v>
      </c>
      <c r="D234" s="51">
        <v>63.0</v>
      </c>
      <c r="E234" s="52" t="s">
        <v>25</v>
      </c>
      <c r="F234" s="52" t="s">
        <v>26</v>
      </c>
      <c r="G234" s="53"/>
    </row>
    <row r="235">
      <c r="A235" s="49">
        <v>44486.99560606481</v>
      </c>
      <c r="B235" s="50">
        <v>44487.1205789351</v>
      </c>
      <c r="C235" s="51">
        <v>1.053</v>
      </c>
      <c r="D235" s="51">
        <v>63.0</v>
      </c>
      <c r="E235" s="52" t="s">
        <v>25</v>
      </c>
      <c r="F235" s="52" t="s">
        <v>26</v>
      </c>
      <c r="G235" s="53"/>
    </row>
    <row r="236">
      <c r="A236" s="49">
        <v>44487.006046828705</v>
      </c>
      <c r="B236" s="50">
        <v>44487.131023993</v>
      </c>
      <c r="C236" s="51">
        <v>1.053</v>
      </c>
      <c r="D236" s="51">
        <v>63.0</v>
      </c>
      <c r="E236" s="52" t="s">
        <v>25</v>
      </c>
      <c r="F236" s="52" t="s">
        <v>26</v>
      </c>
      <c r="G236" s="53"/>
    </row>
    <row r="237">
      <c r="A237" s="49">
        <v>44487.01648481481</v>
      </c>
      <c r="B237" s="50">
        <v>44487.14145728</v>
      </c>
      <c r="C237" s="51">
        <v>1.053</v>
      </c>
      <c r="D237" s="51">
        <v>63.0</v>
      </c>
      <c r="E237" s="52" t="s">
        <v>25</v>
      </c>
      <c r="F237" s="52" t="s">
        <v>26</v>
      </c>
      <c r="G237" s="53"/>
    </row>
    <row r="238">
      <c r="A238" s="49">
        <v>44487.02690956018</v>
      </c>
      <c r="B238" s="50">
        <v>44487.1518782986</v>
      </c>
      <c r="C238" s="51">
        <v>1.053</v>
      </c>
      <c r="D238" s="51">
        <v>63.0</v>
      </c>
      <c r="E238" s="52" t="s">
        <v>25</v>
      </c>
      <c r="F238" s="52" t="s">
        <v>26</v>
      </c>
      <c r="G238" s="53"/>
    </row>
    <row r="239">
      <c r="A239" s="49">
        <v>44487.03734003472</v>
      </c>
      <c r="B239" s="50">
        <v>44487.1623113657</v>
      </c>
      <c r="C239" s="51">
        <v>1.053</v>
      </c>
      <c r="D239" s="51">
        <v>63.0</v>
      </c>
      <c r="E239" s="52" t="s">
        <v>25</v>
      </c>
      <c r="F239" s="52" t="s">
        <v>26</v>
      </c>
      <c r="G239" s="53"/>
    </row>
    <row r="240">
      <c r="A240" s="49">
        <v>44487.04775846065</v>
      </c>
      <c r="B240" s="50">
        <v>44487.1727310995</v>
      </c>
      <c r="C240" s="51">
        <v>1.053</v>
      </c>
      <c r="D240" s="51">
        <v>63.0</v>
      </c>
      <c r="E240" s="52" t="s">
        <v>25</v>
      </c>
      <c r="F240" s="52" t="s">
        <v>26</v>
      </c>
      <c r="G240" s="53"/>
    </row>
    <row r="241">
      <c r="A241" s="49">
        <v>44487.058176481485</v>
      </c>
      <c r="B241" s="50">
        <v>44487.1831526504</v>
      </c>
      <c r="C241" s="51">
        <v>1.053</v>
      </c>
      <c r="D241" s="51">
        <v>63.0</v>
      </c>
      <c r="E241" s="52" t="s">
        <v>25</v>
      </c>
      <c r="F241" s="52" t="s">
        <v>26</v>
      </c>
      <c r="G241" s="53"/>
    </row>
    <row r="242">
      <c r="A242" s="49">
        <v>44487.068617847224</v>
      </c>
      <c r="B242" s="50">
        <v>44487.1935744444</v>
      </c>
      <c r="C242" s="51">
        <v>1.053</v>
      </c>
      <c r="D242" s="51">
        <v>63.0</v>
      </c>
      <c r="E242" s="52" t="s">
        <v>25</v>
      </c>
      <c r="F242" s="52" t="s">
        <v>26</v>
      </c>
      <c r="G242" s="53"/>
    </row>
    <row r="243">
      <c r="A243" s="49">
        <v>44487.0790227199</v>
      </c>
      <c r="B243" s="50">
        <v>44487.2039966203</v>
      </c>
      <c r="C243" s="51">
        <v>1.053</v>
      </c>
      <c r="D243" s="51">
        <v>63.0</v>
      </c>
      <c r="E243" s="52" t="s">
        <v>25</v>
      </c>
      <c r="F243" s="52" t="s">
        <v>26</v>
      </c>
      <c r="G243" s="53"/>
    </row>
    <row r="244">
      <c r="A244" s="49">
        <v>44487.089438020834</v>
      </c>
      <c r="B244" s="50">
        <v>44487.2144180555</v>
      </c>
      <c r="C244" s="51">
        <v>1.053</v>
      </c>
      <c r="D244" s="51">
        <v>63.0</v>
      </c>
      <c r="E244" s="52" t="s">
        <v>25</v>
      </c>
      <c r="F244" s="52" t="s">
        <v>26</v>
      </c>
      <c r="G244" s="53"/>
    </row>
    <row r="245">
      <c r="A245" s="49">
        <v>44487.099870034726</v>
      </c>
      <c r="B245" s="50">
        <v>44487.2248402777</v>
      </c>
      <c r="C245" s="51">
        <v>1.053</v>
      </c>
      <c r="D245" s="51">
        <v>63.0</v>
      </c>
      <c r="E245" s="52" t="s">
        <v>25</v>
      </c>
      <c r="F245" s="52" t="s">
        <v>26</v>
      </c>
      <c r="G245" s="53"/>
    </row>
    <row r="246">
      <c r="A246" s="49">
        <v>44487.11028731482</v>
      </c>
      <c r="B246" s="50">
        <v>44487.2352607986</v>
      </c>
      <c r="C246" s="51">
        <v>1.053</v>
      </c>
      <c r="D246" s="51">
        <v>63.0</v>
      </c>
      <c r="E246" s="52" t="s">
        <v>25</v>
      </c>
      <c r="F246" s="52" t="s">
        <v>26</v>
      </c>
      <c r="G246" s="53"/>
    </row>
    <row r="247">
      <c r="A247" s="49">
        <v>44487.120722175925</v>
      </c>
      <c r="B247" s="50">
        <v>44487.2456930902</v>
      </c>
      <c r="C247" s="51">
        <v>1.053</v>
      </c>
      <c r="D247" s="51">
        <v>63.0</v>
      </c>
      <c r="E247" s="52" t="s">
        <v>25</v>
      </c>
      <c r="F247" s="52" t="s">
        <v>26</v>
      </c>
      <c r="G247" s="53"/>
    </row>
    <row r="248">
      <c r="A248" s="49">
        <v>44487.13113534723</v>
      </c>
      <c r="B248" s="50">
        <v>44487.2561165856</v>
      </c>
      <c r="C248" s="51">
        <v>1.053</v>
      </c>
      <c r="D248" s="51">
        <v>63.0</v>
      </c>
      <c r="E248" s="52" t="s">
        <v>25</v>
      </c>
      <c r="F248" s="52" t="s">
        <v>26</v>
      </c>
      <c r="G248" s="53"/>
    </row>
    <row r="249">
      <c r="A249" s="49">
        <v>44487.14155555556</v>
      </c>
      <c r="B249" s="50">
        <v>44487.2665359375</v>
      </c>
      <c r="C249" s="51">
        <v>1.053</v>
      </c>
      <c r="D249" s="51">
        <v>63.0</v>
      </c>
      <c r="E249" s="52" t="s">
        <v>25</v>
      </c>
      <c r="F249" s="52" t="s">
        <v>26</v>
      </c>
      <c r="G249" s="53"/>
    </row>
    <row r="250">
      <c r="A250" s="49">
        <v>44487.151987060184</v>
      </c>
      <c r="B250" s="50">
        <v>44487.2769572685</v>
      </c>
      <c r="C250" s="51">
        <v>1.053</v>
      </c>
      <c r="D250" s="51">
        <v>63.0</v>
      </c>
      <c r="E250" s="52" t="s">
        <v>25</v>
      </c>
      <c r="F250" s="52" t="s">
        <v>26</v>
      </c>
      <c r="G250" s="53"/>
    </row>
    <row r="251">
      <c r="A251" s="49">
        <v>44487.16241002315</v>
      </c>
      <c r="B251" s="50">
        <v>44487.2873772453</v>
      </c>
      <c r="C251" s="51">
        <v>1.053</v>
      </c>
      <c r="D251" s="51">
        <v>63.0</v>
      </c>
      <c r="E251" s="52" t="s">
        <v>25</v>
      </c>
      <c r="F251" s="52" t="s">
        <v>26</v>
      </c>
      <c r="G251" s="53"/>
    </row>
    <row r="252">
      <c r="A252" s="49">
        <v>44487.17282579861</v>
      </c>
      <c r="B252" s="50">
        <v>44487.2977987615</v>
      </c>
      <c r="C252" s="51">
        <v>1.053</v>
      </c>
      <c r="D252" s="51">
        <v>63.0</v>
      </c>
      <c r="E252" s="52" t="s">
        <v>25</v>
      </c>
      <c r="F252" s="52" t="s">
        <v>26</v>
      </c>
      <c r="G252" s="53"/>
    </row>
    <row r="253">
      <c r="A253" s="49">
        <v>44487.183246932866</v>
      </c>
      <c r="B253" s="50">
        <v>44487.3082209375</v>
      </c>
      <c r="C253" s="51">
        <v>1.053</v>
      </c>
      <c r="D253" s="51">
        <v>63.0</v>
      </c>
      <c r="E253" s="52" t="s">
        <v>25</v>
      </c>
      <c r="F253" s="52" t="s">
        <v>26</v>
      </c>
      <c r="G253" s="53"/>
    </row>
    <row r="254">
      <c r="A254" s="49">
        <v>44487.19367086806</v>
      </c>
      <c r="B254" s="50">
        <v>44487.3186411458</v>
      </c>
      <c r="C254" s="51">
        <v>1.053</v>
      </c>
      <c r="D254" s="51">
        <v>63.0</v>
      </c>
      <c r="E254" s="52" t="s">
        <v>25</v>
      </c>
      <c r="F254" s="52" t="s">
        <v>26</v>
      </c>
      <c r="G254" s="53"/>
    </row>
    <row r="255">
      <c r="A255" s="49">
        <v>44487.20412689815</v>
      </c>
      <c r="B255" s="50">
        <v>44487.3290964699</v>
      </c>
      <c r="C255" s="51">
        <v>1.053</v>
      </c>
      <c r="D255" s="51">
        <v>63.0</v>
      </c>
      <c r="E255" s="52" t="s">
        <v>25</v>
      </c>
      <c r="F255" s="52" t="s">
        <v>26</v>
      </c>
      <c r="G255" s="53"/>
    </row>
    <row r="256">
      <c r="A256" s="49">
        <v>44487.21453840278</v>
      </c>
      <c r="B256" s="50">
        <v>44487.3395180208</v>
      </c>
      <c r="C256" s="51">
        <v>1.053</v>
      </c>
      <c r="D256" s="51">
        <v>63.0</v>
      </c>
      <c r="E256" s="52" t="s">
        <v>25</v>
      </c>
      <c r="F256" s="52" t="s">
        <v>26</v>
      </c>
      <c r="G256" s="53"/>
    </row>
    <row r="257">
      <c r="A257" s="49">
        <v>44487.22496896991</v>
      </c>
      <c r="B257" s="50">
        <v>44487.349939074</v>
      </c>
      <c r="C257" s="51">
        <v>1.053</v>
      </c>
      <c r="D257" s="51">
        <v>63.0</v>
      </c>
      <c r="E257" s="52" t="s">
        <v>25</v>
      </c>
      <c r="F257" s="52" t="s">
        <v>26</v>
      </c>
      <c r="G257" s="53"/>
    </row>
    <row r="258">
      <c r="A258" s="49">
        <v>44487.23539430556</v>
      </c>
      <c r="B258" s="50">
        <v>44487.3603604398</v>
      </c>
      <c r="C258" s="51">
        <v>1.053</v>
      </c>
      <c r="D258" s="51">
        <v>64.0</v>
      </c>
      <c r="E258" s="52" t="s">
        <v>25</v>
      </c>
      <c r="F258" s="52" t="s">
        <v>26</v>
      </c>
      <c r="G258" s="53"/>
    </row>
    <row r="259">
      <c r="A259" s="49">
        <v>44487.245816724535</v>
      </c>
      <c r="B259" s="50">
        <v>44487.3707811574</v>
      </c>
      <c r="C259" s="51">
        <v>1.053</v>
      </c>
      <c r="D259" s="51">
        <v>63.0</v>
      </c>
      <c r="E259" s="52" t="s">
        <v>25</v>
      </c>
      <c r="F259" s="52" t="s">
        <v>26</v>
      </c>
      <c r="G259" s="53"/>
    </row>
    <row r="260">
      <c r="A260" s="49">
        <v>44487.25622650463</v>
      </c>
      <c r="B260" s="50">
        <v>44487.3812027777</v>
      </c>
      <c r="C260" s="51">
        <v>1.053</v>
      </c>
      <c r="D260" s="51">
        <v>63.0</v>
      </c>
      <c r="E260" s="52" t="s">
        <v>25</v>
      </c>
      <c r="F260" s="52" t="s">
        <v>26</v>
      </c>
      <c r="G260" s="53"/>
    </row>
    <row r="261">
      <c r="A261" s="49">
        <v>44487.26664565972</v>
      </c>
      <c r="B261" s="50">
        <v>44487.3916249421</v>
      </c>
      <c r="C261" s="51">
        <v>1.053</v>
      </c>
      <c r="D261" s="51">
        <v>64.0</v>
      </c>
      <c r="E261" s="52" t="s">
        <v>25</v>
      </c>
      <c r="F261" s="52" t="s">
        <v>26</v>
      </c>
      <c r="G261" s="53"/>
    </row>
    <row r="262">
      <c r="A262" s="49">
        <v>44487.27709228009</v>
      </c>
      <c r="B262" s="50">
        <v>44487.4020572685</v>
      </c>
      <c r="C262" s="51">
        <v>1.053</v>
      </c>
      <c r="D262" s="51">
        <v>64.0</v>
      </c>
      <c r="E262" s="52" t="s">
        <v>25</v>
      </c>
      <c r="F262" s="52" t="s">
        <v>26</v>
      </c>
      <c r="G262" s="53"/>
    </row>
    <row r="263">
      <c r="A263" s="49">
        <v>44487.287523692125</v>
      </c>
      <c r="B263" s="50">
        <v>44487.4124904861</v>
      </c>
      <c r="C263" s="51">
        <v>1.053</v>
      </c>
      <c r="D263" s="51">
        <v>64.0</v>
      </c>
      <c r="E263" s="52" t="s">
        <v>25</v>
      </c>
      <c r="F263" s="52" t="s">
        <v>26</v>
      </c>
      <c r="G263" s="53"/>
    </row>
    <row r="264">
      <c r="A264" s="49">
        <v>44487.297944143516</v>
      </c>
      <c r="B264" s="50">
        <v>44487.4229105555</v>
      </c>
      <c r="C264" s="51">
        <v>1.053</v>
      </c>
      <c r="D264" s="51">
        <v>64.0</v>
      </c>
      <c r="E264" s="52" t="s">
        <v>25</v>
      </c>
      <c r="F264" s="52" t="s">
        <v>26</v>
      </c>
      <c r="G264" s="53"/>
    </row>
    <row r="265">
      <c r="A265" s="49">
        <v>44487.30835989583</v>
      </c>
      <c r="B265" s="50">
        <v>44487.4333315509</v>
      </c>
      <c r="C265" s="51">
        <v>1.053</v>
      </c>
      <c r="D265" s="51">
        <v>64.0</v>
      </c>
      <c r="E265" s="52" t="s">
        <v>25</v>
      </c>
      <c r="F265" s="52" t="s">
        <v>26</v>
      </c>
      <c r="G265" s="53"/>
    </row>
    <row r="266">
      <c r="A266" s="49">
        <v>44487.318776678236</v>
      </c>
      <c r="B266" s="50">
        <v>44487.4437513425</v>
      </c>
      <c r="C266" s="51">
        <v>1.053</v>
      </c>
      <c r="D266" s="51">
        <v>64.0</v>
      </c>
      <c r="E266" s="52" t="s">
        <v>25</v>
      </c>
      <c r="F266" s="52" t="s">
        <v>26</v>
      </c>
      <c r="G266" s="53"/>
    </row>
    <row r="267">
      <c r="A267" s="49">
        <v>44487.32920800926</v>
      </c>
      <c r="B267" s="50">
        <v>44487.4541744328</v>
      </c>
      <c r="C267" s="51">
        <v>1.053</v>
      </c>
      <c r="D267" s="51">
        <v>64.0</v>
      </c>
      <c r="E267" s="52" t="s">
        <v>25</v>
      </c>
      <c r="F267" s="52" t="s">
        <v>26</v>
      </c>
      <c r="G267" s="53"/>
    </row>
    <row r="268">
      <c r="A268" s="49">
        <v>44487.339627546295</v>
      </c>
      <c r="B268" s="50">
        <v>44487.4645953703</v>
      </c>
      <c r="C268" s="51">
        <v>1.053</v>
      </c>
      <c r="D268" s="51">
        <v>64.0</v>
      </c>
      <c r="E268" s="52" t="s">
        <v>25</v>
      </c>
      <c r="F268" s="52" t="s">
        <v>26</v>
      </c>
      <c r="G268" s="53"/>
    </row>
    <row r="269">
      <c r="A269" s="49">
        <v>44487.35004560185</v>
      </c>
      <c r="B269" s="50">
        <v>44487.4750166898</v>
      </c>
      <c r="C269" s="51">
        <v>1.053</v>
      </c>
      <c r="D269" s="51">
        <v>64.0</v>
      </c>
      <c r="E269" s="52" t="s">
        <v>25</v>
      </c>
      <c r="F269" s="52" t="s">
        <v>26</v>
      </c>
      <c r="G269" s="53"/>
    </row>
    <row r="270">
      <c r="A270" s="49">
        <v>44487.360461226854</v>
      </c>
      <c r="B270" s="50">
        <v>44487.4854391435</v>
      </c>
      <c r="C270" s="51">
        <v>1.052</v>
      </c>
      <c r="D270" s="51">
        <v>64.0</v>
      </c>
      <c r="E270" s="52" t="s">
        <v>25</v>
      </c>
      <c r="F270" s="52" t="s">
        <v>26</v>
      </c>
      <c r="G270" s="53"/>
    </row>
    <row r="271">
      <c r="A271" s="49">
        <v>44487.370893680556</v>
      </c>
      <c r="B271" s="50">
        <v>44487.4958714351</v>
      </c>
      <c r="C271" s="51">
        <v>1.052</v>
      </c>
      <c r="D271" s="51">
        <v>64.0</v>
      </c>
      <c r="E271" s="52" t="s">
        <v>25</v>
      </c>
      <c r="F271" s="52" t="s">
        <v>26</v>
      </c>
      <c r="G271" s="53"/>
    </row>
    <row r="272">
      <c r="A272" s="49">
        <v>44487.381334756945</v>
      </c>
      <c r="B272" s="50">
        <v>44487.5063047916</v>
      </c>
      <c r="C272" s="51">
        <v>1.052</v>
      </c>
      <c r="D272" s="51">
        <v>64.0</v>
      </c>
      <c r="E272" s="52" t="s">
        <v>25</v>
      </c>
      <c r="F272" s="52" t="s">
        <v>26</v>
      </c>
      <c r="G272" s="53"/>
    </row>
    <row r="273">
      <c r="A273" s="49">
        <v>44487.39175831019</v>
      </c>
      <c r="B273" s="50">
        <v>44487.5167275347</v>
      </c>
      <c r="C273" s="51">
        <v>1.052</v>
      </c>
      <c r="D273" s="51">
        <v>64.0</v>
      </c>
      <c r="E273" s="52" t="s">
        <v>25</v>
      </c>
      <c r="F273" s="52" t="s">
        <v>26</v>
      </c>
      <c r="G273" s="53"/>
    </row>
    <row r="274">
      <c r="A274" s="49">
        <v>44487.40218174769</v>
      </c>
      <c r="B274" s="50">
        <v>44487.5271498379</v>
      </c>
      <c r="C274" s="51">
        <v>1.052</v>
      </c>
      <c r="D274" s="51">
        <v>64.0</v>
      </c>
      <c r="E274" s="52" t="s">
        <v>25</v>
      </c>
      <c r="F274" s="52" t="s">
        <v>26</v>
      </c>
      <c r="G274" s="53"/>
    </row>
    <row r="275">
      <c r="A275" s="49">
        <v>44487.4126027662</v>
      </c>
      <c r="B275" s="50">
        <v>44487.53757228</v>
      </c>
      <c r="C275" s="51">
        <v>1.052</v>
      </c>
      <c r="D275" s="51">
        <v>64.0</v>
      </c>
      <c r="E275" s="52" t="s">
        <v>25</v>
      </c>
      <c r="F275" s="52" t="s">
        <v>26</v>
      </c>
      <c r="G275" s="53"/>
    </row>
    <row r="276">
      <c r="A276" s="49">
        <v>44487.42302004629</v>
      </c>
      <c r="B276" s="50">
        <v>44487.5479937963</v>
      </c>
      <c r="C276" s="51">
        <v>1.052</v>
      </c>
      <c r="D276" s="51">
        <v>64.0</v>
      </c>
      <c r="E276" s="52" t="s">
        <v>25</v>
      </c>
      <c r="F276" s="52" t="s">
        <v>26</v>
      </c>
      <c r="G276" s="53"/>
    </row>
    <row r="277">
      <c r="A277" s="49">
        <v>44487.43343643518</v>
      </c>
      <c r="B277" s="50">
        <v>44487.5584146643</v>
      </c>
      <c r="C277" s="51">
        <v>1.052</v>
      </c>
      <c r="D277" s="51">
        <v>64.0</v>
      </c>
      <c r="E277" s="52" t="s">
        <v>25</v>
      </c>
      <c r="F277" s="52" t="s">
        <v>26</v>
      </c>
      <c r="G277" s="53"/>
    </row>
    <row r="278">
      <c r="A278" s="49">
        <v>44487.44386516204</v>
      </c>
      <c r="B278" s="50">
        <v>44487.5688361226</v>
      </c>
      <c r="C278" s="51">
        <v>1.052</v>
      </c>
      <c r="D278" s="51">
        <v>64.0</v>
      </c>
      <c r="E278" s="52" t="s">
        <v>25</v>
      </c>
      <c r="F278" s="52" t="s">
        <v>26</v>
      </c>
      <c r="G278" s="53"/>
    </row>
    <row r="279">
      <c r="A279" s="49">
        <v>44487.45428684028</v>
      </c>
      <c r="B279" s="50">
        <v>44487.5792581944</v>
      </c>
      <c r="C279" s="51">
        <v>1.052</v>
      </c>
      <c r="D279" s="51">
        <v>64.0</v>
      </c>
      <c r="E279" s="52" t="s">
        <v>25</v>
      </c>
      <c r="F279" s="52" t="s">
        <v>26</v>
      </c>
      <c r="G279" s="53"/>
    </row>
    <row r="280">
      <c r="A280" s="49">
        <v>44487.464715381946</v>
      </c>
      <c r="B280" s="50">
        <v>44487.5896912963</v>
      </c>
      <c r="C280" s="51">
        <v>1.052</v>
      </c>
      <c r="D280" s="51">
        <v>64.0</v>
      </c>
      <c r="E280" s="52" t="s">
        <v>25</v>
      </c>
      <c r="F280" s="52" t="s">
        <v>26</v>
      </c>
      <c r="G280" s="53"/>
    </row>
    <row r="281">
      <c r="A281" s="49">
        <v>44487.475143738426</v>
      </c>
      <c r="B281" s="50">
        <v>44487.600113206</v>
      </c>
      <c r="C281" s="51">
        <v>1.052</v>
      </c>
      <c r="D281" s="51">
        <v>64.0</v>
      </c>
      <c r="E281" s="52" t="s">
        <v>25</v>
      </c>
      <c r="F281" s="52" t="s">
        <v>26</v>
      </c>
      <c r="G281" s="53"/>
    </row>
    <row r="282">
      <c r="A282" s="49">
        <v>44487.485565243056</v>
      </c>
      <c r="B282" s="50">
        <v>44487.6105348726</v>
      </c>
      <c r="C282" s="51">
        <v>1.051</v>
      </c>
      <c r="D282" s="51">
        <v>64.0</v>
      </c>
      <c r="E282" s="52" t="s">
        <v>25</v>
      </c>
      <c r="F282" s="52" t="s">
        <v>26</v>
      </c>
      <c r="G282" s="53"/>
    </row>
    <row r="283">
      <c r="A283" s="49">
        <v>44487.49599487269</v>
      </c>
      <c r="B283" s="50">
        <v>44487.6209694791</v>
      </c>
      <c r="C283" s="51">
        <v>1.051</v>
      </c>
      <c r="D283" s="51">
        <v>64.0</v>
      </c>
      <c r="E283" s="52" t="s">
        <v>25</v>
      </c>
      <c r="F283" s="52" t="s">
        <v>26</v>
      </c>
      <c r="G283" s="53"/>
    </row>
    <row r="284">
      <c r="A284" s="49">
        <v>44487.506406458335</v>
      </c>
      <c r="B284" s="50">
        <v>44487.631391493</v>
      </c>
      <c r="C284" s="51">
        <v>1.051</v>
      </c>
      <c r="D284" s="51">
        <v>64.0</v>
      </c>
      <c r="E284" s="52" t="s">
        <v>25</v>
      </c>
      <c r="F284" s="52" t="s">
        <v>26</v>
      </c>
      <c r="G284" s="53"/>
    </row>
    <row r="285">
      <c r="A285" s="49">
        <v>44487.51683975694</v>
      </c>
      <c r="B285" s="50">
        <v>44487.6418135416</v>
      </c>
      <c r="C285" s="51">
        <v>1.051</v>
      </c>
      <c r="D285" s="51">
        <v>64.0</v>
      </c>
      <c r="E285" s="52" t="s">
        <v>25</v>
      </c>
      <c r="F285" s="52" t="s">
        <v>26</v>
      </c>
      <c r="G285" s="53"/>
    </row>
    <row r="286">
      <c r="A286" s="49">
        <v>44487.52725857639</v>
      </c>
      <c r="B286" s="50">
        <v>44487.6522350925</v>
      </c>
      <c r="C286" s="51">
        <v>1.051</v>
      </c>
      <c r="D286" s="51">
        <v>64.0</v>
      </c>
      <c r="E286" s="52" t="s">
        <v>25</v>
      </c>
      <c r="F286" s="52" t="s">
        <v>26</v>
      </c>
      <c r="G286" s="53"/>
    </row>
    <row r="287">
      <c r="A287" s="49">
        <v>44487.53768146991</v>
      </c>
      <c r="B287" s="50">
        <v>44487.6626541203</v>
      </c>
      <c r="C287" s="51">
        <v>1.051</v>
      </c>
      <c r="D287" s="51">
        <v>64.0</v>
      </c>
      <c r="E287" s="52" t="s">
        <v>25</v>
      </c>
      <c r="F287" s="52" t="s">
        <v>26</v>
      </c>
      <c r="G287" s="53"/>
    </row>
    <row r="288">
      <c r="A288" s="49">
        <v>44487.54810935185</v>
      </c>
      <c r="B288" s="50">
        <v>44487.673076412</v>
      </c>
      <c r="C288" s="51">
        <v>1.051</v>
      </c>
      <c r="D288" s="51">
        <v>64.0</v>
      </c>
      <c r="E288" s="52" t="s">
        <v>25</v>
      </c>
      <c r="F288" s="52" t="s">
        <v>26</v>
      </c>
      <c r="G288" s="53"/>
    </row>
    <row r="289">
      <c r="A289" s="49">
        <v>44487.55852958333</v>
      </c>
      <c r="B289" s="50">
        <v>44487.6834971643</v>
      </c>
      <c r="C289" s="51">
        <v>1.051</v>
      </c>
      <c r="D289" s="51">
        <v>65.0</v>
      </c>
      <c r="E289" s="52" t="s">
        <v>25</v>
      </c>
      <c r="F289" s="52" t="s">
        <v>26</v>
      </c>
      <c r="G289" s="53"/>
    </row>
    <row r="290">
      <c r="A290" s="49">
        <v>44487.56894239583</v>
      </c>
      <c r="B290" s="50">
        <v>44487.6939189467</v>
      </c>
      <c r="C290" s="51">
        <v>1.051</v>
      </c>
      <c r="D290" s="51">
        <v>65.0</v>
      </c>
      <c r="E290" s="52" t="s">
        <v>25</v>
      </c>
      <c r="F290" s="52" t="s">
        <v>26</v>
      </c>
      <c r="G290" s="53"/>
    </row>
    <row r="291">
      <c r="A291" s="49">
        <v>44487.57936320602</v>
      </c>
      <c r="B291" s="50">
        <v>44487.704341412</v>
      </c>
      <c r="C291" s="51">
        <v>1.05</v>
      </c>
      <c r="D291" s="51">
        <v>65.0</v>
      </c>
      <c r="E291" s="52" t="s">
        <v>25</v>
      </c>
      <c r="F291" s="52" t="s">
        <v>26</v>
      </c>
      <c r="G291" s="53"/>
    </row>
    <row r="292">
      <c r="A292" s="49">
        <v>44487.58981075231</v>
      </c>
      <c r="B292" s="50">
        <v>44487.7147741435</v>
      </c>
      <c r="C292" s="51">
        <v>1.05</v>
      </c>
      <c r="D292" s="51">
        <v>65.0</v>
      </c>
      <c r="E292" s="52" t="s">
        <v>25</v>
      </c>
      <c r="F292" s="52" t="s">
        <v>26</v>
      </c>
      <c r="G292" s="53"/>
    </row>
    <row r="293">
      <c r="A293" s="49">
        <v>44487.600225625</v>
      </c>
      <c r="B293" s="50">
        <v>44487.7251954513</v>
      </c>
      <c r="C293" s="51">
        <v>1.05</v>
      </c>
      <c r="D293" s="51">
        <v>65.0</v>
      </c>
      <c r="E293" s="52" t="s">
        <v>25</v>
      </c>
      <c r="F293" s="52" t="s">
        <v>26</v>
      </c>
      <c r="G293" s="53"/>
    </row>
    <row r="294">
      <c r="A294" s="49">
        <v>44487.61064472223</v>
      </c>
      <c r="B294" s="50">
        <v>44487.7356157291</v>
      </c>
      <c r="C294" s="51">
        <v>1.05</v>
      </c>
      <c r="D294" s="51">
        <v>65.0</v>
      </c>
      <c r="E294" s="52" t="s">
        <v>25</v>
      </c>
      <c r="F294" s="52" t="s">
        <v>26</v>
      </c>
      <c r="G294" s="53"/>
    </row>
    <row r="295">
      <c r="A295" s="49">
        <v>44487.62105832176</v>
      </c>
      <c r="B295" s="50">
        <v>44487.7460374421</v>
      </c>
      <c r="C295" s="51">
        <v>1.05</v>
      </c>
      <c r="D295" s="51">
        <v>65.0</v>
      </c>
      <c r="E295" s="52" t="s">
        <v>25</v>
      </c>
      <c r="F295" s="52" t="s">
        <v>26</v>
      </c>
      <c r="G295" s="53"/>
    </row>
    <row r="296">
      <c r="A296" s="49">
        <v>44487.63149649306</v>
      </c>
      <c r="B296" s="50">
        <v>44487.7564696759</v>
      </c>
      <c r="C296" s="51">
        <v>1.05</v>
      </c>
      <c r="D296" s="51">
        <v>65.0</v>
      </c>
      <c r="E296" s="52" t="s">
        <v>25</v>
      </c>
      <c r="F296" s="52" t="s">
        <v>26</v>
      </c>
      <c r="G296" s="53"/>
    </row>
    <row r="297">
      <c r="A297" s="49">
        <v>44487.64193217593</v>
      </c>
      <c r="B297" s="50">
        <v>44487.7669031713</v>
      </c>
      <c r="C297" s="51">
        <v>1.05</v>
      </c>
      <c r="D297" s="51">
        <v>65.0</v>
      </c>
      <c r="E297" s="52" t="s">
        <v>25</v>
      </c>
      <c r="F297" s="52" t="s">
        <v>26</v>
      </c>
      <c r="G297" s="53"/>
    </row>
    <row r="298">
      <c r="A298" s="49">
        <v>44487.652352233796</v>
      </c>
      <c r="B298" s="50">
        <v>44487.7773233796</v>
      </c>
      <c r="C298" s="51">
        <v>1.049</v>
      </c>
      <c r="D298" s="51">
        <v>65.0</v>
      </c>
      <c r="E298" s="52" t="s">
        <v>25</v>
      </c>
      <c r="F298" s="52" t="s">
        <v>26</v>
      </c>
      <c r="G298" s="53"/>
    </row>
    <row r="299">
      <c r="A299" s="49">
        <v>44487.662778287035</v>
      </c>
      <c r="B299" s="50">
        <v>44487.7877459838</v>
      </c>
      <c r="C299" s="51">
        <v>1.049</v>
      </c>
      <c r="D299" s="51">
        <v>65.0</v>
      </c>
      <c r="E299" s="52" t="s">
        <v>25</v>
      </c>
      <c r="F299" s="52" t="s">
        <v>26</v>
      </c>
      <c r="G299" s="53"/>
    </row>
    <row r="300">
      <c r="A300" s="49">
        <v>44487.67320592592</v>
      </c>
      <c r="B300" s="50">
        <v>44487.7981784143</v>
      </c>
      <c r="C300" s="51">
        <v>1.049</v>
      </c>
      <c r="D300" s="51">
        <v>65.0</v>
      </c>
      <c r="E300" s="52" t="s">
        <v>25</v>
      </c>
      <c r="F300" s="52" t="s">
        <v>26</v>
      </c>
      <c r="G300" s="53"/>
    </row>
    <row r="301">
      <c r="A301" s="49">
        <v>44487.6836421412</v>
      </c>
      <c r="B301" s="50">
        <v>44487.8086115856</v>
      </c>
      <c r="C301" s="51">
        <v>1.049</v>
      </c>
      <c r="D301" s="51">
        <v>65.0</v>
      </c>
      <c r="E301" s="52" t="s">
        <v>25</v>
      </c>
      <c r="F301" s="52" t="s">
        <v>26</v>
      </c>
      <c r="G301" s="53"/>
    </row>
    <row r="302">
      <c r="A302" s="49">
        <v>44487.694061875</v>
      </c>
      <c r="B302" s="50">
        <v>44487.8190333796</v>
      </c>
      <c r="C302" s="51">
        <v>1.048</v>
      </c>
      <c r="D302" s="51">
        <v>65.0</v>
      </c>
      <c r="E302" s="52" t="s">
        <v>25</v>
      </c>
      <c r="F302" s="52" t="s">
        <v>26</v>
      </c>
      <c r="G302" s="53"/>
    </row>
    <row r="303">
      <c r="A303" s="49">
        <v>44487.704485497685</v>
      </c>
      <c r="B303" s="50">
        <v>44487.8294568518</v>
      </c>
      <c r="C303" s="51">
        <v>1.049</v>
      </c>
      <c r="D303" s="51">
        <v>65.0</v>
      </c>
      <c r="E303" s="52" t="s">
        <v>25</v>
      </c>
      <c r="F303" s="52" t="s">
        <v>26</v>
      </c>
      <c r="G303" s="53"/>
    </row>
    <row r="304">
      <c r="A304" s="49">
        <v>44487.71490792824</v>
      </c>
      <c r="B304" s="50">
        <v>44487.8398777083</v>
      </c>
      <c r="C304" s="51">
        <v>1.049</v>
      </c>
      <c r="D304" s="51">
        <v>65.0</v>
      </c>
      <c r="E304" s="52" t="s">
        <v>25</v>
      </c>
      <c r="F304" s="52" t="s">
        <v>26</v>
      </c>
      <c r="G304" s="53"/>
    </row>
    <row r="305">
      <c r="A305" s="49">
        <v>44487.72533256945</v>
      </c>
      <c r="B305" s="50">
        <v>44487.8503094213</v>
      </c>
      <c r="C305" s="51">
        <v>1.049</v>
      </c>
      <c r="D305" s="51">
        <v>65.0</v>
      </c>
      <c r="E305" s="52" t="s">
        <v>25</v>
      </c>
      <c r="F305" s="52" t="s">
        <v>26</v>
      </c>
      <c r="G305" s="53"/>
    </row>
    <row r="306">
      <c r="A306" s="49">
        <v>44487.73576101851</v>
      </c>
      <c r="B306" s="50">
        <v>44487.8607288425</v>
      </c>
      <c r="C306" s="51">
        <v>1.048</v>
      </c>
      <c r="D306" s="51">
        <v>65.0</v>
      </c>
      <c r="E306" s="52" t="s">
        <v>25</v>
      </c>
      <c r="F306" s="52" t="s">
        <v>26</v>
      </c>
      <c r="G306" s="53"/>
    </row>
    <row r="307">
      <c r="A307" s="49">
        <v>44487.746174768516</v>
      </c>
      <c r="B307" s="50">
        <v>44487.871149456</v>
      </c>
      <c r="C307" s="51">
        <v>1.048</v>
      </c>
      <c r="D307" s="51">
        <v>65.0</v>
      </c>
      <c r="E307" s="52" t="s">
        <v>25</v>
      </c>
      <c r="F307" s="52" t="s">
        <v>26</v>
      </c>
      <c r="G307" s="53"/>
    </row>
    <row r="308">
      <c r="A308" s="49">
        <v>44487.75660474537</v>
      </c>
      <c r="B308" s="50">
        <v>44487.8815725115</v>
      </c>
      <c r="C308" s="51">
        <v>1.048</v>
      </c>
      <c r="D308" s="51">
        <v>65.0</v>
      </c>
      <c r="E308" s="52" t="s">
        <v>25</v>
      </c>
      <c r="F308" s="52" t="s">
        <v>26</v>
      </c>
      <c r="G308" s="53"/>
    </row>
    <row r="309">
      <c r="A309" s="49">
        <v>44487.76702559028</v>
      </c>
      <c r="B309" s="50">
        <v>44487.8919939004</v>
      </c>
      <c r="C309" s="51">
        <v>1.048</v>
      </c>
      <c r="D309" s="51">
        <v>65.0</v>
      </c>
      <c r="E309" s="52" t="s">
        <v>25</v>
      </c>
      <c r="F309" s="52" t="s">
        <v>26</v>
      </c>
      <c r="G309" s="53"/>
    </row>
    <row r="310">
      <c r="A310" s="49">
        <v>44487.777449814814</v>
      </c>
      <c r="B310" s="50">
        <v>44487.9024276504</v>
      </c>
      <c r="C310" s="51">
        <v>1.048</v>
      </c>
      <c r="D310" s="51">
        <v>66.0</v>
      </c>
      <c r="E310" s="52" t="s">
        <v>25</v>
      </c>
      <c r="F310" s="52" t="s">
        <v>26</v>
      </c>
      <c r="G310" s="53"/>
    </row>
    <row r="311">
      <c r="A311" s="49">
        <v>44487.78787990741</v>
      </c>
      <c r="B311" s="50">
        <v>44487.9128479745</v>
      </c>
      <c r="C311" s="51">
        <v>1.047</v>
      </c>
      <c r="D311" s="51">
        <v>66.0</v>
      </c>
      <c r="E311" s="52" t="s">
        <v>25</v>
      </c>
      <c r="F311" s="52" t="s">
        <v>26</v>
      </c>
      <c r="G311" s="53"/>
    </row>
    <row r="312">
      <c r="A312" s="49">
        <v>44487.79831060185</v>
      </c>
      <c r="B312" s="50">
        <v>44487.9232791319</v>
      </c>
      <c r="C312" s="51">
        <v>1.047</v>
      </c>
      <c r="D312" s="51">
        <v>66.0</v>
      </c>
      <c r="E312" s="52" t="s">
        <v>25</v>
      </c>
      <c r="F312" s="52" t="s">
        <v>26</v>
      </c>
      <c r="G312" s="53"/>
    </row>
    <row r="313">
      <c r="A313" s="49">
        <v>44487.80873710648</v>
      </c>
      <c r="B313" s="50">
        <v>44487.9337136458</v>
      </c>
      <c r="C313" s="51">
        <v>1.047</v>
      </c>
      <c r="D313" s="51">
        <v>66.0</v>
      </c>
      <c r="E313" s="52" t="s">
        <v>25</v>
      </c>
      <c r="F313" s="52" t="s">
        <v>26</v>
      </c>
      <c r="G313" s="53"/>
    </row>
    <row r="314">
      <c r="A314" s="49">
        <v>44487.81916097223</v>
      </c>
      <c r="B314" s="50">
        <v>44487.9441350347</v>
      </c>
      <c r="C314" s="51">
        <v>1.047</v>
      </c>
      <c r="D314" s="51">
        <v>66.0</v>
      </c>
      <c r="E314" s="52" t="s">
        <v>25</v>
      </c>
      <c r="F314" s="52" t="s">
        <v>26</v>
      </c>
      <c r="G314" s="53"/>
    </row>
    <row r="315">
      <c r="A315" s="49">
        <v>44487.82958476852</v>
      </c>
      <c r="B315" s="50">
        <v>44487.9545564583</v>
      </c>
      <c r="C315" s="51">
        <v>1.048</v>
      </c>
      <c r="D315" s="51">
        <v>66.0</v>
      </c>
      <c r="E315" s="52" t="s">
        <v>25</v>
      </c>
      <c r="F315" s="52" t="s">
        <v>26</v>
      </c>
      <c r="G315" s="53"/>
    </row>
    <row r="316">
      <c r="A316" s="49">
        <v>44487.84000398148</v>
      </c>
      <c r="B316" s="50">
        <v>44487.9649785416</v>
      </c>
      <c r="C316" s="51">
        <v>1.048</v>
      </c>
      <c r="D316" s="51">
        <v>66.0</v>
      </c>
      <c r="E316" s="52" t="s">
        <v>25</v>
      </c>
      <c r="F316" s="52" t="s">
        <v>26</v>
      </c>
      <c r="G316" s="53"/>
    </row>
    <row r="317">
      <c r="A317" s="49">
        <v>44487.85043258102</v>
      </c>
      <c r="B317" s="50">
        <v>44487.9754011574</v>
      </c>
      <c r="C317" s="51">
        <v>1.048</v>
      </c>
      <c r="D317" s="51">
        <v>64.0</v>
      </c>
      <c r="E317" s="52" t="s">
        <v>25</v>
      </c>
      <c r="F317" s="52" t="s">
        <v>26</v>
      </c>
      <c r="G317" s="53"/>
    </row>
    <row r="318">
      <c r="A318" s="49">
        <v>44487.86086267361</v>
      </c>
      <c r="B318" s="50">
        <v>44487.9858333796</v>
      </c>
      <c r="C318" s="51">
        <v>1.048</v>
      </c>
      <c r="D318" s="51">
        <v>63.0</v>
      </c>
      <c r="E318" s="52" t="s">
        <v>25</v>
      </c>
      <c r="F318" s="52" t="s">
        <v>26</v>
      </c>
      <c r="G318" s="53"/>
    </row>
    <row r="319">
      <c r="A319" s="49">
        <v>44487.871310208335</v>
      </c>
      <c r="B319" s="50">
        <v>44487.9962781481</v>
      </c>
      <c r="C319" s="51">
        <v>1.047</v>
      </c>
      <c r="D319" s="51">
        <v>62.0</v>
      </c>
      <c r="E319" s="52" t="s">
        <v>25</v>
      </c>
      <c r="F319" s="52" t="s">
        <v>26</v>
      </c>
      <c r="G319" s="53"/>
    </row>
    <row r="320">
      <c r="A320" s="49">
        <v>44487.881727175925</v>
      </c>
      <c r="B320" s="50">
        <v>44488.0066989004</v>
      </c>
      <c r="C320" s="51">
        <v>1.047</v>
      </c>
      <c r="D320" s="51">
        <v>62.0</v>
      </c>
      <c r="E320" s="52" t="s">
        <v>25</v>
      </c>
      <c r="F320" s="52" t="s">
        <v>26</v>
      </c>
      <c r="G320" s="53"/>
    </row>
    <row r="321">
      <c r="A321" s="49">
        <v>44487.89215728009</v>
      </c>
      <c r="B321" s="50">
        <v>44488.0171316088</v>
      </c>
      <c r="C321" s="51">
        <v>1.048</v>
      </c>
      <c r="D321" s="51">
        <v>62.0</v>
      </c>
      <c r="E321" s="52" t="s">
        <v>25</v>
      </c>
      <c r="F321" s="52" t="s">
        <v>26</v>
      </c>
      <c r="G321" s="53"/>
    </row>
    <row r="322">
      <c r="A322" s="49">
        <v>44487.902582395836</v>
      </c>
      <c r="B322" s="50">
        <v>44488.0275527546</v>
      </c>
      <c r="C322" s="51">
        <v>1.047</v>
      </c>
      <c r="D322" s="51">
        <v>62.0</v>
      </c>
      <c r="E322" s="52" t="s">
        <v>25</v>
      </c>
      <c r="F322" s="52" t="s">
        <v>26</v>
      </c>
      <c r="G322" s="53"/>
    </row>
    <row r="323">
      <c r="A323" s="49">
        <v>44487.91299503473</v>
      </c>
      <c r="B323" s="50">
        <v>44488.037974537</v>
      </c>
      <c r="C323" s="51">
        <v>1.048</v>
      </c>
      <c r="D323" s="51">
        <v>62.0</v>
      </c>
      <c r="E323" s="52" t="s">
        <v>25</v>
      </c>
      <c r="F323" s="52" t="s">
        <v>26</v>
      </c>
      <c r="G323" s="53"/>
    </row>
    <row r="324">
      <c r="A324" s="49">
        <v>44487.923437627316</v>
      </c>
      <c r="B324" s="50">
        <v>44488.0484059375</v>
      </c>
      <c r="C324" s="51">
        <v>1.047</v>
      </c>
      <c r="D324" s="51">
        <v>62.0</v>
      </c>
      <c r="E324" s="52" t="s">
        <v>25</v>
      </c>
      <c r="F324" s="52" t="s">
        <v>26</v>
      </c>
      <c r="G324" s="53"/>
    </row>
    <row r="325">
      <c r="A325" s="49">
        <v>44487.93385526621</v>
      </c>
      <c r="B325" s="50">
        <v>44488.0588257291</v>
      </c>
      <c r="C325" s="51">
        <v>1.047</v>
      </c>
      <c r="D325" s="51">
        <v>62.0</v>
      </c>
      <c r="E325" s="52" t="s">
        <v>25</v>
      </c>
      <c r="F325" s="52" t="s">
        <v>26</v>
      </c>
      <c r="G325" s="53"/>
    </row>
    <row r="326">
      <c r="A326" s="49">
        <v>44487.94428034722</v>
      </c>
      <c r="B326" s="50">
        <v>44488.0692475</v>
      </c>
      <c r="C326" s="51">
        <v>1.047</v>
      </c>
      <c r="D326" s="51">
        <v>62.0</v>
      </c>
      <c r="E326" s="52" t="s">
        <v>25</v>
      </c>
      <c r="F326" s="52" t="s">
        <v>26</v>
      </c>
      <c r="G326" s="53"/>
    </row>
    <row r="327">
      <c r="A327" s="49">
        <v>44487.9547087963</v>
      </c>
      <c r="B327" s="50">
        <v>44488.0796788194</v>
      </c>
      <c r="C327" s="51">
        <v>1.046</v>
      </c>
      <c r="D327" s="51">
        <v>62.0</v>
      </c>
      <c r="E327" s="52" t="s">
        <v>25</v>
      </c>
      <c r="F327" s="52" t="s">
        <v>26</v>
      </c>
      <c r="G327" s="53"/>
    </row>
    <row r="328">
      <c r="A328" s="49">
        <v>44487.965128634256</v>
      </c>
      <c r="B328" s="50">
        <v>44488.0900972569</v>
      </c>
      <c r="C328" s="51">
        <v>1.047</v>
      </c>
      <c r="D328" s="51">
        <v>62.0</v>
      </c>
      <c r="E328" s="52" t="s">
        <v>25</v>
      </c>
      <c r="F328" s="52" t="s">
        <v>26</v>
      </c>
      <c r="G328" s="53"/>
    </row>
    <row r="329">
      <c r="A329" s="49">
        <v>44487.97554642361</v>
      </c>
      <c r="B329" s="50">
        <v>44488.100516956</v>
      </c>
      <c r="C329" s="51">
        <v>1.046</v>
      </c>
      <c r="D329" s="51">
        <v>62.0</v>
      </c>
      <c r="E329" s="52" t="s">
        <v>25</v>
      </c>
      <c r="F329" s="52" t="s">
        <v>26</v>
      </c>
      <c r="G329" s="53"/>
    </row>
    <row r="330">
      <c r="A330" s="49">
        <v>44487.985966527776</v>
      </c>
      <c r="B330" s="50">
        <v>44488.1109386342</v>
      </c>
      <c r="C330" s="51">
        <v>1.046</v>
      </c>
      <c r="D330" s="51">
        <v>62.0</v>
      </c>
      <c r="E330" s="52" t="s">
        <v>25</v>
      </c>
      <c r="F330" s="52" t="s">
        <v>26</v>
      </c>
      <c r="G330" s="53"/>
    </row>
    <row r="331">
      <c r="A331" s="49">
        <v>44487.99638849537</v>
      </c>
      <c r="B331" s="50">
        <v>44488.1213584143</v>
      </c>
      <c r="C331" s="51">
        <v>1.046</v>
      </c>
      <c r="D331" s="51">
        <v>63.0</v>
      </c>
      <c r="E331" s="52" t="s">
        <v>25</v>
      </c>
      <c r="F331" s="52" t="s">
        <v>26</v>
      </c>
      <c r="G331" s="53"/>
    </row>
    <row r="332">
      <c r="A332" s="49">
        <v>44488.006808715276</v>
      </c>
      <c r="B332" s="50">
        <v>44488.1317793981</v>
      </c>
      <c r="C332" s="51">
        <v>1.045</v>
      </c>
      <c r="D332" s="51">
        <v>63.0</v>
      </c>
      <c r="E332" s="52" t="s">
        <v>25</v>
      </c>
      <c r="F332" s="52" t="s">
        <v>26</v>
      </c>
      <c r="G332" s="53"/>
    </row>
    <row r="333">
      <c r="A333" s="49">
        <v>44488.0172303125</v>
      </c>
      <c r="B333" s="50">
        <v>44488.142198287</v>
      </c>
      <c r="C333" s="51">
        <v>1.046</v>
      </c>
      <c r="D333" s="51">
        <v>63.0</v>
      </c>
      <c r="E333" s="52" t="s">
        <v>25</v>
      </c>
      <c r="F333" s="52" t="s">
        <v>26</v>
      </c>
      <c r="G333" s="53"/>
    </row>
    <row r="334">
      <c r="A334" s="49">
        <v>44488.02769332176</v>
      </c>
      <c r="B334" s="50">
        <v>44488.1526653356</v>
      </c>
      <c r="C334" s="51">
        <v>1.046</v>
      </c>
      <c r="D334" s="51">
        <v>63.0</v>
      </c>
      <c r="E334" s="52" t="s">
        <v>25</v>
      </c>
      <c r="F334" s="52" t="s">
        <v>26</v>
      </c>
      <c r="G334" s="53"/>
    </row>
    <row r="335">
      <c r="A335" s="49">
        <v>44488.03811016204</v>
      </c>
      <c r="B335" s="50">
        <v>44488.1630870138</v>
      </c>
      <c r="C335" s="51">
        <v>1.046</v>
      </c>
      <c r="D335" s="51">
        <v>63.0</v>
      </c>
      <c r="E335" s="52" t="s">
        <v>25</v>
      </c>
      <c r="F335" s="52" t="s">
        <v>26</v>
      </c>
      <c r="G335" s="53"/>
    </row>
    <row r="336">
      <c r="A336" s="49">
        <v>44488.0485399537</v>
      </c>
      <c r="B336" s="50">
        <v>44488.1735192476</v>
      </c>
      <c r="C336" s="51">
        <v>1.045</v>
      </c>
      <c r="D336" s="51">
        <v>63.0</v>
      </c>
      <c r="E336" s="52" t="s">
        <v>25</v>
      </c>
      <c r="F336" s="52" t="s">
        <v>26</v>
      </c>
      <c r="G336" s="53"/>
    </row>
    <row r="337">
      <c r="A337" s="49">
        <v>44488.05897083333</v>
      </c>
      <c r="B337" s="50">
        <v>44488.1839506481</v>
      </c>
      <c r="C337" s="51">
        <v>1.046</v>
      </c>
      <c r="D337" s="51">
        <v>63.0</v>
      </c>
      <c r="E337" s="52" t="s">
        <v>25</v>
      </c>
      <c r="F337" s="52" t="s">
        <v>26</v>
      </c>
      <c r="G337" s="53"/>
    </row>
    <row r="338">
      <c r="A338" s="49">
        <v>44488.06939539352</v>
      </c>
      <c r="B338" s="50">
        <v>44488.1943695254</v>
      </c>
      <c r="C338" s="51">
        <v>1.045</v>
      </c>
      <c r="D338" s="51">
        <v>63.0</v>
      </c>
      <c r="E338" s="52" t="s">
        <v>25</v>
      </c>
      <c r="F338" s="52" t="s">
        <v>26</v>
      </c>
      <c r="G338" s="53"/>
    </row>
    <row r="339">
      <c r="A339" s="49">
        <v>44488.079828981485</v>
      </c>
      <c r="B339" s="50">
        <v>44488.2048035069</v>
      </c>
      <c r="C339" s="51">
        <v>1.045</v>
      </c>
      <c r="D339" s="51">
        <v>63.0</v>
      </c>
      <c r="E339" s="52" t="s">
        <v>25</v>
      </c>
      <c r="F339" s="52" t="s">
        <v>26</v>
      </c>
      <c r="G339" s="53"/>
    </row>
    <row r="340">
      <c r="A340" s="49">
        <v>44488.09025162037</v>
      </c>
      <c r="B340" s="50">
        <v>44488.2152242824</v>
      </c>
      <c r="C340" s="51">
        <v>1.045</v>
      </c>
      <c r="D340" s="51">
        <v>63.0</v>
      </c>
      <c r="E340" s="52" t="s">
        <v>25</v>
      </c>
      <c r="F340" s="52" t="s">
        <v>26</v>
      </c>
      <c r="G340" s="53"/>
    </row>
    <row r="341">
      <c r="A341" s="49">
        <v>44488.100683171295</v>
      </c>
      <c r="B341" s="50">
        <v>44488.2256568865</v>
      </c>
      <c r="C341" s="51">
        <v>1.045</v>
      </c>
      <c r="D341" s="51">
        <v>63.0</v>
      </c>
      <c r="E341" s="52" t="s">
        <v>25</v>
      </c>
      <c r="F341" s="52" t="s">
        <v>26</v>
      </c>
      <c r="G341" s="53"/>
    </row>
    <row r="342">
      <c r="A342" s="49">
        <v>44488.111097430556</v>
      </c>
      <c r="B342" s="50">
        <v>44488.2360783796</v>
      </c>
      <c r="C342" s="51">
        <v>1.045</v>
      </c>
      <c r="D342" s="51">
        <v>63.0</v>
      </c>
      <c r="E342" s="52" t="s">
        <v>25</v>
      </c>
      <c r="F342" s="52" t="s">
        <v>26</v>
      </c>
      <c r="G342" s="53"/>
    </row>
    <row r="343">
      <c r="A343" s="49">
        <v>44488.12151895833</v>
      </c>
      <c r="B343" s="50">
        <v>44488.2465001504</v>
      </c>
      <c r="C343" s="51">
        <v>1.045</v>
      </c>
      <c r="D343" s="51">
        <v>63.0</v>
      </c>
      <c r="E343" s="52" t="s">
        <v>25</v>
      </c>
      <c r="F343" s="52" t="s">
        <v>26</v>
      </c>
      <c r="G343" s="53"/>
    </row>
    <row r="344">
      <c r="A344" s="49">
        <v>44488.13195319445</v>
      </c>
      <c r="B344" s="50">
        <v>44488.2569195601</v>
      </c>
      <c r="C344" s="51">
        <v>1.045</v>
      </c>
      <c r="D344" s="51">
        <v>63.0</v>
      </c>
      <c r="E344" s="52" t="s">
        <v>25</v>
      </c>
      <c r="F344" s="52" t="s">
        <v>26</v>
      </c>
      <c r="G344" s="53"/>
    </row>
    <row r="345">
      <c r="A345" s="49">
        <v>44488.142373055554</v>
      </c>
      <c r="B345" s="50">
        <v>44488.2673406597</v>
      </c>
      <c r="C345" s="51">
        <v>1.044</v>
      </c>
      <c r="D345" s="51">
        <v>64.0</v>
      </c>
      <c r="E345" s="52" t="s">
        <v>25</v>
      </c>
      <c r="F345" s="52" t="s">
        <v>26</v>
      </c>
      <c r="G345" s="53"/>
    </row>
    <row r="346">
      <c r="A346" s="49">
        <v>44488.15278971065</v>
      </c>
      <c r="B346" s="50">
        <v>44488.2777610995</v>
      </c>
      <c r="C346" s="51">
        <v>1.044</v>
      </c>
      <c r="D346" s="51">
        <v>64.0</v>
      </c>
      <c r="E346" s="52" t="s">
        <v>25</v>
      </c>
      <c r="F346" s="52" t="s">
        <v>26</v>
      </c>
      <c r="G346" s="53"/>
    </row>
    <row r="347">
      <c r="A347" s="49">
        <v>44488.163221828705</v>
      </c>
      <c r="B347" s="50">
        <v>44488.288193287</v>
      </c>
      <c r="C347" s="51">
        <v>1.044</v>
      </c>
      <c r="D347" s="51">
        <v>64.0</v>
      </c>
      <c r="E347" s="52" t="s">
        <v>25</v>
      </c>
      <c r="F347" s="52" t="s">
        <v>26</v>
      </c>
      <c r="G347" s="53"/>
    </row>
    <row r="348">
      <c r="A348" s="49">
        <v>44488.17364459491</v>
      </c>
      <c r="B348" s="50">
        <v>44488.2986146296</v>
      </c>
      <c r="C348" s="51">
        <v>1.045</v>
      </c>
      <c r="D348" s="51">
        <v>64.0</v>
      </c>
      <c r="E348" s="52" t="s">
        <v>25</v>
      </c>
      <c r="F348" s="52" t="s">
        <v>26</v>
      </c>
      <c r="G348" s="53"/>
    </row>
    <row r="349">
      <c r="A349" s="49">
        <v>44488.18409278935</v>
      </c>
      <c r="B349" s="50">
        <v>44488.3090687847</v>
      </c>
      <c r="C349" s="51">
        <v>1.044</v>
      </c>
      <c r="D349" s="51">
        <v>64.0</v>
      </c>
      <c r="E349" s="52" t="s">
        <v>25</v>
      </c>
      <c r="F349" s="52" t="s">
        <v>26</v>
      </c>
      <c r="G349" s="53"/>
    </row>
    <row r="350">
      <c r="A350" s="49">
        <v>44488.19451581019</v>
      </c>
      <c r="B350" s="50">
        <v>44488.3194902083</v>
      </c>
      <c r="C350" s="51">
        <v>1.044</v>
      </c>
      <c r="D350" s="51">
        <v>64.0</v>
      </c>
      <c r="E350" s="52" t="s">
        <v>25</v>
      </c>
      <c r="F350" s="52" t="s">
        <v>26</v>
      </c>
      <c r="G350" s="53"/>
    </row>
    <row r="351">
      <c r="A351" s="49">
        <v>44488.20496668982</v>
      </c>
      <c r="B351" s="50">
        <v>44488.3299345138</v>
      </c>
      <c r="C351" s="51">
        <v>1.044</v>
      </c>
      <c r="D351" s="51">
        <v>64.0</v>
      </c>
      <c r="E351" s="52" t="s">
        <v>25</v>
      </c>
      <c r="F351" s="52" t="s">
        <v>26</v>
      </c>
      <c r="G351" s="53"/>
    </row>
    <row r="352">
      <c r="A352" s="49">
        <v>44488.2153959375</v>
      </c>
      <c r="B352" s="50">
        <v>44488.3403668402</v>
      </c>
      <c r="C352" s="51">
        <v>1.044</v>
      </c>
      <c r="D352" s="51">
        <v>64.0</v>
      </c>
      <c r="E352" s="52" t="s">
        <v>25</v>
      </c>
      <c r="F352" s="52" t="s">
        <v>26</v>
      </c>
      <c r="G352" s="53"/>
    </row>
    <row r="353">
      <c r="A353" s="49">
        <v>44488.225824884255</v>
      </c>
      <c r="B353" s="50">
        <v>44488.3507898495</v>
      </c>
      <c r="C353" s="51">
        <v>1.044</v>
      </c>
      <c r="D353" s="51">
        <v>64.0</v>
      </c>
      <c r="E353" s="52" t="s">
        <v>25</v>
      </c>
      <c r="F353" s="52" t="s">
        <v>26</v>
      </c>
      <c r="G353" s="53"/>
    </row>
    <row r="354">
      <c r="A354" s="49">
        <v>44488.23624277778</v>
      </c>
      <c r="B354" s="50">
        <v>44488.3612123148</v>
      </c>
      <c r="C354" s="51">
        <v>1.043</v>
      </c>
      <c r="D354" s="51">
        <v>64.0</v>
      </c>
      <c r="E354" s="52" t="s">
        <v>25</v>
      </c>
      <c r="F354" s="52" t="s">
        <v>26</v>
      </c>
      <c r="G354" s="53"/>
    </row>
    <row r="355">
      <c r="A355" s="49">
        <v>44488.246658738426</v>
      </c>
      <c r="B355" s="50">
        <v>44488.3716330787</v>
      </c>
      <c r="C355" s="51">
        <v>1.043</v>
      </c>
      <c r="D355" s="51">
        <v>64.0</v>
      </c>
      <c r="E355" s="52" t="s">
        <v>25</v>
      </c>
      <c r="F355" s="52" t="s">
        <v>26</v>
      </c>
      <c r="G355" s="53"/>
    </row>
    <row r="356">
      <c r="A356" s="49">
        <v>44488.25707875</v>
      </c>
      <c r="B356" s="50">
        <v>44488.3820532638</v>
      </c>
      <c r="C356" s="51">
        <v>1.043</v>
      </c>
      <c r="D356" s="51">
        <v>65.0</v>
      </c>
      <c r="E356" s="52" t="s">
        <v>25</v>
      </c>
      <c r="F356" s="52" t="s">
        <v>26</v>
      </c>
      <c r="G356" s="53"/>
    </row>
    <row r="357">
      <c r="A357" s="49">
        <v>44488.267506585646</v>
      </c>
      <c r="B357" s="50">
        <v>44488.3924746759</v>
      </c>
      <c r="C357" s="51">
        <v>1.043</v>
      </c>
      <c r="D357" s="51">
        <v>65.0</v>
      </c>
      <c r="E357" s="52" t="s">
        <v>25</v>
      </c>
      <c r="F357" s="52" t="s">
        <v>26</v>
      </c>
      <c r="G357" s="53"/>
    </row>
    <row r="358">
      <c r="A358" s="49">
        <v>44488.27795207176</v>
      </c>
      <c r="B358" s="50">
        <v>44488.4029177199</v>
      </c>
      <c r="C358" s="51">
        <v>1.042</v>
      </c>
      <c r="D358" s="51">
        <v>65.0</v>
      </c>
      <c r="E358" s="52" t="s">
        <v>25</v>
      </c>
      <c r="F358" s="52" t="s">
        <v>26</v>
      </c>
      <c r="G358" s="53"/>
    </row>
    <row r="359">
      <c r="A359" s="49">
        <v>44488.28836847222</v>
      </c>
      <c r="B359" s="50">
        <v>44488.4133380439</v>
      </c>
      <c r="C359" s="51">
        <v>1.042</v>
      </c>
      <c r="D359" s="51">
        <v>65.0</v>
      </c>
      <c r="E359" s="52" t="s">
        <v>25</v>
      </c>
      <c r="F359" s="52" t="s">
        <v>26</v>
      </c>
      <c r="G359" s="53"/>
    </row>
    <row r="360">
      <c r="A360" s="49">
        <v>44488.29878856482</v>
      </c>
      <c r="B360" s="50">
        <v>44488.4237580787</v>
      </c>
      <c r="C360" s="51">
        <v>1.043</v>
      </c>
      <c r="D360" s="51">
        <v>65.0</v>
      </c>
      <c r="E360" s="52" t="s">
        <v>25</v>
      </c>
      <c r="F360" s="52" t="s">
        <v>26</v>
      </c>
      <c r="G360" s="53"/>
    </row>
    <row r="361">
      <c r="A361" s="49">
        <v>44488.30920732639</v>
      </c>
      <c r="B361" s="50">
        <v>44488.4341775694</v>
      </c>
      <c r="C361" s="51">
        <v>1.042</v>
      </c>
      <c r="D361" s="51">
        <v>65.0</v>
      </c>
      <c r="E361" s="52" t="s">
        <v>25</v>
      </c>
      <c r="F361" s="52" t="s">
        <v>26</v>
      </c>
      <c r="G361" s="53"/>
    </row>
    <row r="362">
      <c r="A362" s="49">
        <v>44488.319626111115</v>
      </c>
      <c r="B362" s="50">
        <v>44488.4446007986</v>
      </c>
      <c r="C362" s="51">
        <v>1.042</v>
      </c>
      <c r="D362" s="51">
        <v>65.0</v>
      </c>
      <c r="E362" s="52" t="s">
        <v>25</v>
      </c>
      <c r="F362" s="52" t="s">
        <v>26</v>
      </c>
      <c r="G362" s="53"/>
    </row>
    <row r="363">
      <c r="A363" s="49">
        <v>44488.330042118054</v>
      </c>
      <c r="B363" s="50">
        <v>44488.4550217014</v>
      </c>
      <c r="C363" s="51">
        <v>1.041</v>
      </c>
      <c r="D363" s="51">
        <v>65.0</v>
      </c>
      <c r="E363" s="52" t="s">
        <v>25</v>
      </c>
      <c r="F363" s="52" t="s">
        <v>26</v>
      </c>
      <c r="G363" s="53"/>
    </row>
    <row r="364">
      <c r="A364" s="49">
        <v>44488.34047791667</v>
      </c>
      <c r="B364" s="50">
        <v>44488.4654426157</v>
      </c>
      <c r="C364" s="51">
        <v>1.042</v>
      </c>
      <c r="D364" s="51">
        <v>65.0</v>
      </c>
      <c r="E364" s="52" t="s">
        <v>25</v>
      </c>
      <c r="F364" s="52" t="s">
        <v>26</v>
      </c>
      <c r="G364" s="53"/>
    </row>
    <row r="365">
      <c r="A365" s="49">
        <v>44488.350892800925</v>
      </c>
      <c r="B365" s="50">
        <v>44488.4758625347</v>
      </c>
      <c r="C365" s="51">
        <v>1.041</v>
      </c>
      <c r="D365" s="51">
        <v>65.0</v>
      </c>
      <c r="E365" s="52" t="s">
        <v>25</v>
      </c>
      <c r="F365" s="52" t="s">
        <v>26</v>
      </c>
      <c r="G365" s="53"/>
    </row>
    <row r="366">
      <c r="A366" s="49">
        <v>44488.36131291666</v>
      </c>
      <c r="B366" s="50">
        <v>44488.4862842592</v>
      </c>
      <c r="C366" s="51">
        <v>1.041</v>
      </c>
      <c r="D366" s="51">
        <v>66.0</v>
      </c>
      <c r="E366" s="52" t="s">
        <v>25</v>
      </c>
      <c r="F366" s="52" t="s">
        <v>26</v>
      </c>
      <c r="G366" s="53"/>
    </row>
    <row r="367">
      <c r="A367" s="49">
        <v>44488.371738692134</v>
      </c>
      <c r="B367" s="50">
        <v>44488.4967053472</v>
      </c>
      <c r="C367" s="51">
        <v>1.041</v>
      </c>
      <c r="D367" s="51">
        <v>66.0</v>
      </c>
      <c r="E367" s="52" t="s">
        <v>25</v>
      </c>
      <c r="F367" s="52" t="s">
        <v>26</v>
      </c>
      <c r="G367" s="53"/>
    </row>
    <row r="368">
      <c r="A368" s="49">
        <v>44488.382156238426</v>
      </c>
      <c r="B368" s="50">
        <v>44488.5071268171</v>
      </c>
      <c r="C368" s="51">
        <v>1.041</v>
      </c>
      <c r="D368" s="51">
        <v>66.0</v>
      </c>
      <c r="E368" s="52" t="s">
        <v>25</v>
      </c>
      <c r="F368" s="52" t="s">
        <v>26</v>
      </c>
      <c r="G368" s="53"/>
    </row>
    <row r="369">
      <c r="A369" s="49">
        <v>44488.39258166667</v>
      </c>
      <c r="B369" s="50">
        <v>44488.5175482175</v>
      </c>
      <c r="C369" s="51">
        <v>1.041</v>
      </c>
      <c r="D369" s="51">
        <v>66.0</v>
      </c>
      <c r="E369" s="52" t="s">
        <v>25</v>
      </c>
      <c r="F369" s="52" t="s">
        <v>26</v>
      </c>
      <c r="G369" s="53"/>
    </row>
    <row r="370">
      <c r="A370" s="49">
        <v>44488.403007175926</v>
      </c>
      <c r="B370" s="50">
        <v>44488.5279806481</v>
      </c>
      <c r="C370" s="51">
        <v>1.041</v>
      </c>
      <c r="D370" s="51">
        <v>65.0</v>
      </c>
      <c r="E370" s="52" t="s">
        <v>25</v>
      </c>
      <c r="F370" s="52" t="s">
        <v>26</v>
      </c>
      <c r="G370" s="53"/>
    </row>
    <row r="371">
      <c r="A371" s="49">
        <v>44488.41343865741</v>
      </c>
      <c r="B371" s="50">
        <v>44488.5384129629</v>
      </c>
      <c r="C371" s="51">
        <v>1.041</v>
      </c>
      <c r="D371" s="51">
        <v>64.0</v>
      </c>
      <c r="E371" s="52" t="s">
        <v>25</v>
      </c>
      <c r="F371" s="52" t="s">
        <v>26</v>
      </c>
      <c r="G371" s="53"/>
    </row>
    <row r="372">
      <c r="A372" s="49">
        <v>44488.423864826385</v>
      </c>
      <c r="B372" s="50">
        <v>44488.5488356828</v>
      </c>
      <c r="C372" s="51">
        <v>1.04</v>
      </c>
      <c r="D372" s="51">
        <v>63.0</v>
      </c>
      <c r="E372" s="52" t="s">
        <v>25</v>
      </c>
      <c r="F372" s="52" t="s">
        <v>26</v>
      </c>
      <c r="G372" s="53"/>
    </row>
    <row r="373">
      <c r="A373" s="49">
        <v>44488.434293495375</v>
      </c>
      <c r="B373" s="50">
        <v>44488.5592568055</v>
      </c>
      <c r="C373" s="51">
        <v>1.041</v>
      </c>
      <c r="D373" s="51">
        <v>63.0</v>
      </c>
      <c r="E373" s="52" t="s">
        <v>25</v>
      </c>
      <c r="F373" s="52" t="s">
        <v>26</v>
      </c>
      <c r="G373" s="53"/>
    </row>
    <row r="374">
      <c r="A374" s="49">
        <v>44488.44471619213</v>
      </c>
      <c r="B374" s="50">
        <v>44488.5696892361</v>
      </c>
      <c r="C374" s="51">
        <v>1.04</v>
      </c>
      <c r="D374" s="51">
        <v>62.0</v>
      </c>
      <c r="E374" s="52" t="s">
        <v>25</v>
      </c>
      <c r="F374" s="52" t="s">
        <v>26</v>
      </c>
      <c r="G374" s="53"/>
    </row>
    <row r="375">
      <c r="A375" s="49">
        <v>44488.45513163194</v>
      </c>
      <c r="B375" s="50">
        <v>44488.5801110069</v>
      </c>
      <c r="C375" s="51">
        <v>1.04</v>
      </c>
      <c r="D375" s="51">
        <v>62.0</v>
      </c>
      <c r="E375" s="52" t="s">
        <v>25</v>
      </c>
      <c r="F375" s="52" t="s">
        <v>26</v>
      </c>
      <c r="G375" s="53"/>
    </row>
    <row r="376">
      <c r="A376" s="49">
        <v>44488.46556459491</v>
      </c>
      <c r="B376" s="50">
        <v>44488.5905326273</v>
      </c>
      <c r="C376" s="51">
        <v>1.04</v>
      </c>
      <c r="D376" s="51">
        <v>62.0</v>
      </c>
      <c r="E376" s="52" t="s">
        <v>25</v>
      </c>
      <c r="F376" s="52" t="s">
        <v>26</v>
      </c>
      <c r="G376" s="53"/>
    </row>
    <row r="377">
      <c r="A377" s="49">
        <v>44488.47598015046</v>
      </c>
      <c r="B377" s="50">
        <v>44488.6009552893</v>
      </c>
      <c r="C377" s="51">
        <v>1.039</v>
      </c>
      <c r="D377" s="51">
        <v>62.0</v>
      </c>
      <c r="E377" s="52" t="s">
        <v>25</v>
      </c>
      <c r="F377" s="52" t="s">
        <v>26</v>
      </c>
      <c r="G377" s="53"/>
    </row>
    <row r="378">
      <c r="A378" s="49">
        <v>44488.4864097338</v>
      </c>
      <c r="B378" s="50">
        <v>44488.6113776504</v>
      </c>
      <c r="C378" s="51">
        <v>1.04</v>
      </c>
      <c r="D378" s="51">
        <v>62.0</v>
      </c>
      <c r="E378" s="52" t="s">
        <v>25</v>
      </c>
      <c r="F378" s="52" t="s">
        <v>26</v>
      </c>
      <c r="G378" s="53"/>
    </row>
    <row r="379">
      <c r="A379" s="49">
        <v>44488.496832766206</v>
      </c>
      <c r="B379" s="50">
        <v>44488.6218001388</v>
      </c>
      <c r="C379" s="51">
        <v>1.039</v>
      </c>
      <c r="D379" s="51">
        <v>62.0</v>
      </c>
      <c r="E379" s="52" t="s">
        <v>25</v>
      </c>
      <c r="F379" s="52" t="s">
        <v>26</v>
      </c>
      <c r="G379" s="53"/>
    </row>
    <row r="380">
      <c r="A380" s="49">
        <v>44488.50724601852</v>
      </c>
      <c r="B380" s="50">
        <v>44488.63222125</v>
      </c>
      <c r="C380" s="51">
        <v>1.039</v>
      </c>
      <c r="D380" s="51">
        <v>62.0</v>
      </c>
      <c r="E380" s="52" t="s">
        <v>25</v>
      </c>
      <c r="F380" s="52" t="s">
        <v>26</v>
      </c>
      <c r="G380" s="53"/>
    </row>
    <row r="381">
      <c r="A381" s="49">
        <v>44488.51767064814</v>
      </c>
      <c r="B381" s="50">
        <v>44488.6426418287</v>
      </c>
      <c r="C381" s="51">
        <v>1.039</v>
      </c>
      <c r="D381" s="51">
        <v>62.0</v>
      </c>
      <c r="E381" s="52" t="s">
        <v>25</v>
      </c>
      <c r="F381" s="52" t="s">
        <v>26</v>
      </c>
      <c r="G381" s="53"/>
    </row>
    <row r="382">
      <c r="A382" s="49">
        <v>44488.528088506944</v>
      </c>
      <c r="B382" s="50">
        <v>44488.6530651389</v>
      </c>
      <c r="C382" s="51">
        <v>1.039</v>
      </c>
      <c r="D382" s="51">
        <v>63.0</v>
      </c>
      <c r="E382" s="52" t="s">
        <v>25</v>
      </c>
      <c r="F382" s="52" t="s">
        <v>26</v>
      </c>
      <c r="G382" s="53"/>
    </row>
    <row r="383">
      <c r="A383" s="49">
        <v>44488.53850473379</v>
      </c>
      <c r="B383" s="50">
        <v>44488.6634844675</v>
      </c>
      <c r="C383" s="51">
        <v>1.039</v>
      </c>
      <c r="D383" s="51">
        <v>63.0</v>
      </c>
      <c r="E383" s="52" t="s">
        <v>25</v>
      </c>
      <c r="F383" s="52" t="s">
        <v>26</v>
      </c>
      <c r="G383" s="53"/>
    </row>
    <row r="384">
      <c r="A384" s="49">
        <v>44488.548947627314</v>
      </c>
      <c r="B384" s="50">
        <v>44488.6739171759</v>
      </c>
      <c r="C384" s="51">
        <v>1.039</v>
      </c>
      <c r="D384" s="51">
        <v>63.0</v>
      </c>
      <c r="E384" s="52" t="s">
        <v>25</v>
      </c>
      <c r="F384" s="52" t="s">
        <v>26</v>
      </c>
      <c r="G384" s="53"/>
    </row>
    <row r="385">
      <c r="A385" s="49">
        <v>44488.55936625</v>
      </c>
      <c r="B385" s="50">
        <v>44488.6843380902</v>
      </c>
      <c r="C385" s="51">
        <v>1.038</v>
      </c>
      <c r="D385" s="51">
        <v>63.0</v>
      </c>
      <c r="E385" s="52" t="s">
        <v>25</v>
      </c>
      <c r="F385" s="52" t="s">
        <v>26</v>
      </c>
      <c r="G385" s="53"/>
    </row>
    <row r="386">
      <c r="A386" s="49">
        <v>44488.5697950926</v>
      </c>
      <c r="B386" s="50">
        <v>44488.6947594213</v>
      </c>
      <c r="C386" s="51">
        <v>1.038</v>
      </c>
      <c r="D386" s="51">
        <v>63.0</v>
      </c>
      <c r="E386" s="52" t="s">
        <v>25</v>
      </c>
      <c r="F386" s="52" t="s">
        <v>26</v>
      </c>
      <c r="G386" s="53"/>
    </row>
    <row r="387">
      <c r="A387" s="49">
        <v>44488.58020869213</v>
      </c>
      <c r="B387" s="50">
        <v>44488.7051799884</v>
      </c>
      <c r="C387" s="51">
        <v>1.038</v>
      </c>
      <c r="D387" s="51">
        <v>63.0</v>
      </c>
      <c r="E387" s="52" t="s">
        <v>25</v>
      </c>
      <c r="F387" s="52" t="s">
        <v>26</v>
      </c>
      <c r="G387" s="53"/>
    </row>
    <row r="388">
      <c r="A388" s="49">
        <v>44488.59062765047</v>
      </c>
      <c r="B388" s="50">
        <v>44488.7155994791</v>
      </c>
      <c r="C388" s="51">
        <v>1.038</v>
      </c>
      <c r="D388" s="51">
        <v>63.0</v>
      </c>
      <c r="E388" s="52" t="s">
        <v>25</v>
      </c>
      <c r="F388" s="52" t="s">
        <v>26</v>
      </c>
      <c r="G388" s="53"/>
    </row>
    <row r="389">
      <c r="A389" s="49">
        <v>44488.60105300926</v>
      </c>
      <c r="B389" s="50">
        <v>44488.7260191782</v>
      </c>
      <c r="C389" s="51">
        <v>1.038</v>
      </c>
      <c r="D389" s="51">
        <v>63.0</v>
      </c>
      <c r="E389" s="52" t="s">
        <v>25</v>
      </c>
      <c r="F389" s="52" t="s">
        <v>26</v>
      </c>
      <c r="G389" s="53"/>
    </row>
    <row r="390">
      <c r="A390" s="49">
        <v>44488.61147179398</v>
      </c>
      <c r="B390" s="50">
        <v>44488.736441493</v>
      </c>
      <c r="C390" s="51">
        <v>1.038</v>
      </c>
      <c r="D390" s="51">
        <v>63.0</v>
      </c>
      <c r="E390" s="52" t="s">
        <v>25</v>
      </c>
      <c r="F390" s="52" t="s">
        <v>26</v>
      </c>
      <c r="G390" s="53"/>
    </row>
    <row r="391">
      <c r="A391" s="49">
        <v>44488.62188506944</v>
      </c>
      <c r="B391" s="50">
        <v>44488.7468624537</v>
      </c>
      <c r="C391" s="51">
        <v>1.038</v>
      </c>
      <c r="D391" s="51">
        <v>63.0</v>
      </c>
      <c r="E391" s="52" t="s">
        <v>25</v>
      </c>
      <c r="F391" s="52" t="s">
        <v>26</v>
      </c>
      <c r="G391" s="53"/>
    </row>
    <row r="392">
      <c r="A392" s="49">
        <v>44488.632314421295</v>
      </c>
      <c r="B392" s="50">
        <v>44488.7572835995</v>
      </c>
      <c r="C392" s="51">
        <v>1.038</v>
      </c>
      <c r="D392" s="51">
        <v>63.0</v>
      </c>
      <c r="E392" s="52" t="s">
        <v>25</v>
      </c>
      <c r="F392" s="52" t="s">
        <v>26</v>
      </c>
      <c r="G392" s="53"/>
    </row>
    <row r="393">
      <c r="A393" s="49">
        <v>44488.64275662037</v>
      </c>
      <c r="B393" s="50">
        <v>44488.7677271643</v>
      </c>
      <c r="C393" s="51">
        <v>1.037</v>
      </c>
      <c r="D393" s="51">
        <v>63.0</v>
      </c>
      <c r="E393" s="52" t="s">
        <v>25</v>
      </c>
      <c r="F393" s="52" t="s">
        <v>26</v>
      </c>
      <c r="G393" s="53"/>
    </row>
    <row r="394">
      <c r="A394" s="49">
        <v>44488.65317462963</v>
      </c>
      <c r="B394" s="50">
        <v>44488.7781484027</v>
      </c>
      <c r="C394" s="51">
        <v>1.037</v>
      </c>
      <c r="D394" s="51">
        <v>64.0</v>
      </c>
      <c r="E394" s="52" t="s">
        <v>25</v>
      </c>
      <c r="F394" s="52" t="s">
        <v>26</v>
      </c>
      <c r="G394" s="53"/>
    </row>
    <row r="395">
      <c r="A395" s="49">
        <v>44488.663794479166</v>
      </c>
      <c r="B395" s="50">
        <v>44488.7885918865</v>
      </c>
      <c r="C395" s="51">
        <v>1.037</v>
      </c>
      <c r="D395" s="51">
        <v>64.0</v>
      </c>
      <c r="E395" s="52" t="s">
        <v>25</v>
      </c>
      <c r="F395" s="52" t="s">
        <v>26</v>
      </c>
      <c r="G395" s="53"/>
    </row>
    <row r="396">
      <c r="A396" s="49">
        <v>44488.67404113426</v>
      </c>
      <c r="B396" s="50">
        <v>44488.7990122106</v>
      </c>
      <c r="C396" s="51">
        <v>1.037</v>
      </c>
      <c r="D396" s="51">
        <v>64.0</v>
      </c>
      <c r="E396" s="52" t="s">
        <v>25</v>
      </c>
      <c r="F396" s="52" t="s">
        <v>26</v>
      </c>
      <c r="G396" s="53"/>
    </row>
    <row r="397">
      <c r="A397" s="49">
        <v>44488.684458090276</v>
      </c>
      <c r="B397" s="50">
        <v>44488.8094345486</v>
      </c>
      <c r="C397" s="51">
        <v>1.037</v>
      </c>
      <c r="D397" s="51">
        <v>64.0</v>
      </c>
      <c r="E397" s="52" t="s">
        <v>25</v>
      </c>
      <c r="F397" s="52" t="s">
        <v>26</v>
      </c>
      <c r="G397" s="53"/>
    </row>
    <row r="398">
      <c r="A398" s="49">
        <v>44488.69488094907</v>
      </c>
      <c r="B398" s="50">
        <v>44488.8198552314</v>
      </c>
      <c r="C398" s="51">
        <v>1.037</v>
      </c>
      <c r="D398" s="51">
        <v>64.0</v>
      </c>
      <c r="E398" s="52" t="s">
        <v>25</v>
      </c>
      <c r="F398" s="52" t="s">
        <v>26</v>
      </c>
      <c r="G398" s="53"/>
    </row>
    <row r="399">
      <c r="A399" s="49">
        <v>44488.705305208336</v>
      </c>
      <c r="B399" s="50">
        <v>44488.8302778819</v>
      </c>
      <c r="C399" s="51">
        <v>1.037</v>
      </c>
      <c r="D399" s="51">
        <v>64.0</v>
      </c>
      <c r="E399" s="52" t="s">
        <v>25</v>
      </c>
      <c r="F399" s="52" t="s">
        <v>26</v>
      </c>
      <c r="G399" s="53"/>
    </row>
    <row r="400">
      <c r="A400" s="49">
        <v>44488.715725277776</v>
      </c>
      <c r="B400" s="50">
        <v>44488.8406984143</v>
      </c>
      <c r="C400" s="51">
        <v>1.036</v>
      </c>
      <c r="D400" s="51">
        <v>64.0</v>
      </c>
      <c r="E400" s="52" t="s">
        <v>25</v>
      </c>
      <c r="F400" s="52" t="s">
        <v>26</v>
      </c>
      <c r="G400" s="53"/>
    </row>
    <row r="401">
      <c r="A401" s="49">
        <v>44488.72614061343</v>
      </c>
      <c r="B401" s="50">
        <v>44488.8511192476</v>
      </c>
      <c r="C401" s="51">
        <v>1.036</v>
      </c>
      <c r="D401" s="51">
        <v>64.0</v>
      </c>
      <c r="E401" s="52" t="s">
        <v>25</v>
      </c>
      <c r="F401" s="52" t="s">
        <v>26</v>
      </c>
      <c r="G401" s="53"/>
    </row>
    <row r="402">
      <c r="A402" s="49">
        <v>44488.73657361111</v>
      </c>
      <c r="B402" s="50">
        <v>44488.8615413425</v>
      </c>
      <c r="C402" s="51">
        <v>1.037</v>
      </c>
      <c r="D402" s="51">
        <v>64.0</v>
      </c>
      <c r="E402" s="52" t="s">
        <v>25</v>
      </c>
      <c r="F402" s="52" t="s">
        <v>26</v>
      </c>
      <c r="G402" s="53"/>
    </row>
    <row r="403">
      <c r="A403" s="49">
        <v>44488.746986631944</v>
      </c>
      <c r="B403" s="50">
        <v>44488.8719633449</v>
      </c>
      <c r="C403" s="51">
        <v>1.037</v>
      </c>
      <c r="D403" s="51">
        <v>64.0</v>
      </c>
      <c r="E403" s="52" t="s">
        <v>25</v>
      </c>
      <c r="F403" s="52" t="s">
        <v>26</v>
      </c>
      <c r="G403" s="53"/>
    </row>
    <row r="404">
      <c r="A404" s="49">
        <v>44488.75741263889</v>
      </c>
      <c r="B404" s="50">
        <v>44488.8823848263</v>
      </c>
      <c r="C404" s="51">
        <v>1.036</v>
      </c>
      <c r="D404" s="51">
        <v>64.0</v>
      </c>
      <c r="E404" s="52" t="s">
        <v>25</v>
      </c>
      <c r="F404" s="52" t="s">
        <v>26</v>
      </c>
      <c r="G404" s="53"/>
    </row>
    <row r="405">
      <c r="A405" s="49">
        <v>44488.76784212963</v>
      </c>
      <c r="B405" s="50">
        <v>44488.8928163425</v>
      </c>
      <c r="C405" s="51">
        <v>1.037</v>
      </c>
      <c r="D405" s="51">
        <v>64.0</v>
      </c>
      <c r="E405" s="52" t="s">
        <v>25</v>
      </c>
      <c r="F405" s="52" t="s">
        <v>26</v>
      </c>
      <c r="G405" s="53"/>
    </row>
    <row r="406">
      <c r="A406" s="49">
        <v>44488.77826664352</v>
      </c>
      <c r="B406" s="50">
        <v>44488.903235324</v>
      </c>
      <c r="C406" s="51">
        <v>1.036</v>
      </c>
      <c r="D406" s="51">
        <v>65.0</v>
      </c>
      <c r="E406" s="52" t="s">
        <v>25</v>
      </c>
      <c r="F406" s="52" t="s">
        <v>26</v>
      </c>
      <c r="G406" s="53"/>
    </row>
    <row r="407">
      <c r="A407" s="49">
        <v>44488.78867233796</v>
      </c>
      <c r="B407" s="50">
        <v>44488.9136557754</v>
      </c>
      <c r="C407" s="51">
        <v>1.037</v>
      </c>
      <c r="D407" s="51">
        <v>65.0</v>
      </c>
      <c r="E407" s="52" t="s">
        <v>25</v>
      </c>
      <c r="F407" s="52" t="s">
        <v>26</v>
      </c>
      <c r="G407" s="53"/>
    </row>
    <row r="408">
      <c r="A408" s="49">
        <v>44488.79910451389</v>
      </c>
      <c r="B408" s="50">
        <v>44488.9240767129</v>
      </c>
      <c r="C408" s="51">
        <v>1.037</v>
      </c>
      <c r="D408" s="51">
        <v>65.0</v>
      </c>
      <c r="E408" s="52" t="s">
        <v>25</v>
      </c>
      <c r="F408" s="52" t="s">
        <v>26</v>
      </c>
      <c r="G408" s="53"/>
    </row>
    <row r="409">
      <c r="A409" s="49">
        <v>44488.809537291665</v>
      </c>
      <c r="B409" s="50">
        <v>44488.9345088657</v>
      </c>
      <c r="C409" s="51">
        <v>1.037</v>
      </c>
      <c r="D409" s="51">
        <v>65.0</v>
      </c>
      <c r="E409" s="52" t="s">
        <v>25</v>
      </c>
      <c r="F409" s="52" t="s">
        <v>26</v>
      </c>
      <c r="G409" s="53"/>
    </row>
    <row r="410">
      <c r="A410" s="49">
        <v>44488.81998523149</v>
      </c>
      <c r="B410" s="50">
        <v>44488.9449643171</v>
      </c>
      <c r="C410" s="51">
        <v>1.037</v>
      </c>
      <c r="D410" s="51">
        <v>65.0</v>
      </c>
      <c r="E410" s="52" t="s">
        <v>25</v>
      </c>
      <c r="F410" s="52" t="s">
        <v>26</v>
      </c>
      <c r="G410" s="53"/>
    </row>
    <row r="411">
      <c r="A411" s="49">
        <v>44488.83041863426</v>
      </c>
      <c r="B411" s="50">
        <v>44488.955395868</v>
      </c>
      <c r="C411" s="51">
        <v>1.037</v>
      </c>
      <c r="D411" s="51">
        <v>65.0</v>
      </c>
      <c r="E411" s="52" t="s">
        <v>25</v>
      </c>
      <c r="F411" s="52" t="s">
        <v>26</v>
      </c>
      <c r="G411" s="53"/>
    </row>
    <row r="412">
      <c r="A412" s="49">
        <v>44488.84084986111</v>
      </c>
      <c r="B412" s="50">
        <v>44488.9658181597</v>
      </c>
      <c r="C412" s="51">
        <v>1.036</v>
      </c>
      <c r="D412" s="51">
        <v>65.0</v>
      </c>
      <c r="E412" s="52" t="s">
        <v>25</v>
      </c>
      <c r="F412" s="52" t="s">
        <v>26</v>
      </c>
      <c r="G412" s="53"/>
    </row>
    <row r="413">
      <c r="A413" s="49">
        <v>44488.851260497686</v>
      </c>
      <c r="B413" s="50">
        <v>44488.9762406481</v>
      </c>
      <c r="C413" s="51">
        <v>1.035</v>
      </c>
      <c r="D413" s="51">
        <v>65.0</v>
      </c>
      <c r="E413" s="52" t="s">
        <v>25</v>
      </c>
      <c r="F413" s="52" t="s">
        <v>26</v>
      </c>
      <c r="G413" s="53"/>
    </row>
    <row r="414">
      <c r="A414" s="49">
        <v>44488.86169336806</v>
      </c>
      <c r="B414" s="50">
        <v>44488.9866743518</v>
      </c>
      <c r="C414" s="51">
        <v>1.035</v>
      </c>
      <c r="D414" s="51">
        <v>65.0</v>
      </c>
      <c r="E414" s="52" t="s">
        <v>25</v>
      </c>
      <c r="F414" s="52" t="s">
        <v>26</v>
      </c>
      <c r="G414" s="53"/>
    </row>
    <row r="415">
      <c r="A415" s="49">
        <v>44488.87213041667</v>
      </c>
      <c r="B415" s="50">
        <v>44488.9970953703</v>
      </c>
      <c r="C415" s="51">
        <v>1.036</v>
      </c>
      <c r="D415" s="51">
        <v>65.0</v>
      </c>
      <c r="E415" s="52" t="s">
        <v>25</v>
      </c>
      <c r="F415" s="52" t="s">
        <v>26</v>
      </c>
      <c r="G415" s="53"/>
    </row>
    <row r="416">
      <c r="A416" s="49">
        <v>44488.88254003473</v>
      </c>
      <c r="B416" s="50">
        <v>44489.0075172685</v>
      </c>
      <c r="C416" s="51">
        <v>1.035</v>
      </c>
      <c r="D416" s="51">
        <v>65.0</v>
      </c>
      <c r="E416" s="52" t="s">
        <v>25</v>
      </c>
      <c r="F416" s="52" t="s">
        <v>26</v>
      </c>
      <c r="G416" s="53"/>
    </row>
    <row r="417">
      <c r="A417" s="49">
        <v>44488.892961087964</v>
      </c>
      <c r="B417" s="50">
        <v>44489.0179388078</v>
      </c>
      <c r="C417" s="51">
        <v>1.035</v>
      </c>
      <c r="D417" s="51">
        <v>65.0</v>
      </c>
      <c r="E417" s="52" t="s">
        <v>25</v>
      </c>
      <c r="F417" s="52" t="s">
        <v>26</v>
      </c>
      <c r="G417" s="53"/>
    </row>
    <row r="418">
      <c r="A418" s="49">
        <v>44488.90339876157</v>
      </c>
      <c r="B418" s="50">
        <v>44489.0283711458</v>
      </c>
      <c r="C418" s="51">
        <v>1.035</v>
      </c>
      <c r="D418" s="51">
        <v>65.0</v>
      </c>
      <c r="E418" s="52" t="s">
        <v>25</v>
      </c>
      <c r="F418" s="52" t="s">
        <v>26</v>
      </c>
      <c r="G418" s="53"/>
    </row>
    <row r="419">
      <c r="A419" s="49">
        <v>44488.91381467592</v>
      </c>
      <c r="B419" s="50">
        <v>44489.0387917592</v>
      </c>
      <c r="C419" s="51">
        <v>1.034</v>
      </c>
      <c r="D419" s="51">
        <v>65.0</v>
      </c>
      <c r="E419" s="52" t="s">
        <v>25</v>
      </c>
      <c r="F419" s="52" t="s">
        <v>26</v>
      </c>
      <c r="G419" s="53"/>
    </row>
    <row r="420">
      <c r="A420" s="49">
        <v>44488.92425872685</v>
      </c>
      <c r="B420" s="50">
        <v>44489.049235</v>
      </c>
      <c r="C420" s="51">
        <v>1.035</v>
      </c>
      <c r="D420" s="51">
        <v>66.0</v>
      </c>
      <c r="E420" s="52" t="s">
        <v>25</v>
      </c>
      <c r="F420" s="52" t="s">
        <v>26</v>
      </c>
      <c r="G420" s="53"/>
    </row>
    <row r="421">
      <c r="A421" s="49">
        <v>44488.934682314815</v>
      </c>
      <c r="B421" s="50">
        <v>44489.0596550115</v>
      </c>
      <c r="C421" s="51">
        <v>1.035</v>
      </c>
      <c r="D421" s="51">
        <v>66.0</v>
      </c>
      <c r="E421" s="52" t="s">
        <v>25</v>
      </c>
      <c r="F421" s="52" t="s">
        <v>26</v>
      </c>
      <c r="G421" s="53"/>
    </row>
    <row r="422">
      <c r="A422" s="49">
        <v>44488.9451118287</v>
      </c>
      <c r="B422" s="50">
        <v>44489.0700874074</v>
      </c>
      <c r="C422" s="51">
        <v>1.035</v>
      </c>
      <c r="D422" s="51">
        <v>66.0</v>
      </c>
      <c r="E422" s="52" t="s">
        <v>25</v>
      </c>
      <c r="F422" s="52" t="s">
        <v>26</v>
      </c>
      <c r="G422" s="53"/>
    </row>
    <row r="423">
      <c r="A423" s="49">
        <v>44488.95555144676</v>
      </c>
      <c r="B423" s="50">
        <v>44489.0805205208</v>
      </c>
      <c r="C423" s="51">
        <v>1.034</v>
      </c>
      <c r="D423" s="51">
        <v>65.0</v>
      </c>
      <c r="E423" s="52" t="s">
        <v>25</v>
      </c>
      <c r="F423" s="52" t="s">
        <v>26</v>
      </c>
      <c r="G423" s="53"/>
    </row>
    <row r="424">
      <c r="A424" s="49">
        <v>44488.96596804398</v>
      </c>
      <c r="B424" s="50">
        <v>44489.0909413194</v>
      </c>
      <c r="C424" s="51">
        <v>1.035</v>
      </c>
      <c r="D424" s="51">
        <v>64.0</v>
      </c>
      <c r="E424" s="52" t="s">
        <v>25</v>
      </c>
      <c r="F424" s="52" t="s">
        <v>26</v>
      </c>
      <c r="G424" s="53"/>
    </row>
    <row r="425">
      <c r="A425" s="49">
        <v>44488.97638716435</v>
      </c>
      <c r="B425" s="50">
        <v>44489.1013610069</v>
      </c>
      <c r="C425" s="51">
        <v>1.035</v>
      </c>
      <c r="D425" s="51">
        <v>63.0</v>
      </c>
      <c r="E425" s="52" t="s">
        <v>25</v>
      </c>
      <c r="F425" s="52" t="s">
        <v>26</v>
      </c>
      <c r="G425" s="53"/>
    </row>
    <row r="426">
      <c r="A426" s="49">
        <v>44488.98682086806</v>
      </c>
      <c r="B426" s="50">
        <v>44489.1117920486</v>
      </c>
      <c r="C426" s="51">
        <v>1.035</v>
      </c>
      <c r="D426" s="51">
        <v>63.0</v>
      </c>
      <c r="E426" s="52" t="s">
        <v>25</v>
      </c>
      <c r="F426" s="52" t="s">
        <v>26</v>
      </c>
      <c r="G426" s="53"/>
    </row>
    <row r="427">
      <c r="A427" s="49">
        <v>44488.997262696765</v>
      </c>
      <c r="B427" s="50">
        <v>44489.1222359722</v>
      </c>
      <c r="C427" s="51">
        <v>1.035</v>
      </c>
      <c r="D427" s="51">
        <v>63.0</v>
      </c>
      <c r="E427" s="52" t="s">
        <v>25</v>
      </c>
      <c r="F427" s="52" t="s">
        <v>26</v>
      </c>
      <c r="G427" s="53"/>
    </row>
    <row r="428">
      <c r="A428" s="49">
        <v>44489.007699560185</v>
      </c>
      <c r="B428" s="50">
        <v>44489.1326787268</v>
      </c>
      <c r="C428" s="51">
        <v>1.035</v>
      </c>
      <c r="D428" s="51">
        <v>62.0</v>
      </c>
      <c r="E428" s="52" t="s">
        <v>25</v>
      </c>
      <c r="F428" s="52" t="s">
        <v>26</v>
      </c>
      <c r="G428" s="53"/>
    </row>
    <row r="429">
      <c r="A429" s="49">
        <v>44489.01822346065</v>
      </c>
      <c r="B429" s="50">
        <v>44489.1432029166</v>
      </c>
      <c r="C429" s="51">
        <v>1.035</v>
      </c>
      <c r="D429" s="51">
        <v>62.0</v>
      </c>
      <c r="E429" s="52" t="s">
        <v>25</v>
      </c>
      <c r="F429" s="52" t="s">
        <v>26</v>
      </c>
      <c r="G429" s="53"/>
    </row>
    <row r="430">
      <c r="A430" s="49">
        <v>44489.028696284724</v>
      </c>
      <c r="B430" s="50">
        <v>44489.153669456</v>
      </c>
      <c r="C430" s="51">
        <v>1.035</v>
      </c>
      <c r="D430" s="51">
        <v>62.0</v>
      </c>
      <c r="E430" s="52" t="s">
        <v>25</v>
      </c>
      <c r="F430" s="52" t="s">
        <v>26</v>
      </c>
      <c r="G430" s="53"/>
    </row>
    <row r="431">
      <c r="A431" s="49">
        <v>44489.03922184028</v>
      </c>
      <c r="B431" s="50">
        <v>44489.1641954861</v>
      </c>
      <c r="C431" s="51">
        <v>1.035</v>
      </c>
      <c r="D431" s="51">
        <v>62.0</v>
      </c>
      <c r="E431" s="52" t="s">
        <v>25</v>
      </c>
      <c r="F431" s="52" t="s">
        <v>26</v>
      </c>
      <c r="G431" s="53"/>
    </row>
    <row r="432">
      <c r="A432" s="49">
        <v>44489.0496553125</v>
      </c>
      <c r="B432" s="50">
        <v>44489.1746282638</v>
      </c>
      <c r="C432" s="51">
        <v>1.035</v>
      </c>
      <c r="D432" s="51">
        <v>62.0</v>
      </c>
      <c r="E432" s="52" t="s">
        <v>25</v>
      </c>
      <c r="F432" s="52" t="s">
        <v>26</v>
      </c>
      <c r="G432" s="53"/>
    </row>
    <row r="433">
      <c r="A433" s="49">
        <v>44489.0600875463</v>
      </c>
      <c r="B433" s="50">
        <v>44489.185061493</v>
      </c>
      <c r="C433" s="51">
        <v>1.035</v>
      </c>
      <c r="D433" s="51">
        <v>62.0</v>
      </c>
      <c r="E433" s="52" t="s">
        <v>25</v>
      </c>
      <c r="F433" s="52" t="s">
        <v>26</v>
      </c>
      <c r="G433" s="53"/>
    </row>
    <row r="434">
      <c r="A434" s="49">
        <v>44489.07051561342</v>
      </c>
      <c r="B434" s="50">
        <v>44489.195494074</v>
      </c>
      <c r="C434" s="51">
        <v>1.035</v>
      </c>
      <c r="D434" s="51">
        <v>62.0</v>
      </c>
      <c r="E434" s="52" t="s">
        <v>25</v>
      </c>
      <c r="F434" s="52" t="s">
        <v>26</v>
      </c>
      <c r="G434" s="53"/>
    </row>
    <row r="435">
      <c r="A435" s="49">
        <v>44489.0809462037</v>
      </c>
      <c r="B435" s="50">
        <v>44489.2059262847</v>
      </c>
      <c r="C435" s="51">
        <v>1.035</v>
      </c>
      <c r="D435" s="51">
        <v>62.0</v>
      </c>
      <c r="E435" s="52" t="s">
        <v>25</v>
      </c>
      <c r="F435" s="52" t="s">
        <v>26</v>
      </c>
      <c r="G435" s="53"/>
    </row>
    <row r="436">
      <c r="A436" s="49">
        <v>44489.09138925926</v>
      </c>
      <c r="B436" s="50">
        <v>44489.2163618171</v>
      </c>
      <c r="C436" s="51">
        <v>1.034</v>
      </c>
      <c r="D436" s="51">
        <v>62.0</v>
      </c>
      <c r="E436" s="52" t="s">
        <v>25</v>
      </c>
      <c r="F436" s="52" t="s">
        <v>26</v>
      </c>
      <c r="G436" s="53"/>
    </row>
    <row r="437">
      <c r="A437" s="49">
        <v>44489.101823125</v>
      </c>
      <c r="B437" s="50">
        <v>44489.2267957986</v>
      </c>
      <c r="C437" s="51">
        <v>1.035</v>
      </c>
      <c r="D437" s="51">
        <v>62.0</v>
      </c>
      <c r="E437" s="52" t="s">
        <v>25</v>
      </c>
      <c r="F437" s="52" t="s">
        <v>26</v>
      </c>
      <c r="G437" s="53"/>
    </row>
    <row r="438">
      <c r="A438" s="49">
        <v>44489.112248414356</v>
      </c>
      <c r="B438" s="50">
        <v>44489.237229456</v>
      </c>
      <c r="C438" s="51">
        <v>1.035</v>
      </c>
      <c r="D438" s="51">
        <v>62.0</v>
      </c>
      <c r="E438" s="52" t="s">
        <v>25</v>
      </c>
      <c r="F438" s="52" t="s">
        <v>26</v>
      </c>
      <c r="G438" s="53"/>
    </row>
    <row r="439">
      <c r="A439" s="49">
        <v>44489.12269362269</v>
      </c>
      <c r="B439" s="50">
        <v>44489.247664074</v>
      </c>
      <c r="C439" s="51">
        <v>1.034</v>
      </c>
      <c r="D439" s="51">
        <v>62.0</v>
      </c>
      <c r="E439" s="52" t="s">
        <v>25</v>
      </c>
      <c r="F439" s="52" t="s">
        <v>26</v>
      </c>
      <c r="G439" s="53"/>
    </row>
    <row r="440">
      <c r="A440" s="49">
        <v>44489.13311273148</v>
      </c>
      <c r="B440" s="50">
        <v>44489.2580850694</v>
      </c>
      <c r="C440" s="51">
        <v>1.034</v>
      </c>
      <c r="D440" s="51">
        <v>62.0</v>
      </c>
      <c r="E440" s="52" t="s">
        <v>25</v>
      </c>
      <c r="F440" s="52" t="s">
        <v>26</v>
      </c>
      <c r="G440" s="53"/>
    </row>
    <row r="441">
      <c r="A441" s="49">
        <v>44489.143524375</v>
      </c>
      <c r="B441" s="50">
        <v>44489.2685061342</v>
      </c>
      <c r="C441" s="51">
        <v>1.035</v>
      </c>
      <c r="D441" s="51">
        <v>62.0</v>
      </c>
      <c r="E441" s="52" t="s">
        <v>25</v>
      </c>
      <c r="F441" s="52" t="s">
        <v>26</v>
      </c>
      <c r="G441" s="53"/>
    </row>
    <row r="442">
      <c r="A442" s="49">
        <v>44489.15396065972</v>
      </c>
      <c r="B442" s="50">
        <v>44489.2789398032</v>
      </c>
      <c r="C442" s="51">
        <v>1.034</v>
      </c>
      <c r="D442" s="51">
        <v>63.0</v>
      </c>
      <c r="E442" s="52" t="s">
        <v>25</v>
      </c>
      <c r="F442" s="52" t="s">
        <v>26</v>
      </c>
      <c r="G442" s="53"/>
    </row>
    <row r="443">
      <c r="A443" s="49">
        <v>44489.164407187505</v>
      </c>
      <c r="B443" s="50">
        <v>44489.2893835069</v>
      </c>
      <c r="C443" s="51">
        <v>1.034</v>
      </c>
      <c r="D443" s="51">
        <v>63.0</v>
      </c>
      <c r="E443" s="52" t="s">
        <v>25</v>
      </c>
      <c r="F443" s="52" t="s">
        <v>26</v>
      </c>
      <c r="G443" s="53"/>
    </row>
    <row r="444">
      <c r="A444" s="49">
        <v>44489.17484331019</v>
      </c>
      <c r="B444" s="50">
        <v>44489.2998157176</v>
      </c>
      <c r="C444" s="51">
        <v>1.035</v>
      </c>
      <c r="D444" s="51">
        <v>63.0</v>
      </c>
      <c r="E444" s="52" t="s">
        <v>25</v>
      </c>
      <c r="F444" s="52" t="s">
        <v>26</v>
      </c>
      <c r="G444" s="53"/>
    </row>
    <row r="445">
      <c r="A445" s="49">
        <v>44489.18526049769</v>
      </c>
      <c r="B445" s="50">
        <v>44489.3102361921</v>
      </c>
      <c r="C445" s="51">
        <v>1.035</v>
      </c>
      <c r="D445" s="51">
        <v>63.0</v>
      </c>
      <c r="E445" s="52" t="s">
        <v>25</v>
      </c>
      <c r="F445" s="52" t="s">
        <v>26</v>
      </c>
      <c r="G445" s="53"/>
    </row>
    <row r="446">
      <c r="A446" s="49">
        <v>44489.19569396991</v>
      </c>
      <c r="B446" s="50">
        <v>44489.3206691203</v>
      </c>
      <c r="C446" s="51">
        <v>1.034</v>
      </c>
      <c r="D446" s="51">
        <v>63.0</v>
      </c>
      <c r="E446" s="52" t="s">
        <v>25</v>
      </c>
      <c r="F446" s="52" t="s">
        <v>26</v>
      </c>
      <c r="G446" s="53"/>
    </row>
    <row r="447">
      <c r="A447" s="49">
        <v>44489.206147453704</v>
      </c>
      <c r="B447" s="50">
        <v>44489.3311141203</v>
      </c>
      <c r="C447" s="51">
        <v>1.034</v>
      </c>
      <c r="D447" s="51">
        <v>63.0</v>
      </c>
      <c r="E447" s="52" t="s">
        <v>25</v>
      </c>
      <c r="F447" s="52" t="s">
        <v>26</v>
      </c>
      <c r="G447" s="53"/>
    </row>
    <row r="448">
      <c r="A448" s="49">
        <v>44489.21659766204</v>
      </c>
      <c r="B448" s="50">
        <v>44489.3415703935</v>
      </c>
      <c r="C448" s="51">
        <v>1.034</v>
      </c>
      <c r="D448" s="51">
        <v>63.0</v>
      </c>
      <c r="E448" s="52" t="s">
        <v>25</v>
      </c>
      <c r="F448" s="52" t="s">
        <v>26</v>
      </c>
      <c r="G448" s="53"/>
    </row>
    <row r="449">
      <c r="A449" s="49">
        <v>44489.227042453706</v>
      </c>
      <c r="B449" s="50">
        <v>44489.3519931944</v>
      </c>
      <c r="C449" s="51">
        <v>1.035</v>
      </c>
      <c r="D449" s="51">
        <v>63.0</v>
      </c>
      <c r="E449" s="52" t="s">
        <v>25</v>
      </c>
      <c r="F449" s="52" t="s">
        <v>26</v>
      </c>
      <c r="G449" s="53"/>
    </row>
    <row r="450">
      <c r="A450" s="49">
        <v>44489.23744628472</v>
      </c>
      <c r="B450" s="50">
        <v>44489.362414375</v>
      </c>
      <c r="C450" s="51">
        <v>1.034</v>
      </c>
      <c r="D450" s="51">
        <v>63.0</v>
      </c>
      <c r="E450" s="52" t="s">
        <v>25</v>
      </c>
      <c r="F450" s="52" t="s">
        <v>26</v>
      </c>
      <c r="G450" s="53"/>
    </row>
    <row r="451">
      <c r="A451" s="49">
        <v>44489.24791763889</v>
      </c>
      <c r="B451" s="50">
        <v>44489.3728714004</v>
      </c>
      <c r="C451" s="51">
        <v>1.034</v>
      </c>
      <c r="D451" s="51">
        <v>63.0</v>
      </c>
      <c r="E451" s="52" t="s">
        <v>25</v>
      </c>
      <c r="F451" s="52" t="s">
        <v>26</v>
      </c>
      <c r="G451" s="53"/>
    </row>
    <row r="452">
      <c r="A452" s="49">
        <v>44489.25834052083</v>
      </c>
      <c r="B452" s="50">
        <v>44489.3833030787</v>
      </c>
      <c r="C452" s="51">
        <v>1.034</v>
      </c>
      <c r="D452" s="51">
        <v>63.0</v>
      </c>
      <c r="E452" s="52" t="s">
        <v>25</v>
      </c>
      <c r="F452" s="52" t="s">
        <v>26</v>
      </c>
      <c r="G452" s="53"/>
    </row>
    <row r="453">
      <c r="A453" s="49">
        <v>44489.26874733796</v>
      </c>
      <c r="B453" s="50">
        <v>44489.3937223379</v>
      </c>
      <c r="C453" s="51">
        <v>1.034</v>
      </c>
      <c r="D453" s="51">
        <v>63.0</v>
      </c>
      <c r="E453" s="52" t="s">
        <v>25</v>
      </c>
      <c r="F453" s="52" t="s">
        <v>26</v>
      </c>
      <c r="G453" s="53"/>
    </row>
    <row r="454">
      <c r="A454" s="49">
        <v>44489.27917459491</v>
      </c>
      <c r="B454" s="50">
        <v>44489.4041454513</v>
      </c>
      <c r="C454" s="51">
        <v>1.034</v>
      </c>
      <c r="D454" s="51">
        <v>63.0</v>
      </c>
      <c r="E454" s="52" t="s">
        <v>25</v>
      </c>
      <c r="F454" s="52" t="s">
        <v>26</v>
      </c>
      <c r="G454" s="53"/>
    </row>
    <row r="455">
      <c r="A455" s="49">
        <v>44489.28959674768</v>
      </c>
      <c r="B455" s="50">
        <v>44489.4145670486</v>
      </c>
      <c r="C455" s="51">
        <v>1.034</v>
      </c>
      <c r="D455" s="51">
        <v>63.0</v>
      </c>
      <c r="E455" s="52" t="s">
        <v>25</v>
      </c>
      <c r="F455" s="52" t="s">
        <v>26</v>
      </c>
      <c r="G455" s="53"/>
    </row>
    <row r="456">
      <c r="A456" s="49">
        <v>44489.3000278588</v>
      </c>
      <c r="B456" s="50">
        <v>44489.4249890277</v>
      </c>
      <c r="C456" s="51">
        <v>1.033</v>
      </c>
      <c r="D456" s="51">
        <v>63.0</v>
      </c>
      <c r="E456" s="52" t="s">
        <v>25</v>
      </c>
      <c r="F456" s="52" t="s">
        <v>26</v>
      </c>
      <c r="G456" s="53"/>
    </row>
    <row r="457">
      <c r="A457" s="49">
        <v>44489.31042606481</v>
      </c>
      <c r="B457" s="50">
        <v>44489.4354092708</v>
      </c>
      <c r="C457" s="51">
        <v>1.035</v>
      </c>
      <c r="D457" s="51">
        <v>63.0</v>
      </c>
      <c r="E457" s="52" t="s">
        <v>25</v>
      </c>
      <c r="F457" s="52" t="s">
        <v>26</v>
      </c>
      <c r="G457" s="53"/>
    </row>
    <row r="458">
      <c r="A458" s="49">
        <v>44489.320859432875</v>
      </c>
      <c r="B458" s="50">
        <v>44489.4458305092</v>
      </c>
      <c r="C458" s="51">
        <v>1.034</v>
      </c>
      <c r="D458" s="51">
        <v>63.0</v>
      </c>
      <c r="E458" s="52" t="s">
        <v>25</v>
      </c>
      <c r="F458" s="52" t="s">
        <v>26</v>
      </c>
      <c r="G458" s="53"/>
    </row>
    <row r="459">
      <c r="A459" s="49">
        <v>44489.33127902778</v>
      </c>
      <c r="B459" s="50">
        <v>44489.4562503472</v>
      </c>
      <c r="C459" s="51">
        <v>1.034</v>
      </c>
      <c r="D459" s="51">
        <v>63.0</v>
      </c>
      <c r="E459" s="52" t="s">
        <v>25</v>
      </c>
      <c r="F459" s="52" t="s">
        <v>26</v>
      </c>
      <c r="G459" s="53"/>
    </row>
    <row r="460">
      <c r="A460" s="49">
        <v>44489.3417191551</v>
      </c>
      <c r="B460" s="50">
        <v>44489.4666720717</v>
      </c>
      <c r="C460" s="51">
        <v>1.034</v>
      </c>
      <c r="D460" s="51">
        <v>63.0</v>
      </c>
      <c r="E460" s="52" t="s">
        <v>25</v>
      </c>
      <c r="F460" s="52" t="s">
        <v>26</v>
      </c>
      <c r="G460" s="53"/>
    </row>
    <row r="461">
      <c r="A461" s="49">
        <v>44489.35217857639</v>
      </c>
      <c r="B461" s="50">
        <v>44489.477092199</v>
      </c>
      <c r="C461" s="51">
        <v>1.034</v>
      </c>
      <c r="D461" s="51">
        <v>63.0</v>
      </c>
      <c r="E461" s="52" t="s">
        <v>25</v>
      </c>
      <c r="F461" s="52" t="s">
        <v>26</v>
      </c>
      <c r="G461" s="53"/>
    </row>
    <row r="462">
      <c r="A462" s="49">
        <v>44489.36254699074</v>
      </c>
      <c r="B462" s="50">
        <v>44489.4875150578</v>
      </c>
      <c r="C462" s="51">
        <v>1.035</v>
      </c>
      <c r="D462" s="51">
        <v>63.0</v>
      </c>
      <c r="E462" s="52" t="s">
        <v>25</v>
      </c>
      <c r="F462" s="52" t="s">
        <v>26</v>
      </c>
      <c r="G462" s="53"/>
    </row>
    <row r="463">
      <c r="A463" s="49">
        <v>44489.37297353009</v>
      </c>
      <c r="B463" s="50">
        <v>44489.4979354282</v>
      </c>
      <c r="C463" s="51">
        <v>1.035</v>
      </c>
      <c r="D463" s="51">
        <v>63.0</v>
      </c>
      <c r="E463" s="52" t="s">
        <v>25</v>
      </c>
      <c r="F463" s="52" t="s">
        <v>26</v>
      </c>
      <c r="G463" s="53"/>
    </row>
    <row r="464">
      <c r="A464" s="49">
        <v>44489.38339134259</v>
      </c>
      <c r="B464" s="50">
        <v>44489.5083558333</v>
      </c>
      <c r="C464" s="51">
        <v>1.034</v>
      </c>
      <c r="D464" s="51">
        <v>63.0</v>
      </c>
      <c r="E464" s="52" t="s">
        <v>25</v>
      </c>
      <c r="F464" s="52" t="s">
        <v>26</v>
      </c>
      <c r="G464" s="53"/>
    </row>
    <row r="465">
      <c r="A465" s="49">
        <v>44489.39381221065</v>
      </c>
      <c r="B465" s="50">
        <v>44489.5187754745</v>
      </c>
      <c r="C465" s="51">
        <v>1.034</v>
      </c>
      <c r="D465" s="51">
        <v>63.0</v>
      </c>
      <c r="E465" s="52" t="s">
        <v>25</v>
      </c>
      <c r="F465" s="52" t="s">
        <v>26</v>
      </c>
      <c r="G465" s="53"/>
    </row>
    <row r="466">
      <c r="A466" s="49">
        <v>44489.404266909725</v>
      </c>
      <c r="B466" s="50">
        <v>44489.5292215856</v>
      </c>
      <c r="C466" s="51">
        <v>1.034</v>
      </c>
      <c r="D466" s="51">
        <v>63.0</v>
      </c>
      <c r="E466" s="52" t="s">
        <v>25</v>
      </c>
      <c r="F466" s="52" t="s">
        <v>26</v>
      </c>
      <c r="G466" s="53"/>
    </row>
    <row r="467">
      <c r="A467" s="49">
        <v>44489.41467208334</v>
      </c>
      <c r="B467" s="50">
        <v>44489.5396423842</v>
      </c>
      <c r="C467" s="51">
        <v>1.034</v>
      </c>
      <c r="D467" s="51">
        <v>63.0</v>
      </c>
      <c r="E467" s="52" t="s">
        <v>25</v>
      </c>
      <c r="F467" s="52" t="s">
        <v>26</v>
      </c>
      <c r="G467" s="53"/>
    </row>
    <row r="468">
      <c r="A468" s="49">
        <v>44489.42509578704</v>
      </c>
      <c r="B468" s="50">
        <v>44489.5500636689</v>
      </c>
      <c r="C468" s="51">
        <v>1.034</v>
      </c>
      <c r="D468" s="51">
        <v>63.0</v>
      </c>
      <c r="E468" s="52" t="s">
        <v>25</v>
      </c>
      <c r="F468" s="52" t="s">
        <v>26</v>
      </c>
      <c r="G468" s="53"/>
    </row>
    <row r="469">
      <c r="A469" s="49">
        <v>44489.43553412037</v>
      </c>
      <c r="B469" s="50">
        <v>44489.5604967129</v>
      </c>
      <c r="C469" s="51">
        <v>1.033</v>
      </c>
      <c r="D469" s="51">
        <v>64.0</v>
      </c>
      <c r="E469" s="52" t="s">
        <v>25</v>
      </c>
      <c r="F469" s="52" t="s">
        <v>26</v>
      </c>
      <c r="G469" s="53"/>
    </row>
    <row r="470">
      <c r="A470" s="49">
        <v>44489.445967685184</v>
      </c>
      <c r="B470" s="50">
        <v>44489.5709301388</v>
      </c>
      <c r="C470" s="51">
        <v>1.033</v>
      </c>
      <c r="D470" s="51">
        <v>64.0</v>
      </c>
      <c r="E470" s="52" t="s">
        <v>25</v>
      </c>
      <c r="F470" s="52" t="s">
        <v>26</v>
      </c>
      <c r="G470" s="53"/>
    </row>
    <row r="471">
      <c r="A471" s="49">
        <v>44489.45639199074</v>
      </c>
      <c r="B471" s="50">
        <v>44489.5813621875</v>
      </c>
      <c r="C471" s="51">
        <v>1.033</v>
      </c>
      <c r="D471" s="51">
        <v>64.0</v>
      </c>
      <c r="E471" s="52" t="s">
        <v>25</v>
      </c>
      <c r="F471" s="52" t="s">
        <v>26</v>
      </c>
      <c r="G471" s="53"/>
    </row>
    <row r="472">
      <c r="A472" s="49">
        <v>44489.46681975694</v>
      </c>
      <c r="B472" s="50">
        <v>44489.5917837037</v>
      </c>
      <c r="C472" s="51">
        <v>1.033</v>
      </c>
      <c r="D472" s="51">
        <v>64.0</v>
      </c>
      <c r="E472" s="52" t="s">
        <v>25</v>
      </c>
      <c r="F472" s="52" t="s">
        <v>26</v>
      </c>
      <c r="G472" s="53"/>
    </row>
    <row r="473">
      <c r="A473" s="49">
        <v>44489.4772559375</v>
      </c>
      <c r="B473" s="50">
        <v>44489.6022270138</v>
      </c>
      <c r="C473" s="51">
        <v>1.033</v>
      </c>
      <c r="D473" s="51">
        <v>64.0</v>
      </c>
      <c r="E473" s="52" t="s">
        <v>25</v>
      </c>
      <c r="F473" s="52" t="s">
        <v>26</v>
      </c>
      <c r="G473" s="53"/>
    </row>
    <row r="474">
      <c r="A474" s="49">
        <v>44489.48769706018</v>
      </c>
      <c r="B474" s="50">
        <v>44489.612660868</v>
      </c>
      <c r="C474" s="51">
        <v>1.033</v>
      </c>
      <c r="D474" s="51">
        <v>64.0</v>
      </c>
      <c r="E474" s="52" t="s">
        <v>25</v>
      </c>
      <c r="F474" s="52" t="s">
        <v>26</v>
      </c>
      <c r="G474" s="53"/>
    </row>
    <row r="475">
      <c r="A475" s="49">
        <v>44489.4981429051</v>
      </c>
      <c r="B475" s="50">
        <v>44489.6230827777</v>
      </c>
      <c r="C475" s="51">
        <v>1.032</v>
      </c>
      <c r="D475" s="51">
        <v>64.0</v>
      </c>
      <c r="E475" s="52" t="s">
        <v>25</v>
      </c>
      <c r="F475" s="52" t="s">
        <v>26</v>
      </c>
      <c r="G475" s="53"/>
    </row>
    <row r="476">
      <c r="A476" s="49">
        <v>44489.508561469906</v>
      </c>
      <c r="B476" s="50">
        <v>44489.6335168402</v>
      </c>
      <c r="C476" s="51">
        <v>1.032</v>
      </c>
      <c r="D476" s="51">
        <v>64.0</v>
      </c>
      <c r="E476" s="52" t="s">
        <v>25</v>
      </c>
      <c r="F476" s="52" t="s">
        <v>26</v>
      </c>
      <c r="G476" s="53"/>
    </row>
    <row r="477">
      <c r="A477" s="49">
        <v>44489.518976782405</v>
      </c>
      <c r="B477" s="50">
        <v>44489.6439369444</v>
      </c>
      <c r="C477" s="51">
        <v>1.033</v>
      </c>
      <c r="D477" s="51">
        <v>64.0</v>
      </c>
      <c r="E477" s="52" t="s">
        <v>25</v>
      </c>
      <c r="F477" s="52" t="s">
        <v>26</v>
      </c>
      <c r="G477" s="53"/>
    </row>
    <row r="478">
      <c r="A478" s="49">
        <v>44489.52939545139</v>
      </c>
      <c r="B478" s="50">
        <v>44489.6543703125</v>
      </c>
      <c r="C478" s="51">
        <v>1.033</v>
      </c>
      <c r="D478" s="51">
        <v>64.0</v>
      </c>
      <c r="E478" s="52" t="s">
        <v>25</v>
      </c>
      <c r="F478" s="52" t="s">
        <v>26</v>
      </c>
      <c r="G478" s="53"/>
    </row>
    <row r="479">
      <c r="A479" s="49">
        <v>44489.539826319444</v>
      </c>
      <c r="B479" s="50">
        <v>44489.6647918865</v>
      </c>
      <c r="C479" s="51">
        <v>1.032</v>
      </c>
      <c r="D479" s="51">
        <v>64.0</v>
      </c>
      <c r="E479" s="52" t="s">
        <v>25</v>
      </c>
      <c r="F479" s="52" t="s">
        <v>26</v>
      </c>
      <c r="G479" s="53"/>
    </row>
    <row r="480">
      <c r="A480" s="49">
        <v>44489.55028851852</v>
      </c>
      <c r="B480" s="50">
        <v>44489.675226875</v>
      </c>
      <c r="C480" s="51">
        <v>1.032</v>
      </c>
      <c r="D480" s="51">
        <v>64.0</v>
      </c>
      <c r="E480" s="52" t="s">
        <v>25</v>
      </c>
      <c r="F480" s="52" t="s">
        <v>26</v>
      </c>
      <c r="G480" s="53"/>
    </row>
    <row r="481">
      <c r="A481" s="49">
        <v>44489.56067759259</v>
      </c>
      <c r="B481" s="50">
        <v>44489.6856480555</v>
      </c>
      <c r="C481" s="51">
        <v>1.032</v>
      </c>
      <c r="D481" s="51">
        <v>64.0</v>
      </c>
      <c r="E481" s="52" t="s">
        <v>25</v>
      </c>
      <c r="F481" s="52" t="s">
        <v>26</v>
      </c>
      <c r="G481" s="53"/>
    </row>
    <row r="482">
      <c r="A482" s="49">
        <v>44489.57111668981</v>
      </c>
      <c r="B482" s="50">
        <v>44489.6960691319</v>
      </c>
      <c r="C482" s="51">
        <v>1.032</v>
      </c>
      <c r="D482" s="51">
        <v>64.0</v>
      </c>
      <c r="E482" s="52" t="s">
        <v>25</v>
      </c>
      <c r="F482" s="52" t="s">
        <v>26</v>
      </c>
      <c r="G482" s="53"/>
    </row>
    <row r="483">
      <c r="A483" s="49">
        <v>44489.58152118056</v>
      </c>
      <c r="B483" s="50">
        <v>44489.7064900462</v>
      </c>
      <c r="C483" s="51">
        <v>1.032</v>
      </c>
      <c r="D483" s="51">
        <v>64.0</v>
      </c>
      <c r="E483" s="52" t="s">
        <v>25</v>
      </c>
      <c r="F483" s="52" t="s">
        <v>26</v>
      </c>
      <c r="G483" s="53"/>
    </row>
    <row r="484">
      <c r="A484" s="49">
        <v>44489.59195920139</v>
      </c>
      <c r="B484" s="50">
        <v>44489.7169087963</v>
      </c>
      <c r="C484" s="51">
        <v>1.032</v>
      </c>
      <c r="D484" s="51">
        <v>64.0</v>
      </c>
      <c r="E484" s="52" t="s">
        <v>25</v>
      </c>
      <c r="F484" s="52" t="s">
        <v>26</v>
      </c>
      <c r="G484" s="53"/>
    </row>
    <row r="485">
      <c r="A485" s="49">
        <v>44489.60237173611</v>
      </c>
      <c r="B485" s="50">
        <v>44489.7273424537</v>
      </c>
      <c r="C485" s="51">
        <v>1.032</v>
      </c>
      <c r="D485" s="51">
        <v>64.0</v>
      </c>
      <c r="E485" s="52" t="s">
        <v>25</v>
      </c>
      <c r="F485" s="52" t="s">
        <v>26</v>
      </c>
      <c r="G485" s="53"/>
    </row>
    <row r="486">
      <c r="A486" s="49">
        <v>44489.61279825232</v>
      </c>
      <c r="B486" s="50">
        <v>44489.7377636921</v>
      </c>
      <c r="C486" s="51">
        <v>1.032</v>
      </c>
      <c r="D486" s="51">
        <v>64.0</v>
      </c>
      <c r="E486" s="52" t="s">
        <v>25</v>
      </c>
      <c r="F486" s="52" t="s">
        <v>26</v>
      </c>
      <c r="G486" s="53"/>
    </row>
    <row r="487">
      <c r="A487" s="49">
        <v>44489.62321784723</v>
      </c>
      <c r="B487" s="50">
        <v>44489.7481843981</v>
      </c>
      <c r="C487" s="51">
        <v>1.032</v>
      </c>
      <c r="D487" s="51">
        <v>64.0</v>
      </c>
      <c r="E487" s="52" t="s">
        <v>25</v>
      </c>
      <c r="F487" s="52" t="s">
        <v>26</v>
      </c>
      <c r="G487" s="53"/>
    </row>
    <row r="488">
      <c r="A488" s="49">
        <v>44489.63363916667</v>
      </c>
      <c r="B488" s="50">
        <v>44489.7586036111</v>
      </c>
      <c r="C488" s="51">
        <v>1.032</v>
      </c>
      <c r="D488" s="51">
        <v>64.0</v>
      </c>
      <c r="E488" s="52" t="s">
        <v>25</v>
      </c>
      <c r="F488" s="52" t="s">
        <v>26</v>
      </c>
      <c r="G488" s="53"/>
    </row>
    <row r="489">
      <c r="A489" s="49">
        <v>44489.644064340275</v>
      </c>
      <c r="B489" s="50">
        <v>44489.7690232523</v>
      </c>
      <c r="C489" s="51">
        <v>1.032</v>
      </c>
      <c r="D489" s="51">
        <v>64.0</v>
      </c>
      <c r="E489" s="52" t="s">
        <v>25</v>
      </c>
      <c r="F489" s="52" t="s">
        <v>26</v>
      </c>
      <c r="G489" s="53"/>
    </row>
    <row r="490">
      <c r="A490" s="49">
        <v>44489.654477731485</v>
      </c>
      <c r="B490" s="50">
        <v>44489.7794445138</v>
      </c>
      <c r="C490" s="51">
        <v>1.032</v>
      </c>
      <c r="D490" s="51">
        <v>64.0</v>
      </c>
      <c r="E490" s="52" t="s">
        <v>25</v>
      </c>
      <c r="F490" s="52" t="s">
        <v>26</v>
      </c>
      <c r="G490" s="53"/>
    </row>
    <row r="491">
      <c r="A491" s="49">
        <v>44489.664892939814</v>
      </c>
      <c r="B491" s="50">
        <v>44489.7898652662</v>
      </c>
      <c r="C491" s="51">
        <v>1.033</v>
      </c>
      <c r="D491" s="51">
        <v>64.0</v>
      </c>
      <c r="E491" s="52" t="s">
        <v>25</v>
      </c>
      <c r="F491" s="52" t="s">
        <v>26</v>
      </c>
      <c r="G491" s="53"/>
    </row>
    <row r="492">
      <c r="A492" s="49">
        <v>44489.6753224537</v>
      </c>
      <c r="B492" s="50">
        <v>44489.8002863657</v>
      </c>
      <c r="C492" s="51">
        <v>1.032</v>
      </c>
      <c r="D492" s="51">
        <v>64.0</v>
      </c>
      <c r="E492" s="52" t="s">
        <v>25</v>
      </c>
      <c r="F492" s="52" t="s">
        <v>26</v>
      </c>
      <c r="G492" s="53"/>
    </row>
    <row r="493">
      <c r="A493" s="49">
        <v>44489.68574446759</v>
      </c>
      <c r="B493" s="50">
        <v>44489.810708287</v>
      </c>
      <c r="C493" s="51">
        <v>1.031</v>
      </c>
      <c r="D493" s="51">
        <v>64.0</v>
      </c>
      <c r="E493" s="52" t="s">
        <v>25</v>
      </c>
      <c r="F493" s="52" t="s">
        <v>26</v>
      </c>
      <c r="G493" s="53"/>
    </row>
    <row r="494">
      <c r="A494" s="49">
        <v>44489.69616802083</v>
      </c>
      <c r="B494" s="50">
        <v>44489.8211287847</v>
      </c>
      <c r="C494" s="51">
        <v>1.031</v>
      </c>
      <c r="D494" s="51">
        <v>64.0</v>
      </c>
      <c r="E494" s="52" t="s">
        <v>25</v>
      </c>
      <c r="F494" s="52" t="s">
        <v>26</v>
      </c>
      <c r="G494" s="53"/>
    </row>
    <row r="495">
      <c r="A495" s="49">
        <v>44489.706587939814</v>
      </c>
      <c r="B495" s="50">
        <v>44489.8315631018</v>
      </c>
      <c r="C495" s="51">
        <v>1.03</v>
      </c>
      <c r="D495" s="51">
        <v>64.0</v>
      </c>
      <c r="E495" s="52" t="s">
        <v>25</v>
      </c>
      <c r="F495" s="52" t="s">
        <v>26</v>
      </c>
      <c r="G495" s="53"/>
    </row>
    <row r="496">
      <c r="A496" s="49">
        <v>44489.71703155093</v>
      </c>
      <c r="B496" s="50">
        <v>44489.8419954282</v>
      </c>
      <c r="C496" s="51">
        <v>1.031</v>
      </c>
      <c r="D496" s="51">
        <v>64.0</v>
      </c>
      <c r="E496" s="52" t="s">
        <v>25</v>
      </c>
      <c r="F496" s="52" t="s">
        <v>26</v>
      </c>
      <c r="G496" s="53"/>
    </row>
    <row r="497">
      <c r="A497" s="49">
        <v>44489.72744604167</v>
      </c>
      <c r="B497" s="50">
        <v>44489.8524172222</v>
      </c>
      <c r="C497" s="51">
        <v>1.03</v>
      </c>
      <c r="D497" s="51">
        <v>64.0</v>
      </c>
      <c r="E497" s="52" t="s">
        <v>25</v>
      </c>
      <c r="F497" s="52" t="s">
        <v>26</v>
      </c>
      <c r="G497" s="53"/>
    </row>
    <row r="498">
      <c r="A498" s="49">
        <v>44489.73787266204</v>
      </c>
      <c r="B498" s="50">
        <v>44489.8628395833</v>
      </c>
      <c r="C498" s="51">
        <v>1.03</v>
      </c>
      <c r="D498" s="51">
        <v>64.0</v>
      </c>
      <c r="E498" s="52" t="s">
        <v>25</v>
      </c>
      <c r="F498" s="52" t="s">
        <v>26</v>
      </c>
      <c r="G498" s="53"/>
    </row>
    <row r="499">
      <c r="A499" s="49">
        <v>44489.74829358797</v>
      </c>
      <c r="B499" s="50">
        <v>44489.8732606134</v>
      </c>
      <c r="C499" s="51">
        <v>1.03</v>
      </c>
      <c r="D499" s="51">
        <v>64.0</v>
      </c>
      <c r="E499" s="52" t="s">
        <v>25</v>
      </c>
      <c r="F499" s="52" t="s">
        <v>26</v>
      </c>
      <c r="G499" s="53"/>
    </row>
    <row r="500">
      <c r="A500" s="49">
        <v>44489.75871052084</v>
      </c>
      <c r="B500" s="50">
        <v>44489.8836810185</v>
      </c>
      <c r="C500" s="51">
        <v>1.029</v>
      </c>
      <c r="D500" s="51">
        <v>64.0</v>
      </c>
      <c r="E500" s="52" t="s">
        <v>25</v>
      </c>
      <c r="F500" s="52" t="s">
        <v>26</v>
      </c>
      <c r="G500" s="53"/>
    </row>
    <row r="501">
      <c r="A501" s="49">
        <v>44489.769125335646</v>
      </c>
      <c r="B501" s="50">
        <v>44489.8941046875</v>
      </c>
      <c r="C501" s="51">
        <v>1.029</v>
      </c>
      <c r="D501" s="51">
        <v>64.0</v>
      </c>
      <c r="E501" s="52" t="s">
        <v>25</v>
      </c>
      <c r="F501" s="52" t="s">
        <v>26</v>
      </c>
      <c r="G501" s="53"/>
    </row>
    <row r="502">
      <c r="A502" s="49">
        <v>44489.77957914352</v>
      </c>
      <c r="B502" s="50">
        <v>44489.9045373263</v>
      </c>
      <c r="C502" s="51">
        <v>1.029</v>
      </c>
      <c r="D502" s="51">
        <v>64.0</v>
      </c>
      <c r="E502" s="52" t="s">
        <v>25</v>
      </c>
      <c r="F502" s="52" t="s">
        <v>26</v>
      </c>
      <c r="G502" s="53"/>
    </row>
    <row r="503">
      <c r="A503" s="49">
        <v>44489.78999469907</v>
      </c>
      <c r="B503" s="50">
        <v>44489.9149587037</v>
      </c>
      <c r="C503" s="51">
        <v>1.029</v>
      </c>
      <c r="D503" s="51">
        <v>65.0</v>
      </c>
      <c r="E503" s="52" t="s">
        <v>25</v>
      </c>
      <c r="F503" s="52" t="s">
        <v>26</v>
      </c>
      <c r="G503" s="53"/>
    </row>
    <row r="504">
      <c r="A504" s="49">
        <v>44489.80041510417</v>
      </c>
      <c r="B504" s="50">
        <v>44489.9253790046</v>
      </c>
      <c r="C504" s="51">
        <v>1.03</v>
      </c>
      <c r="D504" s="51">
        <v>65.0</v>
      </c>
      <c r="E504" s="52" t="s">
        <v>25</v>
      </c>
      <c r="F504" s="52" t="s">
        <v>26</v>
      </c>
      <c r="G504" s="53"/>
    </row>
    <row r="505">
      <c r="A505" s="49">
        <v>44489.81084255787</v>
      </c>
      <c r="B505" s="50">
        <v>44489.9358101504</v>
      </c>
      <c r="C505" s="51">
        <v>1.03</v>
      </c>
      <c r="D505" s="51">
        <v>65.0</v>
      </c>
      <c r="E505" s="52" t="s">
        <v>25</v>
      </c>
      <c r="F505" s="52" t="s">
        <v>26</v>
      </c>
      <c r="G505" s="53"/>
    </row>
    <row r="506">
      <c r="A506" s="49">
        <v>44489.82125601852</v>
      </c>
      <c r="B506" s="50">
        <v>44489.9462326273</v>
      </c>
      <c r="C506" s="51">
        <v>1.03</v>
      </c>
      <c r="D506" s="51">
        <v>65.0</v>
      </c>
      <c r="E506" s="52" t="s">
        <v>25</v>
      </c>
      <c r="F506" s="52" t="s">
        <v>26</v>
      </c>
      <c r="G506" s="53"/>
    </row>
    <row r="507">
      <c r="A507" s="49">
        <v>44489.83167974537</v>
      </c>
      <c r="B507" s="50">
        <v>44489.9566521412</v>
      </c>
      <c r="C507" s="51">
        <v>1.03</v>
      </c>
      <c r="D507" s="51">
        <v>65.0</v>
      </c>
      <c r="E507" s="52" t="s">
        <v>25</v>
      </c>
      <c r="F507" s="52" t="s">
        <v>26</v>
      </c>
      <c r="G507" s="53"/>
    </row>
    <row r="508">
      <c r="A508" s="49">
        <v>44489.84211474537</v>
      </c>
      <c r="B508" s="50">
        <v>44489.9670720949</v>
      </c>
      <c r="C508" s="51">
        <v>1.03</v>
      </c>
      <c r="D508" s="51">
        <v>65.0</v>
      </c>
      <c r="E508" s="52" t="s">
        <v>25</v>
      </c>
      <c r="F508" s="52" t="s">
        <v>26</v>
      </c>
      <c r="G508" s="53"/>
    </row>
    <row r="509">
      <c r="A509" s="49">
        <v>44489.8525352662</v>
      </c>
      <c r="B509" s="50">
        <v>44489.9774938425</v>
      </c>
      <c r="C509" s="51">
        <v>1.03</v>
      </c>
      <c r="D509" s="51">
        <v>65.0</v>
      </c>
      <c r="E509" s="52" t="s">
        <v>25</v>
      </c>
      <c r="F509" s="52" t="s">
        <v>26</v>
      </c>
      <c r="G509" s="53"/>
    </row>
    <row r="510">
      <c r="A510" s="49">
        <v>44489.86294511574</v>
      </c>
      <c r="B510" s="50">
        <v>44489.9879146527</v>
      </c>
      <c r="C510" s="51">
        <v>1.03</v>
      </c>
      <c r="D510" s="51">
        <v>65.0</v>
      </c>
      <c r="E510" s="52" t="s">
        <v>25</v>
      </c>
      <c r="F510" s="52" t="s">
        <v>26</v>
      </c>
      <c r="G510" s="53"/>
    </row>
    <row r="511">
      <c r="A511" s="49">
        <v>44489.873367928245</v>
      </c>
      <c r="B511" s="50">
        <v>44489.9983359259</v>
      </c>
      <c r="C511" s="51">
        <v>1.03</v>
      </c>
      <c r="D511" s="51">
        <v>65.0</v>
      </c>
      <c r="E511" s="52" t="s">
        <v>25</v>
      </c>
      <c r="F511" s="52" t="s">
        <v>26</v>
      </c>
      <c r="G511" s="53"/>
    </row>
    <row r="512">
      <c r="A512" s="49">
        <v>44489.88383855324</v>
      </c>
      <c r="B512" s="50">
        <v>44490.0087554976</v>
      </c>
      <c r="C512" s="51">
        <v>1.03</v>
      </c>
      <c r="D512" s="51">
        <v>65.0</v>
      </c>
      <c r="E512" s="52" t="s">
        <v>25</v>
      </c>
      <c r="F512" s="52" t="s">
        <v>26</v>
      </c>
      <c r="G512" s="53"/>
    </row>
    <row r="513">
      <c r="A513" s="49">
        <v>44489.89421168981</v>
      </c>
      <c r="B513" s="50">
        <v>44490.0191777083</v>
      </c>
      <c r="C513" s="51">
        <v>1.029</v>
      </c>
      <c r="D513" s="51">
        <v>65.0</v>
      </c>
      <c r="E513" s="52" t="s">
        <v>25</v>
      </c>
      <c r="F513" s="52" t="s">
        <v>26</v>
      </c>
      <c r="G513" s="53"/>
    </row>
    <row r="514">
      <c r="A514" s="49">
        <v>44489.9046415162</v>
      </c>
      <c r="B514" s="50">
        <v>44490.0295984259</v>
      </c>
      <c r="C514" s="51">
        <v>1.029</v>
      </c>
      <c r="D514" s="51">
        <v>65.0</v>
      </c>
      <c r="E514" s="52" t="s">
        <v>25</v>
      </c>
      <c r="F514" s="52" t="s">
        <v>26</v>
      </c>
      <c r="G514" s="53"/>
    </row>
    <row r="515">
      <c r="A515" s="49">
        <v>44489.91505635416</v>
      </c>
      <c r="B515" s="50">
        <v>44490.0400299537</v>
      </c>
      <c r="C515" s="51">
        <v>1.029</v>
      </c>
      <c r="D515" s="51">
        <v>65.0</v>
      </c>
      <c r="E515" s="52" t="s">
        <v>25</v>
      </c>
      <c r="F515" s="52" t="s">
        <v>26</v>
      </c>
      <c r="G515" s="53"/>
    </row>
    <row r="516">
      <c r="A516" s="49">
        <v>44489.9254844213</v>
      </c>
      <c r="B516" s="50">
        <v>44490.0504520254</v>
      </c>
      <c r="C516" s="51">
        <v>1.03</v>
      </c>
      <c r="D516" s="51">
        <v>65.0</v>
      </c>
      <c r="E516" s="52" t="s">
        <v>25</v>
      </c>
      <c r="F516" s="52" t="s">
        <v>26</v>
      </c>
      <c r="G516" s="53"/>
    </row>
    <row r="517">
      <c r="A517" s="49">
        <v>44489.93591752315</v>
      </c>
      <c r="B517" s="50">
        <v>44490.0608747106</v>
      </c>
      <c r="C517" s="51">
        <v>1.029</v>
      </c>
      <c r="D517" s="51">
        <v>65.0</v>
      </c>
      <c r="E517" s="52" t="s">
        <v>25</v>
      </c>
      <c r="F517" s="52" t="s">
        <v>26</v>
      </c>
      <c r="G517" s="53"/>
    </row>
    <row r="518">
      <c r="A518" s="49">
        <v>44489.94633219908</v>
      </c>
      <c r="B518" s="50">
        <v>44490.071306875</v>
      </c>
      <c r="C518" s="51">
        <v>1.029</v>
      </c>
      <c r="D518" s="51">
        <v>65.0</v>
      </c>
      <c r="E518" s="52" t="s">
        <v>25</v>
      </c>
      <c r="F518" s="52" t="s">
        <v>26</v>
      </c>
      <c r="G518" s="53"/>
    </row>
    <row r="519">
      <c r="A519" s="49">
        <v>44489.956774502316</v>
      </c>
      <c r="B519" s="50">
        <v>44490.0817281597</v>
      </c>
      <c r="C519" s="51">
        <v>1.029</v>
      </c>
      <c r="D519" s="51">
        <v>65.0</v>
      </c>
      <c r="E519" s="52" t="s">
        <v>25</v>
      </c>
      <c r="F519" s="52" t="s">
        <v>26</v>
      </c>
      <c r="G519" s="53"/>
    </row>
    <row r="520">
      <c r="A520" s="49">
        <v>44489.96718248843</v>
      </c>
      <c r="B520" s="50">
        <v>44490.0921492245</v>
      </c>
      <c r="C520" s="51">
        <v>1.029</v>
      </c>
      <c r="D520" s="51">
        <v>65.0</v>
      </c>
      <c r="E520" s="52" t="s">
        <v>25</v>
      </c>
      <c r="F520" s="52" t="s">
        <v>26</v>
      </c>
      <c r="G520" s="53"/>
    </row>
    <row r="521">
      <c r="A521" s="49">
        <v>44489.977609444446</v>
      </c>
      <c r="B521" s="50">
        <v>44490.1025704629</v>
      </c>
      <c r="C521" s="51">
        <v>1.029</v>
      </c>
      <c r="D521" s="51">
        <v>65.0</v>
      </c>
      <c r="E521" s="52" t="s">
        <v>25</v>
      </c>
      <c r="F521" s="52" t="s">
        <v>26</v>
      </c>
      <c r="G521" s="53"/>
    </row>
    <row r="522">
      <c r="A522" s="49">
        <v>44489.98803070602</v>
      </c>
      <c r="B522" s="50">
        <v>44490.1129933101</v>
      </c>
      <c r="C522" s="51">
        <v>1.028</v>
      </c>
      <c r="D522" s="51">
        <v>65.0</v>
      </c>
      <c r="E522" s="52" t="s">
        <v>25</v>
      </c>
      <c r="F522" s="52" t="s">
        <v>26</v>
      </c>
      <c r="G522" s="53"/>
    </row>
    <row r="523">
      <c r="A523" s="49">
        <v>44489.9984499537</v>
      </c>
      <c r="B523" s="50">
        <v>44490.1234144328</v>
      </c>
      <c r="C523" s="51">
        <v>1.028</v>
      </c>
      <c r="D523" s="51">
        <v>65.0</v>
      </c>
      <c r="E523" s="52" t="s">
        <v>25</v>
      </c>
      <c r="F523" s="52" t="s">
        <v>26</v>
      </c>
      <c r="G523" s="53"/>
    </row>
    <row r="524">
      <c r="A524" s="49">
        <v>44490.00886570602</v>
      </c>
      <c r="B524" s="50">
        <v>44490.1338347453</v>
      </c>
      <c r="C524" s="51">
        <v>1.028</v>
      </c>
      <c r="D524" s="51">
        <v>65.0</v>
      </c>
      <c r="E524" s="52" t="s">
        <v>25</v>
      </c>
      <c r="F524" s="52" t="s">
        <v>26</v>
      </c>
      <c r="G524" s="53"/>
    </row>
    <row r="525">
      <c r="A525" s="49">
        <v>44490.01929672454</v>
      </c>
      <c r="B525" s="50">
        <v>44490.1442566088</v>
      </c>
      <c r="C525" s="51">
        <v>1.027</v>
      </c>
      <c r="D525" s="51">
        <v>65.0</v>
      </c>
      <c r="E525" s="52" t="s">
        <v>25</v>
      </c>
      <c r="F525" s="52" t="s">
        <v>26</v>
      </c>
      <c r="G525" s="53"/>
    </row>
    <row r="526">
      <c r="A526" s="49">
        <v>44490.02971457176</v>
      </c>
      <c r="B526" s="50">
        <v>44490.1546777314</v>
      </c>
      <c r="C526" s="51">
        <v>1.025</v>
      </c>
      <c r="D526" s="51">
        <v>65.0</v>
      </c>
      <c r="E526" s="52" t="s">
        <v>25</v>
      </c>
      <c r="F526" s="52" t="s">
        <v>26</v>
      </c>
      <c r="G526" s="53"/>
    </row>
    <row r="527">
      <c r="A527" s="49">
        <v>44490.040154456015</v>
      </c>
      <c r="B527" s="50">
        <v>44490.1651101273</v>
      </c>
      <c r="C527" s="51">
        <v>1.025</v>
      </c>
      <c r="D527" s="51">
        <v>65.0</v>
      </c>
      <c r="E527" s="52" t="s">
        <v>25</v>
      </c>
      <c r="F527" s="52" t="s">
        <v>26</v>
      </c>
      <c r="G527" s="53"/>
    </row>
    <row r="528">
      <c r="A528" s="49">
        <v>44490.05056711806</v>
      </c>
      <c r="B528" s="50">
        <v>44490.1755316203</v>
      </c>
      <c r="C528" s="51">
        <v>1.025</v>
      </c>
      <c r="D528" s="51">
        <v>65.0</v>
      </c>
      <c r="E528" s="52" t="s">
        <v>25</v>
      </c>
      <c r="F528" s="52" t="s">
        <v>26</v>
      </c>
      <c r="G528" s="53"/>
    </row>
    <row r="529">
      <c r="A529" s="49">
        <v>44490.06098142361</v>
      </c>
      <c r="B529" s="50">
        <v>44490.1859518518</v>
      </c>
      <c r="C529" s="51">
        <v>1.026</v>
      </c>
      <c r="D529" s="51">
        <v>65.0</v>
      </c>
      <c r="E529" s="52" t="s">
        <v>25</v>
      </c>
      <c r="F529" s="52" t="s">
        <v>26</v>
      </c>
      <c r="G529" s="53"/>
    </row>
    <row r="530">
      <c r="A530" s="49">
        <v>44490.07140912037</v>
      </c>
      <c r="B530" s="50">
        <v>44490.1963735763</v>
      </c>
      <c r="C530" s="51">
        <v>1.026</v>
      </c>
      <c r="D530" s="51">
        <v>65.0</v>
      </c>
      <c r="E530" s="52" t="s">
        <v>25</v>
      </c>
      <c r="F530" s="52" t="s">
        <v>26</v>
      </c>
      <c r="G530" s="53"/>
    </row>
    <row r="531">
      <c r="A531" s="49">
        <v>44490.081833344906</v>
      </c>
      <c r="B531" s="50">
        <v>44490.20680625</v>
      </c>
      <c r="C531" s="51">
        <v>1.026</v>
      </c>
      <c r="D531" s="51">
        <v>65.0</v>
      </c>
      <c r="E531" s="52" t="s">
        <v>25</v>
      </c>
      <c r="F531" s="52" t="s">
        <v>26</v>
      </c>
      <c r="G531" s="53"/>
    </row>
    <row r="532">
      <c r="A532" s="49">
        <v>44490.09225498843</v>
      </c>
      <c r="B532" s="50">
        <v>44490.2172268981</v>
      </c>
      <c r="C532" s="51">
        <v>1.026</v>
      </c>
      <c r="D532" s="51">
        <v>65.0</v>
      </c>
      <c r="E532" s="52" t="s">
        <v>25</v>
      </c>
      <c r="F532" s="52" t="s">
        <v>26</v>
      </c>
      <c r="G532" s="53"/>
    </row>
    <row r="533">
      <c r="A533" s="49">
        <v>44490.10267876157</v>
      </c>
      <c r="B533" s="50">
        <v>44490.2276460185</v>
      </c>
      <c r="C533" s="51">
        <v>1.026</v>
      </c>
      <c r="D533" s="51">
        <v>65.0</v>
      </c>
      <c r="E533" s="52" t="s">
        <v>25</v>
      </c>
      <c r="F533" s="52" t="s">
        <v>26</v>
      </c>
      <c r="G533" s="53"/>
    </row>
    <row r="534">
      <c r="A534" s="49">
        <v>44490.1130996875</v>
      </c>
      <c r="B534" s="50">
        <v>44490.2380672106</v>
      </c>
      <c r="C534" s="51">
        <v>1.026</v>
      </c>
      <c r="D534" s="51">
        <v>65.0</v>
      </c>
      <c r="E534" s="52" t="s">
        <v>25</v>
      </c>
      <c r="F534" s="52" t="s">
        <v>26</v>
      </c>
      <c r="G534" s="53"/>
    </row>
    <row r="535">
      <c r="A535" s="49">
        <v>44490.123515</v>
      </c>
      <c r="B535" s="50">
        <v>44490.2484890277</v>
      </c>
      <c r="C535" s="51">
        <v>1.026</v>
      </c>
      <c r="D535" s="51">
        <v>65.0</v>
      </c>
      <c r="E535" s="52" t="s">
        <v>25</v>
      </c>
      <c r="F535" s="52" t="s">
        <v>26</v>
      </c>
      <c r="G535" s="53"/>
    </row>
    <row r="536">
      <c r="A536" s="49">
        <v>44490.133960023144</v>
      </c>
      <c r="B536" s="50">
        <v>44490.2589344097</v>
      </c>
      <c r="C536" s="51">
        <v>1.025</v>
      </c>
      <c r="D536" s="51">
        <v>65.0</v>
      </c>
      <c r="E536" s="52" t="s">
        <v>25</v>
      </c>
      <c r="F536" s="52" t="s">
        <v>26</v>
      </c>
      <c r="G536" s="53"/>
    </row>
    <row r="537">
      <c r="A537" s="49">
        <v>44490.14441040509</v>
      </c>
      <c r="B537" s="50">
        <v>44490.2693786342</v>
      </c>
      <c r="C537" s="51">
        <v>1.025</v>
      </c>
      <c r="D537" s="51">
        <v>65.0</v>
      </c>
      <c r="E537" s="52" t="s">
        <v>25</v>
      </c>
      <c r="F537" s="52" t="s">
        <v>26</v>
      </c>
      <c r="G537" s="53"/>
    </row>
    <row r="538">
      <c r="A538" s="49">
        <v>44490.15483347222</v>
      </c>
      <c r="B538" s="50">
        <v>44490.2798008796</v>
      </c>
      <c r="C538" s="51">
        <v>1.025</v>
      </c>
      <c r="D538" s="51">
        <v>65.0</v>
      </c>
      <c r="E538" s="52" t="s">
        <v>25</v>
      </c>
      <c r="F538" s="52" t="s">
        <v>26</v>
      </c>
      <c r="G538" s="53"/>
    </row>
    <row r="539">
      <c r="A539" s="49">
        <v>44490.16525204861</v>
      </c>
      <c r="B539" s="50">
        <v>44490.2902233564</v>
      </c>
      <c r="C539" s="51">
        <v>1.025</v>
      </c>
      <c r="D539" s="51">
        <v>65.0</v>
      </c>
      <c r="E539" s="52" t="s">
        <v>25</v>
      </c>
      <c r="F539" s="52" t="s">
        <v>26</v>
      </c>
      <c r="G539" s="53"/>
    </row>
    <row r="540">
      <c r="A540" s="49">
        <v>44490.17568480324</v>
      </c>
      <c r="B540" s="50">
        <v>44490.3006572569</v>
      </c>
      <c r="C540" s="51">
        <v>1.025</v>
      </c>
      <c r="D540" s="51">
        <v>65.0</v>
      </c>
      <c r="E540" s="52" t="s">
        <v>25</v>
      </c>
      <c r="F540" s="52" t="s">
        <v>26</v>
      </c>
      <c r="G540" s="53"/>
    </row>
    <row r="541">
      <c r="A541" s="49">
        <v>44490.1861025463</v>
      </c>
      <c r="B541" s="50">
        <v>44490.3110783912</v>
      </c>
      <c r="C541" s="51">
        <v>1.025</v>
      </c>
      <c r="D541" s="51">
        <v>65.0</v>
      </c>
      <c r="E541" s="52" t="s">
        <v>25</v>
      </c>
      <c r="F541" s="52" t="s">
        <v>26</v>
      </c>
      <c r="G541" s="53"/>
    </row>
    <row r="542">
      <c r="A542" s="49">
        <v>44490.19652100695</v>
      </c>
      <c r="B542" s="50">
        <v>44490.3214983796</v>
      </c>
      <c r="C542" s="51">
        <v>1.026</v>
      </c>
      <c r="D542" s="51">
        <v>66.0</v>
      </c>
      <c r="E542" s="52" t="s">
        <v>25</v>
      </c>
      <c r="F542" s="52" t="s">
        <v>26</v>
      </c>
      <c r="G542" s="53"/>
    </row>
    <row r="543">
      <c r="A543" s="49">
        <v>44490.206951307875</v>
      </c>
      <c r="B543" s="50">
        <v>44490.331931493</v>
      </c>
      <c r="C543" s="51">
        <v>1.026</v>
      </c>
      <c r="D543" s="51">
        <v>65.0</v>
      </c>
      <c r="E543" s="52" t="s">
        <v>25</v>
      </c>
      <c r="F543" s="52" t="s">
        <v>26</v>
      </c>
      <c r="G543" s="53"/>
    </row>
    <row r="544">
      <c r="A544" s="49">
        <v>44490.21737185185</v>
      </c>
      <c r="B544" s="50">
        <v>44490.3423520254</v>
      </c>
      <c r="C544" s="51">
        <v>1.026</v>
      </c>
      <c r="D544" s="51">
        <v>66.0</v>
      </c>
      <c r="E544" s="52" t="s">
        <v>25</v>
      </c>
      <c r="F544" s="52" t="s">
        <v>26</v>
      </c>
      <c r="G544" s="53"/>
    </row>
    <row r="545">
      <c r="A545" s="49">
        <v>44490.2277903588</v>
      </c>
      <c r="B545" s="50">
        <v>44490.3527722916</v>
      </c>
      <c r="C545" s="51">
        <v>1.025</v>
      </c>
      <c r="D545" s="51">
        <v>66.0</v>
      </c>
      <c r="E545" s="52" t="s">
        <v>25</v>
      </c>
      <c r="F545" s="52" t="s">
        <v>26</v>
      </c>
      <c r="G545" s="53"/>
    </row>
    <row r="546">
      <c r="A546" s="49">
        <v>44490.238219837964</v>
      </c>
      <c r="B546" s="50">
        <v>44490.3631934606</v>
      </c>
      <c r="C546" s="51">
        <v>1.026</v>
      </c>
      <c r="D546" s="51">
        <v>66.0</v>
      </c>
      <c r="E546" s="52" t="s">
        <v>25</v>
      </c>
      <c r="F546" s="52" t="s">
        <v>26</v>
      </c>
      <c r="G546" s="53"/>
    </row>
    <row r="547">
      <c r="A547" s="49">
        <v>44490.24863967593</v>
      </c>
      <c r="B547" s="50">
        <v>44490.3736144444</v>
      </c>
      <c r="C547" s="51">
        <v>1.026</v>
      </c>
      <c r="D547" s="51">
        <v>66.0</v>
      </c>
      <c r="E547" s="52" t="s">
        <v>25</v>
      </c>
      <c r="F547" s="52" t="s">
        <v>26</v>
      </c>
      <c r="G547" s="53"/>
    </row>
    <row r="548">
      <c r="A548" s="49">
        <v>44490.259064074075</v>
      </c>
      <c r="B548" s="50">
        <v>44490.3840356134</v>
      </c>
      <c r="C548" s="51">
        <v>1.026</v>
      </c>
      <c r="D548" s="51">
        <v>66.0</v>
      </c>
      <c r="E548" s="52" t="s">
        <v>25</v>
      </c>
      <c r="F548" s="52" t="s">
        <v>26</v>
      </c>
      <c r="G548" s="53"/>
    </row>
    <row r="549">
      <c r="A549" s="49">
        <v>44490.26948225695</v>
      </c>
      <c r="B549" s="50">
        <v>44490.3944577546</v>
      </c>
      <c r="C549" s="51">
        <v>1.026</v>
      </c>
      <c r="D549" s="51">
        <v>66.0</v>
      </c>
      <c r="E549" s="52" t="s">
        <v>25</v>
      </c>
      <c r="F549" s="52" t="s">
        <v>26</v>
      </c>
      <c r="G549" s="53"/>
    </row>
    <row r="550">
      <c r="A550" s="49">
        <v>44490.2799187037</v>
      </c>
      <c r="B550" s="50">
        <v>44490.4048891898</v>
      </c>
      <c r="C550" s="51">
        <v>1.026</v>
      </c>
      <c r="D550" s="51">
        <v>66.0</v>
      </c>
      <c r="E550" s="52" t="s">
        <v>25</v>
      </c>
      <c r="F550" s="52" t="s">
        <v>26</v>
      </c>
      <c r="G550" s="53"/>
    </row>
    <row r="551">
      <c r="A551" s="49">
        <v>44490.29034767361</v>
      </c>
      <c r="B551" s="50">
        <v>44490.4153115393</v>
      </c>
      <c r="C551" s="51">
        <v>1.025</v>
      </c>
      <c r="D551" s="51">
        <v>66.0</v>
      </c>
      <c r="E551" s="52" t="s">
        <v>25</v>
      </c>
      <c r="F551" s="52" t="s">
        <v>26</v>
      </c>
      <c r="G551" s="53"/>
    </row>
    <row r="552">
      <c r="A552" s="49">
        <v>44490.30077077546</v>
      </c>
      <c r="B552" s="50">
        <v>44490.4257335879</v>
      </c>
      <c r="C552" s="51">
        <v>1.025</v>
      </c>
      <c r="D552" s="51">
        <v>66.0</v>
      </c>
      <c r="E552" s="52" t="s">
        <v>25</v>
      </c>
      <c r="F552" s="52" t="s">
        <v>26</v>
      </c>
      <c r="G552" s="53"/>
    </row>
    <row r="553">
      <c r="A553" s="49">
        <v>44490.31118414352</v>
      </c>
      <c r="B553" s="50">
        <v>44490.4361552083</v>
      </c>
      <c r="C553" s="51">
        <v>1.025</v>
      </c>
      <c r="D553" s="51">
        <v>66.0</v>
      </c>
      <c r="E553" s="52" t="s">
        <v>25</v>
      </c>
      <c r="F553" s="52" t="s">
        <v>26</v>
      </c>
      <c r="G553" s="53"/>
    </row>
    <row r="554">
      <c r="A554" s="49">
        <v>44490.321621423616</v>
      </c>
      <c r="B554" s="50">
        <v>44490.4465877662</v>
      </c>
      <c r="C554" s="51">
        <v>1.025</v>
      </c>
      <c r="D554" s="51">
        <v>66.0</v>
      </c>
      <c r="E554" s="52" t="s">
        <v>25</v>
      </c>
      <c r="F554" s="52" t="s">
        <v>26</v>
      </c>
      <c r="G554" s="53"/>
    </row>
    <row r="555">
      <c r="A555" s="49">
        <v>44490.332045682866</v>
      </c>
      <c r="B555" s="50">
        <v>44490.4570205671</v>
      </c>
      <c r="C555" s="51">
        <v>1.026</v>
      </c>
      <c r="D555" s="51">
        <v>66.0</v>
      </c>
      <c r="E555" s="52" t="s">
        <v>25</v>
      </c>
      <c r="F555" s="52" t="s">
        <v>26</v>
      </c>
      <c r="G555" s="53"/>
    </row>
    <row r="556">
      <c r="A556" s="49">
        <v>44490.34247758102</v>
      </c>
      <c r="B556" s="50">
        <v>44490.4674425347</v>
      </c>
      <c r="C556" s="51">
        <v>1.025</v>
      </c>
      <c r="D556" s="51">
        <v>66.0</v>
      </c>
      <c r="E556" s="52" t="s">
        <v>25</v>
      </c>
      <c r="F556" s="52" t="s">
        <v>26</v>
      </c>
      <c r="G556" s="53"/>
    </row>
    <row r="557">
      <c r="A557" s="49">
        <v>44490.35290703704</v>
      </c>
      <c r="B557" s="50">
        <v>44490.4778766203</v>
      </c>
      <c r="C557" s="51">
        <v>1.025</v>
      </c>
      <c r="D557" s="51">
        <v>66.0</v>
      </c>
      <c r="E557" s="52" t="s">
        <v>25</v>
      </c>
      <c r="F557" s="52" t="s">
        <v>26</v>
      </c>
      <c r="G557" s="53"/>
    </row>
    <row r="558">
      <c r="A558" s="49">
        <v>44490.36335854167</v>
      </c>
      <c r="B558" s="50">
        <v>44490.4883097685</v>
      </c>
      <c r="C558" s="51">
        <v>1.025</v>
      </c>
      <c r="D558" s="51">
        <v>66.0</v>
      </c>
      <c r="E558" s="52" t="s">
        <v>25</v>
      </c>
      <c r="F558" s="52" t="s">
        <v>26</v>
      </c>
      <c r="G558" s="53"/>
    </row>
    <row r="559">
      <c r="A559" s="49">
        <v>44490.37375319445</v>
      </c>
      <c r="B559" s="50">
        <v>44490.4987303009</v>
      </c>
      <c r="C559" s="51">
        <v>1.025</v>
      </c>
      <c r="D559" s="51">
        <v>66.0</v>
      </c>
      <c r="E559" s="52" t="s">
        <v>25</v>
      </c>
      <c r="F559" s="52" t="s">
        <v>26</v>
      </c>
      <c r="G559" s="53"/>
    </row>
    <row r="560">
      <c r="A560" s="49">
        <v>44490.38420465278</v>
      </c>
      <c r="B560" s="50">
        <v>44490.5091628703</v>
      </c>
      <c r="C560" s="51">
        <v>1.025</v>
      </c>
      <c r="D560" s="51">
        <v>66.0</v>
      </c>
      <c r="E560" s="52" t="s">
        <v>25</v>
      </c>
      <c r="F560" s="52" t="s">
        <v>26</v>
      </c>
      <c r="G560" s="53"/>
    </row>
    <row r="561">
      <c r="A561" s="49">
        <v>44490.39462273148</v>
      </c>
      <c r="B561" s="50">
        <v>44490.5195945486</v>
      </c>
      <c r="C561" s="51">
        <v>1.025</v>
      </c>
      <c r="D561" s="51">
        <v>65.0</v>
      </c>
      <c r="E561" s="52" t="s">
        <v>25</v>
      </c>
      <c r="F561" s="52" t="s">
        <v>26</v>
      </c>
      <c r="G561" s="53"/>
    </row>
    <row r="562">
      <c r="A562" s="49">
        <v>44490.40505043982</v>
      </c>
      <c r="B562" s="50">
        <v>44490.5300175925</v>
      </c>
      <c r="C562" s="51">
        <v>1.026</v>
      </c>
      <c r="D562" s="51">
        <v>64.0</v>
      </c>
      <c r="E562" s="52" t="s">
        <v>25</v>
      </c>
      <c r="F562" s="52" t="s">
        <v>26</v>
      </c>
      <c r="G562" s="53"/>
    </row>
    <row r="563">
      <c r="A563" s="49">
        <v>44490.41547782408</v>
      </c>
      <c r="B563" s="50">
        <v>44490.5404501041</v>
      </c>
      <c r="C563" s="51">
        <v>1.026</v>
      </c>
      <c r="D563" s="51">
        <v>64.0</v>
      </c>
      <c r="E563" s="52" t="s">
        <v>25</v>
      </c>
      <c r="F563" s="52" t="s">
        <v>26</v>
      </c>
      <c r="G563" s="53"/>
    </row>
    <row r="564">
      <c r="A564" s="49">
        <v>44490.42590883102</v>
      </c>
      <c r="B564" s="50">
        <v>44490.5508822801</v>
      </c>
      <c r="C564" s="51">
        <v>1.026</v>
      </c>
      <c r="D564" s="51">
        <v>63.0</v>
      </c>
      <c r="E564" s="52" t="s">
        <v>25</v>
      </c>
      <c r="F564" s="52" t="s">
        <v>26</v>
      </c>
      <c r="G564" s="53"/>
    </row>
    <row r="565">
      <c r="A565" s="49">
        <v>44490.436339259264</v>
      </c>
      <c r="B565" s="50">
        <v>44490.5613164004</v>
      </c>
      <c r="C565" s="51">
        <v>1.025</v>
      </c>
      <c r="D565" s="51">
        <v>63.0</v>
      </c>
      <c r="E565" s="52" t="s">
        <v>25</v>
      </c>
      <c r="F565" s="52" t="s">
        <v>26</v>
      </c>
      <c r="G565" s="53"/>
    </row>
    <row r="566">
      <c r="A566" s="49">
        <v>44490.44677574074</v>
      </c>
      <c r="B566" s="50">
        <v>44490.5717360995</v>
      </c>
      <c r="C566" s="51">
        <v>1.025</v>
      </c>
      <c r="D566" s="51">
        <v>62.0</v>
      </c>
      <c r="E566" s="52" t="s">
        <v>25</v>
      </c>
      <c r="F566" s="52" t="s">
        <v>26</v>
      </c>
      <c r="G566" s="53"/>
    </row>
    <row r="567">
      <c r="A567" s="49">
        <v>44490.45718074074</v>
      </c>
      <c r="B567" s="50">
        <v>44490.5821586805</v>
      </c>
      <c r="C567" s="51">
        <v>1.025</v>
      </c>
      <c r="D567" s="51">
        <v>62.0</v>
      </c>
      <c r="E567" s="52" t="s">
        <v>25</v>
      </c>
      <c r="F567" s="52" t="s">
        <v>26</v>
      </c>
      <c r="G567" s="53"/>
    </row>
    <row r="568">
      <c r="A568" s="49">
        <v>44490.467607812505</v>
      </c>
      <c r="B568" s="50">
        <v>44490.5925809143</v>
      </c>
      <c r="C568" s="51">
        <v>1.025</v>
      </c>
      <c r="D568" s="51">
        <v>62.0</v>
      </c>
      <c r="E568" s="52" t="s">
        <v>25</v>
      </c>
      <c r="F568" s="52" t="s">
        <v>26</v>
      </c>
      <c r="G568" s="53"/>
    </row>
    <row r="569">
      <c r="A569" s="49">
        <v>44490.47802363426</v>
      </c>
      <c r="B569" s="50">
        <v>44490.6030033101</v>
      </c>
      <c r="C569" s="51">
        <v>1.025</v>
      </c>
      <c r="D569" s="51">
        <v>62.0</v>
      </c>
      <c r="E569" s="52" t="s">
        <v>25</v>
      </c>
      <c r="F569" s="52" t="s">
        <v>26</v>
      </c>
      <c r="G569" s="53"/>
    </row>
    <row r="570">
      <c r="A570" s="49">
        <v>44490.48845746528</v>
      </c>
      <c r="B570" s="50">
        <v>44490.6134360185</v>
      </c>
      <c r="C570" s="51">
        <v>1.025</v>
      </c>
      <c r="D570" s="51">
        <v>62.0</v>
      </c>
      <c r="E570" s="52" t="s">
        <v>25</v>
      </c>
      <c r="F570" s="52" t="s">
        <v>26</v>
      </c>
      <c r="G570" s="53"/>
    </row>
    <row r="571">
      <c r="A571" s="49">
        <v>44490.49887697917</v>
      </c>
      <c r="B571" s="50">
        <v>44490.6238580092</v>
      </c>
      <c r="C571" s="51">
        <v>1.025</v>
      </c>
      <c r="D571" s="51">
        <v>61.0</v>
      </c>
      <c r="E571" s="52" t="s">
        <v>25</v>
      </c>
      <c r="F571" s="52" t="s">
        <v>26</v>
      </c>
      <c r="G571" s="53"/>
    </row>
    <row r="572">
      <c r="A572" s="49">
        <v>44490.50932025463</v>
      </c>
      <c r="B572" s="50">
        <v>44490.634292662</v>
      </c>
      <c r="C572" s="51">
        <v>1.025</v>
      </c>
      <c r="D572" s="51">
        <v>61.0</v>
      </c>
      <c r="E572" s="52" t="s">
        <v>25</v>
      </c>
      <c r="F572" s="52" t="s">
        <v>26</v>
      </c>
      <c r="G572" s="53"/>
    </row>
    <row r="573">
      <c r="A573" s="49">
        <v>44490.51974079861</v>
      </c>
      <c r="B573" s="50">
        <v>44490.6447138773</v>
      </c>
      <c r="C573" s="51">
        <v>1.025</v>
      </c>
      <c r="D573" s="51">
        <v>61.0</v>
      </c>
      <c r="E573" s="52" t="s">
        <v>25</v>
      </c>
      <c r="F573" s="52" t="s">
        <v>26</v>
      </c>
      <c r="G573" s="53"/>
    </row>
    <row r="574">
      <c r="A574" s="49">
        <v>44490.530175949076</v>
      </c>
      <c r="B574" s="50">
        <v>44490.6551465972</v>
      </c>
      <c r="C574" s="51">
        <v>1.025</v>
      </c>
      <c r="D574" s="51">
        <v>61.0</v>
      </c>
      <c r="E574" s="52" t="s">
        <v>25</v>
      </c>
      <c r="F574" s="52" t="s">
        <v>26</v>
      </c>
      <c r="G574" s="53"/>
    </row>
    <row r="575">
      <c r="A575" s="49">
        <v>44490.54059875</v>
      </c>
      <c r="B575" s="50">
        <v>44490.6655684143</v>
      </c>
      <c r="C575" s="51">
        <v>1.025</v>
      </c>
      <c r="D575" s="51">
        <v>61.0</v>
      </c>
      <c r="E575" s="52" t="s">
        <v>25</v>
      </c>
      <c r="F575" s="52" t="s">
        <v>26</v>
      </c>
      <c r="G575" s="53"/>
    </row>
    <row r="576">
      <c r="A576" s="49">
        <v>44490.55101322917</v>
      </c>
      <c r="B576" s="50">
        <v>44490.6759899074</v>
      </c>
      <c r="C576" s="51">
        <v>1.025</v>
      </c>
      <c r="D576" s="51">
        <v>61.0</v>
      </c>
      <c r="E576" s="52" t="s">
        <v>25</v>
      </c>
      <c r="F576" s="52" t="s">
        <v>26</v>
      </c>
      <c r="G576" s="53"/>
    </row>
    <row r="577">
      <c r="A577" s="49">
        <v>44490.561426851855</v>
      </c>
      <c r="B577" s="50">
        <v>44490.6864115856</v>
      </c>
      <c r="C577" s="51">
        <v>1.025</v>
      </c>
      <c r="D577" s="51">
        <v>61.0</v>
      </c>
      <c r="E577" s="52" t="s">
        <v>25</v>
      </c>
      <c r="F577" s="52" t="s">
        <v>26</v>
      </c>
      <c r="G577" s="53"/>
    </row>
    <row r="578">
      <c r="A578" s="49">
        <v>44490.57186174768</v>
      </c>
      <c r="B578" s="50">
        <v>44490.6968332407</v>
      </c>
      <c r="C578" s="51">
        <v>1.024</v>
      </c>
      <c r="D578" s="51">
        <v>62.0</v>
      </c>
      <c r="E578" s="52" t="s">
        <v>25</v>
      </c>
      <c r="F578" s="52" t="s">
        <v>26</v>
      </c>
      <c r="G578" s="53"/>
    </row>
    <row r="579">
      <c r="A579" s="49">
        <v>44490.58228351852</v>
      </c>
      <c r="B579" s="50">
        <v>44490.7072547916</v>
      </c>
      <c r="C579" s="51">
        <v>1.024</v>
      </c>
      <c r="D579" s="51">
        <v>62.0</v>
      </c>
      <c r="E579" s="52" t="s">
        <v>25</v>
      </c>
      <c r="F579" s="52" t="s">
        <v>26</v>
      </c>
      <c r="G579" s="53"/>
    </row>
    <row r="580">
      <c r="A580" s="49">
        <v>44490.59271599537</v>
      </c>
      <c r="B580" s="50">
        <v>44490.7176866319</v>
      </c>
      <c r="C580" s="51">
        <v>1.025</v>
      </c>
      <c r="D580" s="51">
        <v>62.0</v>
      </c>
      <c r="E580" s="52" t="s">
        <v>25</v>
      </c>
      <c r="F580" s="52" t="s">
        <v>26</v>
      </c>
      <c r="G580" s="53"/>
    </row>
    <row r="581">
      <c r="A581" s="49">
        <v>44490.60313591435</v>
      </c>
      <c r="B581" s="50">
        <v>44490.7281075694</v>
      </c>
      <c r="C581" s="51">
        <v>1.024</v>
      </c>
      <c r="D581" s="51">
        <v>62.0</v>
      </c>
      <c r="E581" s="52" t="s">
        <v>25</v>
      </c>
      <c r="F581" s="52" t="s">
        <v>26</v>
      </c>
      <c r="G581" s="53"/>
    </row>
    <row r="582">
      <c r="A582" s="49">
        <v>44490.61355810185</v>
      </c>
      <c r="B582" s="50">
        <v>44490.7385398148</v>
      </c>
      <c r="C582" s="51">
        <v>1.025</v>
      </c>
      <c r="D582" s="51">
        <v>62.0</v>
      </c>
      <c r="E582" s="52" t="s">
        <v>25</v>
      </c>
      <c r="F582" s="52" t="s">
        <v>26</v>
      </c>
      <c r="G582" s="53"/>
    </row>
    <row r="583">
      <c r="A583" s="49">
        <v>44490.62398962963</v>
      </c>
      <c r="B583" s="50">
        <v>44490.7489623148</v>
      </c>
      <c r="C583" s="51">
        <v>1.025</v>
      </c>
      <c r="D583" s="51">
        <v>62.0</v>
      </c>
      <c r="E583" s="52" t="s">
        <v>25</v>
      </c>
      <c r="F583" s="52" t="s">
        <v>26</v>
      </c>
      <c r="G583" s="53"/>
    </row>
    <row r="584">
      <c r="A584" s="49">
        <v>44490.634406296296</v>
      </c>
      <c r="B584" s="50">
        <v>44490.7593807754</v>
      </c>
      <c r="C584" s="51">
        <v>1.025</v>
      </c>
      <c r="D584" s="51">
        <v>62.0</v>
      </c>
      <c r="E584" s="52" t="s">
        <v>25</v>
      </c>
      <c r="F584" s="52" t="s">
        <v>26</v>
      </c>
      <c r="G584" s="53"/>
    </row>
    <row r="585">
      <c r="A585" s="49">
        <v>44490.64482255787</v>
      </c>
      <c r="B585" s="50">
        <v>44490.7698026851</v>
      </c>
      <c r="C585" s="51">
        <v>1.024</v>
      </c>
      <c r="D585" s="51">
        <v>62.0</v>
      </c>
      <c r="E585" s="52" t="s">
        <v>25</v>
      </c>
      <c r="F585" s="52" t="s">
        <v>26</v>
      </c>
      <c r="G585" s="53"/>
    </row>
    <row r="586">
      <c r="A586" s="49">
        <v>44490.65524736111</v>
      </c>
      <c r="B586" s="50">
        <v>44490.7802217361</v>
      </c>
      <c r="C586" s="51">
        <v>1.024</v>
      </c>
      <c r="D586" s="51">
        <v>62.0</v>
      </c>
      <c r="E586" s="52" t="s">
        <v>25</v>
      </c>
      <c r="F586" s="52" t="s">
        <v>26</v>
      </c>
      <c r="G586" s="53"/>
    </row>
    <row r="587">
      <c r="A587" s="49">
        <v>44490.66566805556</v>
      </c>
      <c r="B587" s="50">
        <v>44490.7906442824</v>
      </c>
      <c r="C587" s="51">
        <v>1.025</v>
      </c>
      <c r="D587" s="51">
        <v>62.0</v>
      </c>
      <c r="E587" s="52" t="s">
        <v>25</v>
      </c>
      <c r="F587" s="52" t="s">
        <v>26</v>
      </c>
      <c r="G587" s="53"/>
    </row>
    <row r="588">
      <c r="A588" s="49">
        <v>44490.67609472222</v>
      </c>
      <c r="B588" s="50">
        <v>44490.8010667129</v>
      </c>
      <c r="C588" s="51">
        <v>1.023</v>
      </c>
      <c r="D588" s="51">
        <v>62.0</v>
      </c>
      <c r="E588" s="52" t="s">
        <v>25</v>
      </c>
      <c r="F588" s="52" t="s">
        <v>26</v>
      </c>
      <c r="G588" s="53"/>
    </row>
    <row r="589">
      <c r="A589" s="49">
        <v>44490.68651611111</v>
      </c>
      <c r="B589" s="50">
        <v>44490.8114887615</v>
      </c>
      <c r="C589" s="51">
        <v>1.023</v>
      </c>
      <c r="D589" s="51">
        <v>62.0</v>
      </c>
      <c r="E589" s="52" t="s">
        <v>25</v>
      </c>
      <c r="F589" s="52" t="s">
        <v>26</v>
      </c>
      <c r="G589" s="53"/>
    </row>
    <row r="590">
      <c r="A590" s="49">
        <v>44490.6969306713</v>
      </c>
      <c r="B590" s="50">
        <v>44490.8219113541</v>
      </c>
      <c r="C590" s="51">
        <v>1.023</v>
      </c>
      <c r="D590" s="51">
        <v>62.0</v>
      </c>
      <c r="E590" s="52" t="s">
        <v>25</v>
      </c>
      <c r="F590" s="52" t="s">
        <v>26</v>
      </c>
      <c r="G590" s="53"/>
    </row>
    <row r="591">
      <c r="A591" s="49">
        <v>44490.70735844907</v>
      </c>
      <c r="B591" s="50">
        <v>44490.8323324421</v>
      </c>
      <c r="C591" s="51">
        <v>1.023</v>
      </c>
      <c r="D591" s="51">
        <v>62.0</v>
      </c>
      <c r="E591" s="52" t="s">
        <v>25</v>
      </c>
      <c r="F591" s="52" t="s">
        <v>26</v>
      </c>
      <c r="G591" s="53"/>
    </row>
    <row r="592">
      <c r="A592" s="49">
        <v>44490.71778179398</v>
      </c>
      <c r="B592" s="50">
        <v>44490.8427541203</v>
      </c>
      <c r="C592" s="51">
        <v>1.023</v>
      </c>
      <c r="D592" s="51">
        <v>62.0</v>
      </c>
      <c r="E592" s="52" t="s">
        <v>25</v>
      </c>
      <c r="F592" s="52" t="s">
        <v>26</v>
      </c>
      <c r="G592" s="53"/>
    </row>
    <row r="593">
      <c r="A593" s="49">
        <v>44490.72820413194</v>
      </c>
      <c r="B593" s="50">
        <v>44490.8531757754</v>
      </c>
      <c r="C593" s="51">
        <v>1.023</v>
      </c>
      <c r="D593" s="51">
        <v>62.0</v>
      </c>
      <c r="E593" s="52" t="s">
        <v>25</v>
      </c>
      <c r="F593" s="52" t="s">
        <v>26</v>
      </c>
      <c r="G593" s="53"/>
    </row>
    <row r="594">
      <c r="A594" s="49">
        <v>44490.73862263889</v>
      </c>
      <c r="B594" s="50">
        <v>44490.8635974074</v>
      </c>
      <c r="C594" s="51">
        <v>1.023</v>
      </c>
      <c r="D594" s="51">
        <v>62.0</v>
      </c>
      <c r="E594" s="52" t="s">
        <v>25</v>
      </c>
      <c r="F594" s="52" t="s">
        <v>26</v>
      </c>
      <c r="G594" s="53"/>
    </row>
    <row r="595">
      <c r="A595" s="49">
        <v>44490.74905184028</v>
      </c>
      <c r="B595" s="50">
        <v>44490.8740178356</v>
      </c>
      <c r="C595" s="51">
        <v>1.022</v>
      </c>
      <c r="D595" s="51">
        <v>62.0</v>
      </c>
      <c r="E595" s="52" t="s">
        <v>25</v>
      </c>
      <c r="F595" s="52" t="s">
        <v>26</v>
      </c>
      <c r="G595" s="53"/>
    </row>
    <row r="596">
      <c r="A596" s="49">
        <v>44490.759469375</v>
      </c>
      <c r="B596" s="50">
        <v>44490.8844392245</v>
      </c>
      <c r="C596" s="51">
        <v>1.023</v>
      </c>
      <c r="D596" s="51">
        <v>62.0</v>
      </c>
      <c r="E596" s="52" t="s">
        <v>25</v>
      </c>
      <c r="F596" s="52" t="s">
        <v>26</v>
      </c>
      <c r="G596" s="53"/>
    </row>
    <row r="597">
      <c r="A597" s="49">
        <v>44490.76988825231</v>
      </c>
      <c r="B597" s="50">
        <v>44490.8948603125</v>
      </c>
      <c r="C597" s="51">
        <v>1.023</v>
      </c>
      <c r="D597" s="51">
        <v>62.0</v>
      </c>
      <c r="E597" s="52" t="s">
        <v>25</v>
      </c>
      <c r="F597" s="52" t="s">
        <v>26</v>
      </c>
      <c r="G597" s="53"/>
    </row>
    <row r="598">
      <c r="A598" s="49">
        <v>44490.7803074074</v>
      </c>
      <c r="B598" s="50">
        <v>44490.9052804976</v>
      </c>
      <c r="C598" s="51">
        <v>1.023</v>
      </c>
      <c r="D598" s="51">
        <v>62.0</v>
      </c>
      <c r="E598" s="52" t="s">
        <v>25</v>
      </c>
      <c r="F598" s="52" t="s">
        <v>26</v>
      </c>
      <c r="G598" s="53"/>
    </row>
    <row r="599">
      <c r="A599" s="49">
        <v>44490.79072131944</v>
      </c>
      <c r="B599" s="50">
        <v>44490.9157023032</v>
      </c>
      <c r="C599" s="51">
        <v>1.022</v>
      </c>
      <c r="D599" s="51">
        <v>62.0</v>
      </c>
      <c r="E599" s="52" t="s">
        <v>25</v>
      </c>
      <c r="F599" s="52" t="s">
        <v>26</v>
      </c>
      <c r="G599" s="53"/>
    </row>
    <row r="600">
      <c r="A600" s="49">
        <v>44490.80115743056</v>
      </c>
      <c r="B600" s="50">
        <v>44490.9261237384</v>
      </c>
      <c r="C600" s="51">
        <v>1.022</v>
      </c>
      <c r="D600" s="51">
        <v>62.0</v>
      </c>
      <c r="E600" s="52" t="s">
        <v>25</v>
      </c>
      <c r="F600" s="52" t="s">
        <v>26</v>
      </c>
      <c r="G600" s="53"/>
    </row>
    <row r="601">
      <c r="A601" s="49">
        <v>44490.81157547454</v>
      </c>
      <c r="B601" s="50">
        <v>44490.9365452777</v>
      </c>
      <c r="C601" s="51">
        <v>1.022</v>
      </c>
      <c r="D601" s="51">
        <v>62.0</v>
      </c>
      <c r="E601" s="52" t="s">
        <v>25</v>
      </c>
      <c r="F601" s="52" t="s">
        <v>26</v>
      </c>
      <c r="G601" s="53"/>
    </row>
    <row r="602">
      <c r="A602" s="49">
        <v>44490.822010601856</v>
      </c>
      <c r="B602" s="50">
        <v>44490.9469890277</v>
      </c>
      <c r="C602" s="51">
        <v>1.023</v>
      </c>
      <c r="D602" s="51">
        <v>62.0</v>
      </c>
      <c r="E602" s="52" t="s">
        <v>25</v>
      </c>
      <c r="F602" s="52" t="s">
        <v>26</v>
      </c>
      <c r="G602" s="53"/>
    </row>
    <row r="603">
      <c r="A603" s="49">
        <v>44490.832428622685</v>
      </c>
      <c r="B603" s="50">
        <v>44490.9574089583</v>
      </c>
      <c r="C603" s="51">
        <v>1.023</v>
      </c>
      <c r="D603" s="51">
        <v>62.0</v>
      </c>
      <c r="E603" s="52" t="s">
        <v>25</v>
      </c>
      <c r="F603" s="52" t="s">
        <v>26</v>
      </c>
      <c r="G603" s="53"/>
    </row>
    <row r="604">
      <c r="A604" s="49">
        <v>44490.84285954861</v>
      </c>
      <c r="B604" s="50">
        <v>44490.9678312152</v>
      </c>
      <c r="C604" s="51">
        <v>1.023</v>
      </c>
      <c r="D604" s="51">
        <v>62.0</v>
      </c>
      <c r="E604" s="52" t="s">
        <v>25</v>
      </c>
      <c r="F604" s="52" t="s">
        <v>26</v>
      </c>
      <c r="G604" s="53"/>
    </row>
    <row r="605">
      <c r="A605" s="49">
        <v>44490.853281180556</v>
      </c>
      <c r="B605" s="50">
        <v>44490.9782530787</v>
      </c>
      <c r="C605" s="51">
        <v>1.022</v>
      </c>
      <c r="D605" s="51">
        <v>63.0</v>
      </c>
      <c r="E605" s="52" t="s">
        <v>25</v>
      </c>
      <c r="F605" s="52" t="s">
        <v>26</v>
      </c>
      <c r="G605" s="53"/>
    </row>
    <row r="606">
      <c r="A606" s="49">
        <v>44490.863700347225</v>
      </c>
      <c r="B606" s="50">
        <v>44490.988676331</v>
      </c>
      <c r="C606" s="51">
        <v>1.023</v>
      </c>
      <c r="D606" s="51">
        <v>62.0</v>
      </c>
      <c r="E606" s="52" t="s">
        <v>25</v>
      </c>
      <c r="F606" s="52" t="s">
        <v>26</v>
      </c>
      <c r="G606" s="53"/>
    </row>
    <row r="607">
      <c r="A607" s="49">
        <v>44490.874126423616</v>
      </c>
      <c r="B607" s="50">
        <v>44490.9990986689</v>
      </c>
      <c r="C607" s="51">
        <v>1.023</v>
      </c>
      <c r="D607" s="51">
        <v>63.0</v>
      </c>
      <c r="E607" s="52" t="s">
        <v>25</v>
      </c>
      <c r="F607" s="52" t="s">
        <v>26</v>
      </c>
      <c r="G607" s="53"/>
    </row>
    <row r="608">
      <c r="A608" s="49">
        <v>44490.88454525463</v>
      </c>
      <c r="B608" s="50">
        <v>44491.0095192939</v>
      </c>
      <c r="C608" s="51">
        <v>1.023</v>
      </c>
      <c r="D608" s="51">
        <v>63.0</v>
      </c>
      <c r="E608" s="52" t="s">
        <v>25</v>
      </c>
      <c r="F608" s="52" t="s">
        <v>26</v>
      </c>
      <c r="G608" s="53"/>
    </row>
    <row r="609">
      <c r="A609" s="49">
        <v>44490.894970821755</v>
      </c>
      <c r="B609" s="50">
        <v>44491.0199535185</v>
      </c>
      <c r="C609" s="51">
        <v>1.023</v>
      </c>
      <c r="D609" s="51">
        <v>63.0</v>
      </c>
      <c r="E609" s="52" t="s">
        <v>25</v>
      </c>
      <c r="F609" s="52" t="s">
        <v>26</v>
      </c>
      <c r="G609" s="53"/>
    </row>
    <row r="610">
      <c r="A610" s="49">
        <v>44490.905408923616</v>
      </c>
      <c r="B610" s="50">
        <v>44491.0303755092</v>
      </c>
      <c r="C610" s="51">
        <v>1.022</v>
      </c>
      <c r="D610" s="51">
        <v>63.0</v>
      </c>
      <c r="E610" s="52" t="s">
        <v>25</v>
      </c>
      <c r="F610" s="52" t="s">
        <v>26</v>
      </c>
      <c r="G610" s="53"/>
    </row>
    <row r="611">
      <c r="A611" s="49">
        <v>44490.91582704861</v>
      </c>
      <c r="B611" s="50">
        <v>44491.0407970949</v>
      </c>
      <c r="C611" s="51">
        <v>1.022</v>
      </c>
      <c r="D611" s="51">
        <v>63.0</v>
      </c>
      <c r="E611" s="52" t="s">
        <v>25</v>
      </c>
      <c r="F611" s="52" t="s">
        <v>26</v>
      </c>
      <c r="G611" s="53"/>
    </row>
    <row r="612">
      <c r="A612" s="49">
        <v>44490.92624556713</v>
      </c>
      <c r="B612" s="50">
        <v>44491.051218449</v>
      </c>
      <c r="C612" s="51">
        <v>1.022</v>
      </c>
      <c r="D612" s="51">
        <v>63.0</v>
      </c>
      <c r="E612" s="52" t="s">
        <v>25</v>
      </c>
      <c r="F612" s="52" t="s">
        <v>26</v>
      </c>
      <c r="G612" s="53"/>
    </row>
    <row r="613">
      <c r="A613" s="49">
        <v>44490.936668159724</v>
      </c>
      <c r="B613" s="50">
        <v>44491.0616393402</v>
      </c>
      <c r="C613" s="51">
        <v>1.022</v>
      </c>
      <c r="D613" s="51">
        <v>63.0</v>
      </c>
      <c r="E613" s="52" t="s">
        <v>25</v>
      </c>
      <c r="F613" s="52" t="s">
        <v>26</v>
      </c>
      <c r="G613" s="53"/>
    </row>
    <row r="614">
      <c r="A614" s="49">
        <v>44490.94709784722</v>
      </c>
      <c r="B614" s="50">
        <v>44491.0720723148</v>
      </c>
      <c r="C614" s="51">
        <v>1.022</v>
      </c>
      <c r="D614" s="51">
        <v>63.0</v>
      </c>
      <c r="E614" s="52" t="s">
        <v>25</v>
      </c>
      <c r="F614" s="52" t="s">
        <v>26</v>
      </c>
      <c r="G614" s="53"/>
    </row>
    <row r="615">
      <c r="A615" s="49">
        <v>44490.95751717592</v>
      </c>
      <c r="B615" s="50">
        <v>44491.0824932407</v>
      </c>
      <c r="C615" s="51">
        <v>1.022</v>
      </c>
      <c r="D615" s="51">
        <v>63.0</v>
      </c>
      <c r="E615" s="52" t="s">
        <v>25</v>
      </c>
      <c r="F615" s="52" t="s">
        <v>26</v>
      </c>
      <c r="G615" s="53"/>
    </row>
    <row r="616">
      <c r="A616" s="49">
        <v>44490.96795585648</v>
      </c>
      <c r="B616" s="50">
        <v>44491.0929251157</v>
      </c>
      <c r="C616" s="51">
        <v>1.022</v>
      </c>
      <c r="D616" s="51">
        <v>63.0</v>
      </c>
      <c r="E616" s="52" t="s">
        <v>25</v>
      </c>
      <c r="F616" s="52" t="s">
        <v>26</v>
      </c>
      <c r="G616" s="53"/>
    </row>
    <row r="617">
      <c r="A617" s="49">
        <v>44490.97838246528</v>
      </c>
      <c r="B617" s="50">
        <v>44491.1033583449</v>
      </c>
      <c r="C617" s="51">
        <v>1.023</v>
      </c>
      <c r="D617" s="51">
        <v>63.0</v>
      </c>
      <c r="E617" s="52" t="s">
        <v>25</v>
      </c>
      <c r="F617" s="52" t="s">
        <v>26</v>
      </c>
      <c r="G617" s="53"/>
    </row>
    <row r="618">
      <c r="A618" s="49">
        <v>44490.98880373842</v>
      </c>
      <c r="B618" s="50">
        <v>44491.1137778009</v>
      </c>
      <c r="C618" s="51">
        <v>1.024</v>
      </c>
      <c r="D618" s="51">
        <v>63.0</v>
      </c>
      <c r="E618" s="52" t="s">
        <v>25</v>
      </c>
      <c r="F618" s="52" t="s">
        <v>26</v>
      </c>
      <c r="G618" s="53"/>
    </row>
    <row r="619">
      <c r="A619" s="49">
        <v>44490.99921875</v>
      </c>
      <c r="B619" s="50">
        <v>44491.1241973726</v>
      </c>
      <c r="C619" s="51">
        <v>1.024</v>
      </c>
      <c r="D619" s="51">
        <v>63.0</v>
      </c>
      <c r="E619" s="52" t="s">
        <v>25</v>
      </c>
      <c r="F619" s="52" t="s">
        <v>26</v>
      </c>
      <c r="G619" s="53"/>
    </row>
    <row r="620">
      <c r="A620" s="49">
        <v>44491.009633865746</v>
      </c>
      <c r="B620" s="50">
        <v>44491.1346173379</v>
      </c>
      <c r="C620" s="51">
        <v>1.024</v>
      </c>
      <c r="D620" s="51">
        <v>63.0</v>
      </c>
      <c r="E620" s="52" t="s">
        <v>25</v>
      </c>
      <c r="F620" s="52" t="s">
        <v>26</v>
      </c>
      <c r="G620" s="53"/>
    </row>
    <row r="621">
      <c r="A621" s="49">
        <v>44491.02005680556</v>
      </c>
      <c r="B621" s="50">
        <v>44491.1450369791</v>
      </c>
      <c r="C621" s="51">
        <v>1.024</v>
      </c>
      <c r="D621" s="51">
        <v>63.0</v>
      </c>
      <c r="E621" s="52" t="s">
        <v>25</v>
      </c>
      <c r="F621" s="52" t="s">
        <v>26</v>
      </c>
      <c r="G621" s="53"/>
    </row>
    <row r="622">
      <c r="A622" s="49">
        <v>44491.03049633102</v>
      </c>
      <c r="B622" s="50">
        <v>44491.1554580439</v>
      </c>
      <c r="C622" s="51">
        <v>1.024</v>
      </c>
      <c r="D622" s="51">
        <v>63.0</v>
      </c>
      <c r="E622" s="52" t="s">
        <v>25</v>
      </c>
      <c r="F622" s="52" t="s">
        <v>26</v>
      </c>
      <c r="G622" s="53"/>
    </row>
    <row r="623">
      <c r="A623" s="49">
        <v>44491.04092068287</v>
      </c>
      <c r="B623" s="50">
        <v>44491.1658791435</v>
      </c>
      <c r="C623" s="51">
        <v>1.024</v>
      </c>
      <c r="D623" s="51">
        <v>63.0</v>
      </c>
      <c r="E623" s="52" t="s">
        <v>25</v>
      </c>
      <c r="F623" s="52" t="s">
        <v>26</v>
      </c>
      <c r="G623" s="53"/>
    </row>
    <row r="624">
      <c r="A624" s="49">
        <v>44491.05133074074</v>
      </c>
      <c r="B624" s="50">
        <v>44491.1763018402</v>
      </c>
      <c r="C624" s="51">
        <v>1.023</v>
      </c>
      <c r="D624" s="51">
        <v>63.0</v>
      </c>
      <c r="E624" s="52" t="s">
        <v>25</v>
      </c>
      <c r="F624" s="52" t="s">
        <v>26</v>
      </c>
      <c r="G624" s="53"/>
    </row>
    <row r="625">
      <c r="A625" s="49">
        <v>44491.061748946755</v>
      </c>
      <c r="B625" s="50">
        <v>44491.1867230324</v>
      </c>
      <c r="C625" s="51">
        <v>1.024</v>
      </c>
      <c r="D625" s="51">
        <v>63.0</v>
      </c>
      <c r="E625" s="52" t="s">
        <v>25</v>
      </c>
      <c r="F625" s="52" t="s">
        <v>26</v>
      </c>
      <c r="G625" s="53"/>
    </row>
    <row r="626">
      <c r="A626" s="49">
        <v>44491.072169074076</v>
      </c>
      <c r="B626" s="50">
        <v>44491.1971435763</v>
      </c>
      <c r="C626" s="51">
        <v>1.024</v>
      </c>
      <c r="D626" s="51">
        <v>63.0</v>
      </c>
      <c r="E626" s="52" t="s">
        <v>25</v>
      </c>
      <c r="F626" s="52" t="s">
        <v>26</v>
      </c>
      <c r="G626" s="53"/>
    </row>
    <row r="627">
      <c r="A627" s="49">
        <v>44491.08259347222</v>
      </c>
      <c r="B627" s="50">
        <v>44491.2075665162</v>
      </c>
      <c r="C627" s="51">
        <v>1.023</v>
      </c>
      <c r="D627" s="51">
        <v>63.0</v>
      </c>
      <c r="E627" s="52" t="s">
        <v>25</v>
      </c>
      <c r="F627" s="52" t="s">
        <v>26</v>
      </c>
      <c r="G627" s="53"/>
    </row>
    <row r="628">
      <c r="A628" s="49">
        <v>44491.09301618056</v>
      </c>
      <c r="B628" s="50">
        <v>44491.2179877314</v>
      </c>
      <c r="C628" s="51">
        <v>1.023</v>
      </c>
      <c r="D628" s="51">
        <v>63.0</v>
      </c>
      <c r="E628" s="52" t="s">
        <v>25</v>
      </c>
      <c r="F628" s="52" t="s">
        <v>26</v>
      </c>
      <c r="G628" s="53"/>
    </row>
    <row r="629">
      <c r="A629" s="49">
        <v>44491.10343209491</v>
      </c>
      <c r="B629" s="50">
        <v>44491.2284080787</v>
      </c>
      <c r="C629" s="51">
        <v>1.023</v>
      </c>
      <c r="D629" s="51">
        <v>63.0</v>
      </c>
      <c r="E629" s="52" t="s">
        <v>25</v>
      </c>
      <c r="F629" s="52" t="s">
        <v>26</v>
      </c>
      <c r="G629" s="53"/>
    </row>
    <row r="630">
      <c r="A630" s="49">
        <v>44491.11385751158</v>
      </c>
      <c r="B630" s="50">
        <v>44491.238827905</v>
      </c>
      <c r="C630" s="51">
        <v>1.023</v>
      </c>
      <c r="D630" s="51">
        <v>63.0</v>
      </c>
      <c r="E630" s="52" t="s">
        <v>25</v>
      </c>
      <c r="F630" s="52" t="s">
        <v>26</v>
      </c>
      <c r="G630" s="53"/>
    </row>
    <row r="631">
      <c r="A631" s="49">
        <v>44491.12427346065</v>
      </c>
      <c r="B631" s="50">
        <v>44491.2492561226</v>
      </c>
      <c r="C631" s="51">
        <v>1.026</v>
      </c>
      <c r="D631" s="51">
        <v>63.0</v>
      </c>
      <c r="E631" s="52" t="s">
        <v>25</v>
      </c>
      <c r="F631" s="52" t="s">
        <v>26</v>
      </c>
      <c r="G631" s="53"/>
    </row>
    <row r="632">
      <c r="A632" s="49">
        <v>44491.13470293982</v>
      </c>
      <c r="B632" s="50">
        <v>44491.2596826157</v>
      </c>
      <c r="C632" s="51">
        <v>1.027</v>
      </c>
      <c r="D632" s="51">
        <v>63.0</v>
      </c>
      <c r="E632" s="52" t="s">
        <v>25</v>
      </c>
      <c r="F632" s="52" t="s">
        <v>26</v>
      </c>
      <c r="G632" s="53"/>
    </row>
    <row r="633">
      <c r="A633" s="49">
        <v>44491.1451400463</v>
      </c>
      <c r="B633" s="50">
        <v>44491.2701036921</v>
      </c>
      <c r="C633" s="51">
        <v>1.027</v>
      </c>
      <c r="D633" s="51">
        <v>63.0</v>
      </c>
      <c r="E633" s="52" t="s">
        <v>25</v>
      </c>
      <c r="F633" s="52" t="s">
        <v>26</v>
      </c>
      <c r="G633" s="53"/>
    </row>
    <row r="634">
      <c r="A634" s="49">
        <v>44491.15555222222</v>
      </c>
      <c r="B634" s="50">
        <v>44491.2805243865</v>
      </c>
      <c r="C634" s="51">
        <v>1.027</v>
      </c>
      <c r="D634" s="51">
        <v>63.0</v>
      </c>
      <c r="E634" s="52" t="s">
        <v>25</v>
      </c>
      <c r="F634" s="52" t="s">
        <v>26</v>
      </c>
      <c r="G634" s="53"/>
    </row>
    <row r="635">
      <c r="A635" s="49">
        <v>44491.16597375</v>
      </c>
      <c r="B635" s="50">
        <v>44491.290945324</v>
      </c>
      <c r="C635" s="51">
        <v>1.027</v>
      </c>
      <c r="D635" s="51">
        <v>63.0</v>
      </c>
      <c r="E635" s="52" t="s">
        <v>25</v>
      </c>
      <c r="F635" s="52" t="s">
        <v>26</v>
      </c>
      <c r="G635" s="53"/>
    </row>
    <row r="636">
      <c r="A636" s="49">
        <v>44491.17639928241</v>
      </c>
      <c r="B636" s="50">
        <v>44491.3013677083</v>
      </c>
      <c r="C636" s="51">
        <v>1.026</v>
      </c>
      <c r="D636" s="51">
        <v>63.0</v>
      </c>
      <c r="E636" s="52" t="s">
        <v>25</v>
      </c>
      <c r="F636" s="52" t="s">
        <v>26</v>
      </c>
      <c r="G636" s="53"/>
    </row>
    <row r="637">
      <c r="A637" s="49">
        <v>44491.18681035879</v>
      </c>
      <c r="B637" s="50">
        <v>44491.3117886458</v>
      </c>
      <c r="C637" s="51">
        <v>1.026</v>
      </c>
      <c r="D637" s="51">
        <v>63.0</v>
      </c>
      <c r="E637" s="52" t="s">
        <v>25</v>
      </c>
      <c r="F637" s="52" t="s">
        <v>26</v>
      </c>
      <c r="G637" s="53"/>
    </row>
    <row r="638">
      <c r="A638" s="49">
        <v>44491.19723942129</v>
      </c>
      <c r="B638" s="50">
        <v>44491.3222193634</v>
      </c>
      <c r="C638" s="51">
        <v>1.026</v>
      </c>
      <c r="D638" s="51">
        <v>63.0</v>
      </c>
      <c r="E638" s="52" t="s">
        <v>25</v>
      </c>
      <c r="F638" s="52" t="s">
        <v>26</v>
      </c>
      <c r="G638" s="53"/>
    </row>
    <row r="639">
      <c r="A639" s="49">
        <v>44491.20768136574</v>
      </c>
      <c r="B639" s="50">
        <v>44491.3326524074</v>
      </c>
      <c r="C639" s="51">
        <v>1.026</v>
      </c>
      <c r="D639" s="51">
        <v>63.0</v>
      </c>
      <c r="E639" s="52" t="s">
        <v>25</v>
      </c>
      <c r="F639" s="52" t="s">
        <v>26</v>
      </c>
      <c r="G639" s="53"/>
    </row>
    <row r="640">
      <c r="A640" s="49">
        <v>44491.218097199075</v>
      </c>
      <c r="B640" s="50">
        <v>44491.3430725347</v>
      </c>
      <c r="C640" s="51">
        <v>1.027</v>
      </c>
      <c r="D640" s="51">
        <v>63.0</v>
      </c>
      <c r="E640" s="52" t="s">
        <v>25</v>
      </c>
      <c r="F640" s="52" t="s">
        <v>26</v>
      </c>
      <c r="G640" s="53"/>
    </row>
    <row r="641">
      <c r="A641" s="49">
        <v>44491.228534236114</v>
      </c>
      <c r="B641" s="50">
        <v>44491.3535070833</v>
      </c>
      <c r="C641" s="51">
        <v>1.027</v>
      </c>
      <c r="D641" s="51">
        <v>64.0</v>
      </c>
      <c r="E641" s="52" t="s">
        <v>25</v>
      </c>
      <c r="F641" s="52" t="s">
        <v>26</v>
      </c>
      <c r="G641" s="53"/>
    </row>
    <row r="642">
      <c r="A642" s="49">
        <v>44491.238959305556</v>
      </c>
      <c r="B642" s="50">
        <v>44491.3639281713</v>
      </c>
      <c r="C642" s="51">
        <v>1.027</v>
      </c>
      <c r="D642" s="51">
        <v>64.0</v>
      </c>
      <c r="E642" s="52" t="s">
        <v>25</v>
      </c>
      <c r="F642" s="52" t="s">
        <v>26</v>
      </c>
      <c r="G642" s="53"/>
    </row>
    <row r="643">
      <c r="A643" s="49">
        <v>44491.249374363426</v>
      </c>
      <c r="B643" s="50">
        <v>44491.3743486689</v>
      </c>
      <c r="C643" s="51">
        <v>1.027</v>
      </c>
      <c r="D643" s="51">
        <v>64.0</v>
      </c>
      <c r="E643" s="52" t="s">
        <v>25</v>
      </c>
      <c r="F643" s="52" t="s">
        <v>26</v>
      </c>
      <c r="G643" s="53"/>
    </row>
    <row r="644">
      <c r="A644" s="49">
        <v>44491.25978765046</v>
      </c>
      <c r="B644" s="50">
        <v>44491.3847701041</v>
      </c>
      <c r="C644" s="51">
        <v>1.027</v>
      </c>
      <c r="D644" s="51">
        <v>64.0</v>
      </c>
      <c r="E644" s="52" t="s">
        <v>25</v>
      </c>
      <c r="F644" s="52" t="s">
        <v>26</v>
      </c>
      <c r="G644" s="53"/>
    </row>
    <row r="645">
      <c r="A645" s="49">
        <v>44491.27021994213</v>
      </c>
      <c r="B645" s="50">
        <v>44491.395190949</v>
      </c>
      <c r="C645" s="51">
        <v>1.027</v>
      </c>
      <c r="D645" s="51">
        <v>64.0</v>
      </c>
      <c r="E645" s="52" t="s">
        <v>25</v>
      </c>
      <c r="F645" s="52" t="s">
        <v>26</v>
      </c>
      <c r="G645" s="53"/>
    </row>
    <row r="646">
      <c r="A646" s="49">
        <v>44491.28064359954</v>
      </c>
      <c r="B646" s="50">
        <v>44491.405611412</v>
      </c>
      <c r="C646" s="51">
        <v>1.027</v>
      </c>
      <c r="D646" s="51">
        <v>64.0</v>
      </c>
      <c r="E646" s="52" t="s">
        <v>25</v>
      </c>
      <c r="F646" s="52" t="s">
        <v>26</v>
      </c>
      <c r="G646" s="53"/>
    </row>
    <row r="647">
      <c r="A647" s="49">
        <v>44491.29109240741</v>
      </c>
      <c r="B647" s="50">
        <v>44491.4160315856</v>
      </c>
      <c r="C647" s="51">
        <v>1.027</v>
      </c>
      <c r="D647" s="51">
        <v>64.0</v>
      </c>
      <c r="E647" s="52" t="s">
        <v>25</v>
      </c>
      <c r="F647" s="52" t="s">
        <v>26</v>
      </c>
      <c r="G647" s="53"/>
    </row>
    <row r="648">
      <c r="A648" s="49">
        <v>44491.30150078704</v>
      </c>
      <c r="B648" s="50">
        <v>44491.4264528009</v>
      </c>
      <c r="C648" s="51">
        <v>1.027</v>
      </c>
      <c r="D648" s="51">
        <v>64.0</v>
      </c>
      <c r="E648" s="52" t="s">
        <v>25</v>
      </c>
      <c r="F648" s="52" t="s">
        <v>26</v>
      </c>
      <c r="G648" s="53"/>
    </row>
    <row r="649">
      <c r="A649" s="49">
        <v>44491.31190111111</v>
      </c>
      <c r="B649" s="50">
        <v>44491.4368736111</v>
      </c>
      <c r="C649" s="51">
        <v>1.027</v>
      </c>
      <c r="D649" s="51">
        <v>64.0</v>
      </c>
      <c r="E649" s="52" t="s">
        <v>25</v>
      </c>
      <c r="F649" s="52" t="s">
        <v>26</v>
      </c>
      <c r="G649" s="53"/>
    </row>
    <row r="650">
      <c r="A650" s="49">
        <v>44491.32233289352</v>
      </c>
      <c r="B650" s="50">
        <v>44491.447306412</v>
      </c>
      <c r="C650" s="51">
        <v>1.027</v>
      </c>
      <c r="D650" s="51">
        <v>64.0</v>
      </c>
      <c r="E650" s="52" t="s">
        <v>25</v>
      </c>
      <c r="F650" s="52" t="s">
        <v>26</v>
      </c>
      <c r="G650" s="53"/>
    </row>
    <row r="651">
      <c r="A651" s="49">
        <v>44491.332760115736</v>
      </c>
      <c r="B651" s="50">
        <v>44491.4577282291</v>
      </c>
      <c r="C651" s="51">
        <v>1.027</v>
      </c>
      <c r="D651" s="51">
        <v>64.0</v>
      </c>
      <c r="E651" s="52" t="s">
        <v>25</v>
      </c>
      <c r="F651" s="52" t="s">
        <v>26</v>
      </c>
      <c r="G651" s="53"/>
    </row>
    <row r="652">
      <c r="A652" s="49">
        <v>44491.34317703704</v>
      </c>
      <c r="B652" s="50">
        <v>44491.4681482407</v>
      </c>
      <c r="C652" s="51">
        <v>1.027</v>
      </c>
      <c r="D652" s="51">
        <v>64.0</v>
      </c>
      <c r="E652" s="52" t="s">
        <v>25</v>
      </c>
      <c r="F652" s="52" t="s">
        <v>26</v>
      </c>
      <c r="G652" s="53"/>
    </row>
    <row r="653">
      <c r="A653" s="49">
        <v>44491.35359728009</v>
      </c>
      <c r="B653" s="50">
        <v>44491.478570787</v>
      </c>
      <c r="C653" s="51">
        <v>1.027</v>
      </c>
      <c r="D653" s="51">
        <v>64.0</v>
      </c>
      <c r="E653" s="52" t="s">
        <v>25</v>
      </c>
      <c r="F653" s="52" t="s">
        <v>26</v>
      </c>
      <c r="G653" s="53"/>
    </row>
    <row r="654">
      <c r="A654" s="49">
        <v>44491.36402434028</v>
      </c>
      <c r="B654" s="50">
        <v>44491.4889933217</v>
      </c>
      <c r="C654" s="51">
        <v>1.026</v>
      </c>
      <c r="D654" s="51">
        <v>64.0</v>
      </c>
      <c r="E654" s="52" t="s">
        <v>25</v>
      </c>
      <c r="F654" s="52" t="s">
        <v>26</v>
      </c>
      <c r="G654" s="53"/>
    </row>
    <row r="655">
      <c r="A655" s="49">
        <v>44491.3744446875</v>
      </c>
      <c r="B655" s="50">
        <v>44491.4994137963</v>
      </c>
      <c r="C655" s="51">
        <v>1.026</v>
      </c>
      <c r="D655" s="51">
        <v>64.0</v>
      </c>
      <c r="E655" s="52" t="s">
        <v>25</v>
      </c>
      <c r="F655" s="52" t="s">
        <v>26</v>
      </c>
      <c r="G655" s="53"/>
    </row>
    <row r="656">
      <c r="A656" s="49">
        <v>44491.38486493056</v>
      </c>
      <c r="B656" s="50">
        <v>44491.5098352777</v>
      </c>
      <c r="C656" s="51">
        <v>1.027</v>
      </c>
      <c r="D656" s="51">
        <v>64.0</v>
      </c>
      <c r="E656" s="52" t="s">
        <v>25</v>
      </c>
      <c r="F656" s="52" t="s">
        <v>26</v>
      </c>
      <c r="G656" s="53"/>
    </row>
    <row r="657">
      <c r="A657" s="49">
        <v>44491.395285729166</v>
      </c>
      <c r="B657" s="50">
        <v>44491.5202570833</v>
      </c>
      <c r="C657" s="51">
        <v>1.027</v>
      </c>
      <c r="D657" s="51">
        <v>64.0</v>
      </c>
      <c r="E657" s="52" t="s">
        <v>25</v>
      </c>
      <c r="F657" s="52" t="s">
        <v>26</v>
      </c>
      <c r="G657" s="53"/>
    </row>
    <row r="658">
      <c r="A658" s="49">
        <v>44491.40571438658</v>
      </c>
      <c r="B658" s="50">
        <v>44491.5306886689</v>
      </c>
      <c r="C658" s="51">
        <v>1.027</v>
      </c>
      <c r="D658" s="51">
        <v>64.0</v>
      </c>
      <c r="E658" s="52" t="s">
        <v>25</v>
      </c>
      <c r="F658" s="52" t="s">
        <v>26</v>
      </c>
      <c r="G658" s="53"/>
    </row>
    <row r="659">
      <c r="A659" s="49">
        <v>44491.41614459491</v>
      </c>
      <c r="B659" s="50">
        <v>44491.5411218634</v>
      </c>
      <c r="C659" s="51">
        <v>1.027</v>
      </c>
      <c r="D659" s="51">
        <v>64.0</v>
      </c>
      <c r="E659" s="52" t="s">
        <v>25</v>
      </c>
      <c r="F659" s="52" t="s">
        <v>26</v>
      </c>
      <c r="G659" s="53"/>
    </row>
    <row r="660">
      <c r="A660" s="49">
        <v>44491.42657604167</v>
      </c>
      <c r="B660" s="50">
        <v>44491.5515434722</v>
      </c>
      <c r="C660" s="51">
        <v>1.027</v>
      </c>
      <c r="D660" s="51">
        <v>64.0</v>
      </c>
      <c r="E660" s="52" t="s">
        <v>25</v>
      </c>
      <c r="F660" s="52" t="s">
        <v>26</v>
      </c>
      <c r="G660" s="53"/>
    </row>
    <row r="661">
      <c r="A661" s="49">
        <v>44491.43699209491</v>
      </c>
      <c r="B661" s="50">
        <v>44491.5619641319</v>
      </c>
      <c r="C661" s="51">
        <v>1.027</v>
      </c>
      <c r="D661" s="51">
        <v>64.0</v>
      </c>
      <c r="E661" s="52" t="s">
        <v>25</v>
      </c>
      <c r="F661" s="52" t="s">
        <v>26</v>
      </c>
      <c r="G661" s="53"/>
    </row>
    <row r="662">
      <c r="A662" s="49">
        <v>44491.44742693287</v>
      </c>
      <c r="B662" s="50">
        <v>44491.5723948263</v>
      </c>
      <c r="C662" s="51">
        <v>1.027</v>
      </c>
      <c r="D662" s="51">
        <v>64.0</v>
      </c>
      <c r="E662" s="52" t="s">
        <v>25</v>
      </c>
      <c r="F662" s="52" t="s">
        <v>26</v>
      </c>
      <c r="G662" s="53"/>
    </row>
    <row r="663">
      <c r="A663" s="49">
        <v>44491.45784454861</v>
      </c>
      <c r="B663" s="50">
        <v>44491.5828157291</v>
      </c>
      <c r="C663" s="51">
        <v>1.026</v>
      </c>
      <c r="D663" s="51">
        <v>64.0</v>
      </c>
      <c r="E663" s="52" t="s">
        <v>25</v>
      </c>
      <c r="F663" s="52" t="s">
        <v>26</v>
      </c>
      <c r="G663" s="53"/>
    </row>
    <row r="664">
      <c r="A664" s="49">
        <v>44491.468261319445</v>
      </c>
      <c r="B664" s="50">
        <v>44491.5932377546</v>
      </c>
      <c r="C664" s="51">
        <v>1.026</v>
      </c>
      <c r="D664" s="51">
        <v>64.0</v>
      </c>
      <c r="E664" s="52" t="s">
        <v>25</v>
      </c>
      <c r="F664" s="52" t="s">
        <v>26</v>
      </c>
      <c r="G664" s="53"/>
    </row>
    <row r="665">
      <c r="A665" s="49">
        <v>44491.47869103009</v>
      </c>
      <c r="B665" s="50">
        <v>44491.6036579861</v>
      </c>
      <c r="C665" s="51">
        <v>1.026</v>
      </c>
      <c r="D665" s="51">
        <v>64.0</v>
      </c>
      <c r="E665" s="52" t="s">
        <v>25</v>
      </c>
      <c r="F665" s="52" t="s">
        <v>26</v>
      </c>
      <c r="G665" s="53"/>
    </row>
    <row r="666">
      <c r="A666" s="49">
        <v>44491.4891096875</v>
      </c>
      <c r="B666" s="50">
        <v>44491.6140803356</v>
      </c>
      <c r="C666" s="51">
        <v>1.026</v>
      </c>
      <c r="D666" s="51">
        <v>64.0</v>
      </c>
      <c r="E666" s="52" t="s">
        <v>25</v>
      </c>
      <c r="F666" s="52" t="s">
        <v>26</v>
      </c>
      <c r="G666" s="53"/>
    </row>
    <row r="667">
      <c r="A667" s="49">
        <v>44491.499528726854</v>
      </c>
      <c r="B667" s="50">
        <v>44491.624501331</v>
      </c>
      <c r="C667" s="51">
        <v>1.026</v>
      </c>
      <c r="D667" s="51">
        <v>64.0</v>
      </c>
      <c r="E667" s="52" t="s">
        <v>25</v>
      </c>
      <c r="F667" s="52" t="s">
        <v>26</v>
      </c>
      <c r="G667" s="53"/>
    </row>
    <row r="668">
      <c r="A668" s="49">
        <v>44491.50999520833</v>
      </c>
      <c r="B668" s="50">
        <v>44491.6349587847</v>
      </c>
      <c r="C668" s="51">
        <v>1.026</v>
      </c>
      <c r="D668" s="51">
        <v>64.0</v>
      </c>
      <c r="E668" s="52" t="s">
        <v>25</v>
      </c>
      <c r="F668" s="52" t="s">
        <v>26</v>
      </c>
      <c r="G668" s="53"/>
    </row>
    <row r="669">
      <c r="A669" s="49">
        <v>44491.52040700232</v>
      </c>
      <c r="B669" s="50">
        <v>44491.6453784838</v>
      </c>
      <c r="C669" s="51">
        <v>1.026</v>
      </c>
      <c r="D669" s="51">
        <v>64.0</v>
      </c>
      <c r="E669" s="52" t="s">
        <v>25</v>
      </c>
      <c r="F669" s="52" t="s">
        <v>26</v>
      </c>
      <c r="G669" s="53"/>
    </row>
    <row r="670">
      <c r="A670" s="49">
        <v>44491.5308271875</v>
      </c>
      <c r="B670" s="50">
        <v>44491.6557995138</v>
      </c>
      <c r="C670" s="51">
        <v>1.027</v>
      </c>
      <c r="D670" s="51">
        <v>64.0</v>
      </c>
      <c r="E670" s="52" t="s">
        <v>25</v>
      </c>
      <c r="F670" s="52" t="s">
        <v>26</v>
      </c>
      <c r="G670" s="53"/>
    </row>
    <row r="671">
      <c r="A671" s="49">
        <v>44491.54124416667</v>
      </c>
      <c r="B671" s="50">
        <v>44491.6662212384</v>
      </c>
      <c r="C671" s="51">
        <v>1.027</v>
      </c>
      <c r="D671" s="51">
        <v>64.0</v>
      </c>
      <c r="E671" s="52" t="s">
        <v>25</v>
      </c>
      <c r="F671" s="52" t="s">
        <v>26</v>
      </c>
      <c r="G671" s="53"/>
    </row>
    <row r="672">
      <c r="A672" s="49">
        <v>44491.55165886574</v>
      </c>
      <c r="B672" s="50">
        <v>44491.6766419907</v>
      </c>
      <c r="C672" s="51">
        <v>1.027</v>
      </c>
      <c r="D672" s="51">
        <v>64.0</v>
      </c>
      <c r="E672" s="52" t="s">
        <v>25</v>
      </c>
      <c r="F672" s="52" t="s">
        <v>26</v>
      </c>
      <c r="G672" s="53"/>
    </row>
    <row r="673">
      <c r="A673" s="49">
        <v>44491.562089618055</v>
      </c>
      <c r="B673" s="50">
        <v>44491.6870624884</v>
      </c>
      <c r="C673" s="51">
        <v>1.027</v>
      </c>
      <c r="D673" s="51">
        <v>64.0</v>
      </c>
      <c r="E673" s="52" t="s">
        <v>25</v>
      </c>
      <c r="F673" s="52" t="s">
        <v>26</v>
      </c>
      <c r="G673" s="53"/>
    </row>
    <row r="674">
      <c r="A674" s="49">
        <v>44491.57252392361</v>
      </c>
      <c r="B674" s="50">
        <v>44491.6974951967</v>
      </c>
      <c r="C674" s="51">
        <v>1.027</v>
      </c>
      <c r="D674" s="51">
        <v>64.0</v>
      </c>
      <c r="E674" s="52" t="s">
        <v>25</v>
      </c>
      <c r="F674" s="52" t="s">
        <v>26</v>
      </c>
      <c r="G674" s="53"/>
    </row>
    <row r="675">
      <c r="A675" s="49">
        <v>44491.58295063657</v>
      </c>
      <c r="B675" s="50">
        <v>44491.7079286458</v>
      </c>
      <c r="C675" s="51">
        <v>1.028</v>
      </c>
      <c r="D675" s="51">
        <v>64.0</v>
      </c>
      <c r="E675" s="52" t="s">
        <v>25</v>
      </c>
      <c r="F675" s="52" t="s">
        <v>26</v>
      </c>
      <c r="G675" s="53"/>
    </row>
    <row r="676">
      <c r="A676" s="49">
        <v>44491.59338619213</v>
      </c>
      <c r="B676" s="50">
        <v>44491.7183606134</v>
      </c>
      <c r="C676" s="51">
        <v>1.027</v>
      </c>
      <c r="D676" s="51">
        <v>64.0</v>
      </c>
      <c r="E676" s="52" t="s">
        <v>25</v>
      </c>
      <c r="F676" s="52" t="s">
        <v>26</v>
      </c>
      <c r="G676" s="53"/>
    </row>
    <row r="677">
      <c r="A677" s="49">
        <v>44491.60380607639</v>
      </c>
      <c r="B677" s="50">
        <v>44491.7287817476</v>
      </c>
      <c r="C677" s="51">
        <v>1.026</v>
      </c>
      <c r="D677" s="51">
        <v>64.0</v>
      </c>
      <c r="E677" s="52" t="s">
        <v>25</v>
      </c>
      <c r="F677" s="52" t="s">
        <v>26</v>
      </c>
      <c r="G677" s="53"/>
    </row>
    <row r="678">
      <c r="A678" s="49">
        <v>44491.61423144676</v>
      </c>
      <c r="B678" s="50">
        <v>44491.7392134837</v>
      </c>
      <c r="C678" s="51">
        <v>1.027</v>
      </c>
      <c r="D678" s="51">
        <v>65.0</v>
      </c>
      <c r="E678" s="52" t="s">
        <v>25</v>
      </c>
      <c r="F678" s="52" t="s">
        <v>26</v>
      </c>
      <c r="G678" s="53"/>
    </row>
    <row r="679">
      <c r="A679" s="49">
        <v>44491.624649317135</v>
      </c>
      <c r="B679" s="50">
        <v>44491.7496337615</v>
      </c>
      <c r="C679" s="51">
        <v>1.026</v>
      </c>
      <c r="D679" s="51">
        <v>65.0</v>
      </c>
      <c r="E679" s="52" t="s">
        <v>25</v>
      </c>
      <c r="F679" s="52" t="s">
        <v>26</v>
      </c>
      <c r="G679" s="53"/>
    </row>
    <row r="680">
      <c r="A680" s="49">
        <v>44491.6350825</v>
      </c>
      <c r="B680" s="50">
        <v>44491.7600550231</v>
      </c>
      <c r="C680" s="51">
        <v>1.026</v>
      </c>
      <c r="D680" s="51">
        <v>65.0</v>
      </c>
      <c r="E680" s="52" t="s">
        <v>25</v>
      </c>
      <c r="F680" s="52" t="s">
        <v>26</v>
      </c>
      <c r="G680" s="53"/>
    </row>
    <row r="681">
      <c r="A681" s="49">
        <v>44491.64550186343</v>
      </c>
      <c r="B681" s="50">
        <v>44491.7704773148</v>
      </c>
      <c r="C681" s="51">
        <v>1.026</v>
      </c>
      <c r="D681" s="51">
        <v>65.0</v>
      </c>
      <c r="E681" s="52" t="s">
        <v>25</v>
      </c>
      <c r="F681" s="52" t="s">
        <v>26</v>
      </c>
      <c r="G681" s="53"/>
    </row>
    <row r="682">
      <c r="A682" s="49">
        <v>44491.65592055555</v>
      </c>
      <c r="B682" s="50">
        <v>44491.78089728</v>
      </c>
      <c r="C682" s="51">
        <v>1.027</v>
      </c>
      <c r="D682" s="51">
        <v>65.0</v>
      </c>
      <c r="E682" s="52" t="s">
        <v>25</v>
      </c>
      <c r="F682" s="52" t="s">
        <v>26</v>
      </c>
      <c r="G682" s="53"/>
    </row>
    <row r="683">
      <c r="A683" s="49">
        <v>44491.666335891205</v>
      </c>
      <c r="B683" s="50">
        <v>44491.7913188657</v>
      </c>
      <c r="C683" s="51">
        <v>1.027</v>
      </c>
      <c r="D683" s="51">
        <v>65.0</v>
      </c>
      <c r="E683" s="52" t="s">
        <v>25</v>
      </c>
      <c r="F683" s="52" t="s">
        <v>26</v>
      </c>
      <c r="G683" s="53"/>
    </row>
    <row r="684">
      <c r="A684" s="49">
        <v>44491.67677828704</v>
      </c>
      <c r="B684" s="50">
        <v>44491.801753912</v>
      </c>
      <c r="C684" s="51">
        <v>1.026</v>
      </c>
      <c r="D684" s="51">
        <v>65.0</v>
      </c>
      <c r="E684" s="52" t="s">
        <v>25</v>
      </c>
      <c r="F684" s="52" t="s">
        <v>26</v>
      </c>
      <c r="G684" s="53"/>
    </row>
    <row r="685">
      <c r="A685" s="49">
        <v>44491.68719252315</v>
      </c>
      <c r="B685" s="50">
        <v>44491.8121763425</v>
      </c>
      <c r="C685" s="51">
        <v>1.026</v>
      </c>
      <c r="D685" s="51">
        <v>65.0</v>
      </c>
      <c r="E685" s="52" t="s">
        <v>25</v>
      </c>
      <c r="F685" s="52" t="s">
        <v>26</v>
      </c>
      <c r="G685" s="53"/>
    </row>
    <row r="686">
      <c r="A686" s="49">
        <v>44491.69762789352</v>
      </c>
      <c r="B686" s="50">
        <v>44491.82259853</v>
      </c>
      <c r="C686" s="51">
        <v>1.027</v>
      </c>
      <c r="D686" s="51">
        <v>65.0</v>
      </c>
      <c r="E686" s="52" t="s">
        <v>25</v>
      </c>
      <c r="F686" s="52" t="s">
        <v>26</v>
      </c>
      <c r="G686" s="53"/>
    </row>
    <row r="687">
      <c r="A687" s="49">
        <v>44491.70804346065</v>
      </c>
      <c r="B687" s="50">
        <v>44491.8330194328</v>
      </c>
      <c r="C687" s="51">
        <v>1.027</v>
      </c>
      <c r="D687" s="51">
        <v>65.0</v>
      </c>
      <c r="E687" s="52" t="s">
        <v>25</v>
      </c>
      <c r="F687" s="52" t="s">
        <v>26</v>
      </c>
      <c r="G687" s="53"/>
    </row>
    <row r="688">
      <c r="A688" s="49">
        <v>44491.71846481481</v>
      </c>
      <c r="B688" s="50">
        <v>44491.8434406134</v>
      </c>
      <c r="C688" s="51">
        <v>1.027</v>
      </c>
      <c r="D688" s="51">
        <v>65.0</v>
      </c>
      <c r="E688" s="52" t="s">
        <v>25</v>
      </c>
      <c r="F688" s="52" t="s">
        <v>26</v>
      </c>
      <c r="G688" s="53"/>
    </row>
    <row r="689">
      <c r="A689" s="49">
        <v>44491.72889078704</v>
      </c>
      <c r="B689" s="50">
        <v>44491.8538637847</v>
      </c>
      <c r="C689" s="51">
        <v>1.026</v>
      </c>
      <c r="D689" s="51">
        <v>65.0</v>
      </c>
      <c r="E689" s="52" t="s">
        <v>25</v>
      </c>
      <c r="F689" s="52" t="s">
        <v>26</v>
      </c>
      <c r="G689" s="53"/>
    </row>
    <row r="690">
      <c r="A690" s="49">
        <v>44491.73933686342</v>
      </c>
      <c r="B690" s="50">
        <v>44491.8643092592</v>
      </c>
      <c r="C690" s="51">
        <v>1.026</v>
      </c>
      <c r="D690" s="51">
        <v>65.0</v>
      </c>
      <c r="E690" s="52" t="s">
        <v>25</v>
      </c>
      <c r="F690" s="52" t="s">
        <v>26</v>
      </c>
      <c r="G690" s="53"/>
    </row>
    <row r="691">
      <c r="A691" s="49">
        <v>44491.74975354166</v>
      </c>
      <c r="B691" s="50">
        <v>44491.8747287731</v>
      </c>
      <c r="C691" s="51">
        <v>1.026</v>
      </c>
      <c r="D691" s="51">
        <v>65.0</v>
      </c>
      <c r="E691" s="52" t="s">
        <v>25</v>
      </c>
      <c r="F691" s="52" t="s">
        <v>26</v>
      </c>
      <c r="G691" s="53"/>
    </row>
    <row r="692">
      <c r="A692" s="49">
        <v>44491.76017045139</v>
      </c>
      <c r="B692" s="50">
        <v>44491.8851497685</v>
      </c>
      <c r="C692" s="51">
        <v>1.026</v>
      </c>
      <c r="D692" s="51">
        <v>65.0</v>
      </c>
      <c r="E692" s="52" t="s">
        <v>25</v>
      </c>
      <c r="F692" s="52" t="s">
        <v>26</v>
      </c>
      <c r="G692" s="53"/>
    </row>
    <row r="693">
      <c r="A693" s="49">
        <v>44491.77059060185</v>
      </c>
      <c r="B693" s="50">
        <v>44491.8955701041</v>
      </c>
      <c r="C693" s="51">
        <v>1.025</v>
      </c>
      <c r="D693" s="51">
        <v>65.0</v>
      </c>
      <c r="E693" s="52" t="s">
        <v>25</v>
      </c>
      <c r="F693" s="52" t="s">
        <v>26</v>
      </c>
      <c r="G693" s="53"/>
    </row>
    <row r="694">
      <c r="A694" s="49">
        <v>44491.78102188658</v>
      </c>
      <c r="B694" s="50">
        <v>44491.9059920717</v>
      </c>
      <c r="C694" s="51">
        <v>1.024</v>
      </c>
      <c r="D694" s="51">
        <v>65.0</v>
      </c>
      <c r="E694" s="52" t="s">
        <v>25</v>
      </c>
      <c r="F694" s="52" t="s">
        <v>26</v>
      </c>
      <c r="G694" s="53"/>
    </row>
    <row r="695">
      <c r="A695" s="49">
        <v>44491.7914387037</v>
      </c>
      <c r="B695" s="50">
        <v>44491.9164114467</v>
      </c>
      <c r="C695" s="51">
        <v>1.025</v>
      </c>
      <c r="D695" s="51">
        <v>65.0</v>
      </c>
      <c r="E695" s="52" t="s">
        <v>25</v>
      </c>
      <c r="F695" s="52" t="s">
        <v>26</v>
      </c>
      <c r="G695" s="53"/>
    </row>
    <row r="696">
      <c r="A696" s="49">
        <v>44491.801857569444</v>
      </c>
      <c r="B696" s="50">
        <v>44491.9268326388</v>
      </c>
      <c r="C696" s="51">
        <v>1.026</v>
      </c>
      <c r="D696" s="51">
        <v>65.0</v>
      </c>
      <c r="E696" s="52" t="s">
        <v>25</v>
      </c>
      <c r="F696" s="52" t="s">
        <v>26</v>
      </c>
      <c r="G696" s="53"/>
    </row>
    <row r="697">
      <c r="A697" s="49">
        <v>44491.812283252315</v>
      </c>
      <c r="B697" s="50">
        <v>44491.937255</v>
      </c>
      <c r="C697" s="51">
        <v>1.026</v>
      </c>
      <c r="D697" s="51">
        <v>65.0</v>
      </c>
      <c r="E697" s="52" t="s">
        <v>25</v>
      </c>
      <c r="F697" s="52" t="s">
        <v>26</v>
      </c>
      <c r="G697" s="53"/>
    </row>
    <row r="698">
      <c r="A698" s="49">
        <v>44491.82270131944</v>
      </c>
      <c r="B698" s="50">
        <v>44491.9476735069</v>
      </c>
      <c r="C698" s="51">
        <v>1.025</v>
      </c>
      <c r="D698" s="51">
        <v>65.0</v>
      </c>
      <c r="E698" s="52" t="s">
        <v>25</v>
      </c>
      <c r="F698" s="52" t="s">
        <v>26</v>
      </c>
      <c r="G698" s="53"/>
    </row>
    <row r="699">
      <c r="A699" s="49">
        <v>44491.83312185185</v>
      </c>
      <c r="B699" s="50">
        <v>44491.958094537</v>
      </c>
      <c r="C699" s="51">
        <v>1.024</v>
      </c>
      <c r="D699" s="51">
        <v>65.0</v>
      </c>
      <c r="E699" s="52" t="s">
        <v>25</v>
      </c>
      <c r="F699" s="52" t="s">
        <v>26</v>
      </c>
      <c r="G699" s="53"/>
    </row>
    <row r="700">
      <c r="A700" s="49">
        <v>44491.84353884259</v>
      </c>
      <c r="B700" s="50">
        <v>44491.9685151736</v>
      </c>
      <c r="C700" s="51">
        <v>1.025</v>
      </c>
      <c r="D700" s="51">
        <v>65.0</v>
      </c>
      <c r="E700" s="52" t="s">
        <v>25</v>
      </c>
      <c r="F700" s="52" t="s">
        <v>26</v>
      </c>
      <c r="G700" s="53"/>
    </row>
    <row r="701">
      <c r="A701" s="49">
        <v>44491.8539655787</v>
      </c>
      <c r="B701" s="50">
        <v>44491.9789375</v>
      </c>
      <c r="C701" s="51">
        <v>1.025</v>
      </c>
      <c r="D701" s="51">
        <v>65.0</v>
      </c>
      <c r="E701" s="52" t="s">
        <v>25</v>
      </c>
      <c r="F701" s="52" t="s">
        <v>26</v>
      </c>
      <c r="G701" s="53"/>
    </row>
    <row r="702">
      <c r="A702" s="49">
        <v>44491.86440144676</v>
      </c>
      <c r="B702" s="50">
        <v>44491.989371493</v>
      </c>
      <c r="C702" s="51">
        <v>1.024</v>
      </c>
      <c r="D702" s="51">
        <v>65.0</v>
      </c>
      <c r="E702" s="52" t="s">
        <v>25</v>
      </c>
      <c r="F702" s="52" t="s">
        <v>26</v>
      </c>
      <c r="G702" s="53"/>
    </row>
    <row r="703">
      <c r="A703" s="49">
        <v>44491.87483130787</v>
      </c>
      <c r="B703" s="50">
        <v>44491.9997922916</v>
      </c>
      <c r="C703" s="51">
        <v>1.025</v>
      </c>
      <c r="D703" s="51">
        <v>65.0</v>
      </c>
      <c r="E703" s="52" t="s">
        <v>25</v>
      </c>
      <c r="F703" s="52" t="s">
        <v>26</v>
      </c>
      <c r="G703" s="53"/>
    </row>
    <row r="704">
      <c r="A704" s="49">
        <v>44491.885236250004</v>
      </c>
      <c r="B704" s="50">
        <v>44492.0102135995</v>
      </c>
      <c r="C704" s="51">
        <v>1.025</v>
      </c>
      <c r="D704" s="51">
        <v>65.0</v>
      </c>
      <c r="E704" s="52" t="s">
        <v>25</v>
      </c>
      <c r="F704" s="52" t="s">
        <v>26</v>
      </c>
      <c r="G704" s="53"/>
    </row>
    <row r="705">
      <c r="A705" s="49">
        <v>44491.89566196759</v>
      </c>
      <c r="B705" s="50">
        <v>44492.020634456</v>
      </c>
      <c r="C705" s="51">
        <v>1.026</v>
      </c>
      <c r="D705" s="51">
        <v>65.0</v>
      </c>
      <c r="E705" s="52" t="s">
        <v>25</v>
      </c>
      <c r="F705" s="52" t="s">
        <v>26</v>
      </c>
      <c r="G705" s="53"/>
    </row>
    <row r="706">
      <c r="A706" s="49">
        <v>44491.90608239583</v>
      </c>
      <c r="B706" s="50">
        <v>44492.0310551736</v>
      </c>
      <c r="C706" s="51">
        <v>1.026</v>
      </c>
      <c r="D706" s="51">
        <v>65.0</v>
      </c>
      <c r="E706" s="52" t="s">
        <v>25</v>
      </c>
      <c r="F706" s="52" t="s">
        <v>26</v>
      </c>
      <c r="G706" s="53"/>
    </row>
    <row r="707">
      <c r="A707" s="49">
        <v>44491.91649555556</v>
      </c>
      <c r="B707" s="50">
        <v>44492.0414766666</v>
      </c>
      <c r="C707" s="51">
        <v>1.025</v>
      </c>
      <c r="D707" s="51">
        <v>65.0</v>
      </c>
      <c r="E707" s="52" t="s">
        <v>25</v>
      </c>
      <c r="F707" s="52" t="s">
        <v>26</v>
      </c>
      <c r="G707" s="53"/>
    </row>
    <row r="708">
      <c r="A708" s="49">
        <v>44491.92693865741</v>
      </c>
      <c r="B708" s="50">
        <v>44492.0519109606</v>
      </c>
      <c r="C708" s="51">
        <v>1.027</v>
      </c>
      <c r="D708" s="51">
        <v>65.0</v>
      </c>
      <c r="E708" s="52" t="s">
        <v>25</v>
      </c>
      <c r="F708" s="52" t="s">
        <v>26</v>
      </c>
      <c r="G708" s="53"/>
    </row>
    <row r="709">
      <c r="A709" s="49">
        <v>44491.93735978009</v>
      </c>
      <c r="B709" s="50">
        <v>44492.0623328819</v>
      </c>
      <c r="C709" s="51">
        <v>1.026</v>
      </c>
      <c r="D709" s="51">
        <v>65.0</v>
      </c>
      <c r="E709" s="52" t="s">
        <v>25</v>
      </c>
      <c r="F709" s="52" t="s">
        <v>26</v>
      </c>
      <c r="G709" s="53"/>
    </row>
    <row r="710">
      <c r="A710" s="49">
        <v>44491.947779062495</v>
      </c>
      <c r="B710" s="50">
        <v>44492.072752581</v>
      </c>
      <c r="C710" s="51">
        <v>1.026</v>
      </c>
      <c r="D710" s="51">
        <v>65.0</v>
      </c>
      <c r="E710" s="52" t="s">
        <v>25</v>
      </c>
      <c r="F710" s="52" t="s">
        <v>26</v>
      </c>
      <c r="G710" s="53"/>
    </row>
    <row r="711">
      <c r="A711" s="49">
        <v>44491.95819671296</v>
      </c>
      <c r="B711" s="50">
        <v>44492.0831732986</v>
      </c>
      <c r="C711" s="51">
        <v>1.026</v>
      </c>
      <c r="D711" s="51">
        <v>65.0</v>
      </c>
      <c r="E711" s="52" t="s">
        <v>25</v>
      </c>
      <c r="F711" s="52" t="s">
        <v>26</v>
      </c>
      <c r="G711" s="53"/>
    </row>
    <row r="712">
      <c r="A712" s="49">
        <v>44491.96861428241</v>
      </c>
      <c r="B712" s="50">
        <v>44492.0935926388</v>
      </c>
      <c r="C712" s="51">
        <v>1.025</v>
      </c>
      <c r="D712" s="51">
        <v>65.0</v>
      </c>
      <c r="E712" s="52" t="s">
        <v>25</v>
      </c>
      <c r="F712" s="52" t="s">
        <v>26</v>
      </c>
      <c r="G712" s="53"/>
    </row>
    <row r="713">
      <c r="A713" s="49">
        <v>44491.979036550925</v>
      </c>
      <c r="B713" s="50">
        <v>44492.1040129282</v>
      </c>
      <c r="C713" s="51">
        <v>1.026</v>
      </c>
      <c r="D713" s="51">
        <v>65.0</v>
      </c>
      <c r="E713" s="52" t="s">
        <v>25</v>
      </c>
      <c r="F713" s="52" t="s">
        <v>26</v>
      </c>
      <c r="G713" s="53"/>
    </row>
    <row r="714">
      <c r="A714" s="49">
        <v>44491.9894703125</v>
      </c>
      <c r="B714" s="50">
        <v>44492.1144472453</v>
      </c>
      <c r="C714" s="51">
        <v>1.025</v>
      </c>
      <c r="D714" s="51">
        <v>65.0</v>
      </c>
      <c r="E714" s="52" t="s">
        <v>25</v>
      </c>
      <c r="F714" s="52" t="s">
        <v>26</v>
      </c>
      <c r="G714" s="53"/>
    </row>
    <row r="715">
      <c r="A715" s="49">
        <v>44491.99989608796</v>
      </c>
      <c r="B715" s="50">
        <v>44492.1248694444</v>
      </c>
      <c r="C715" s="51">
        <v>1.025</v>
      </c>
      <c r="D715" s="51">
        <v>65.0</v>
      </c>
      <c r="E715" s="52" t="s">
        <v>25</v>
      </c>
      <c r="F715" s="52" t="s">
        <v>26</v>
      </c>
      <c r="G715" s="53"/>
    </row>
    <row r="716">
      <c r="A716" s="49">
        <v>44492.010316608794</v>
      </c>
      <c r="B716" s="50">
        <v>44492.1352905439</v>
      </c>
      <c r="C716" s="51">
        <v>1.025</v>
      </c>
      <c r="D716" s="51">
        <v>65.0</v>
      </c>
      <c r="E716" s="52" t="s">
        <v>25</v>
      </c>
      <c r="F716" s="52" t="s">
        <v>26</v>
      </c>
      <c r="G716" s="53"/>
    </row>
    <row r="717">
      <c r="A717" s="49">
        <v>44492.02074045139</v>
      </c>
      <c r="B717" s="50">
        <v>44492.1457117245</v>
      </c>
      <c r="C717" s="51">
        <v>1.025</v>
      </c>
      <c r="D717" s="51">
        <v>65.0</v>
      </c>
      <c r="E717" s="52" t="s">
        <v>25</v>
      </c>
      <c r="F717" s="52" t="s">
        <v>26</v>
      </c>
      <c r="G717" s="53"/>
    </row>
    <row r="718">
      <c r="A718" s="49">
        <v>44492.031150532406</v>
      </c>
      <c r="B718" s="50">
        <v>44492.1561324537</v>
      </c>
      <c r="C718" s="51">
        <v>1.024</v>
      </c>
      <c r="D718" s="51">
        <v>65.0</v>
      </c>
      <c r="E718" s="52" t="s">
        <v>25</v>
      </c>
      <c r="F718" s="52" t="s">
        <v>26</v>
      </c>
      <c r="G718" s="53"/>
    </row>
    <row r="719">
      <c r="A719" s="49">
        <v>44492.04157469908</v>
      </c>
      <c r="B719" s="50">
        <v>44492.1665529282</v>
      </c>
      <c r="C719" s="51">
        <v>1.024</v>
      </c>
      <c r="D719" s="51">
        <v>65.0</v>
      </c>
      <c r="E719" s="52" t="s">
        <v>25</v>
      </c>
      <c r="F719" s="52" t="s">
        <v>26</v>
      </c>
      <c r="G719" s="53"/>
    </row>
    <row r="720">
      <c r="A720" s="49">
        <v>44492.05200256944</v>
      </c>
      <c r="B720" s="50">
        <v>44492.1769738194</v>
      </c>
      <c r="C720" s="51">
        <v>1.024</v>
      </c>
      <c r="D720" s="51">
        <v>65.0</v>
      </c>
      <c r="E720" s="52" t="s">
        <v>25</v>
      </c>
      <c r="F720" s="52" t="s">
        <v>26</v>
      </c>
      <c r="G720" s="53"/>
    </row>
    <row r="721">
      <c r="A721" s="49">
        <v>44492.06241546296</v>
      </c>
      <c r="B721" s="50">
        <v>44492.1873944676</v>
      </c>
      <c r="C721" s="51">
        <v>1.025</v>
      </c>
      <c r="D721" s="51">
        <v>66.0</v>
      </c>
      <c r="E721" s="52" t="s">
        <v>25</v>
      </c>
      <c r="F721" s="52" t="s">
        <v>26</v>
      </c>
      <c r="G721" s="53"/>
    </row>
    <row r="722">
      <c r="A722" s="49">
        <v>44492.07285886574</v>
      </c>
      <c r="B722" s="50">
        <v>44492.1978283796</v>
      </c>
      <c r="C722" s="51">
        <v>1.024</v>
      </c>
      <c r="D722" s="51">
        <v>66.0</v>
      </c>
      <c r="E722" s="52" t="s">
        <v>25</v>
      </c>
      <c r="F722" s="52" t="s">
        <v>26</v>
      </c>
      <c r="G722" s="53"/>
    </row>
    <row r="723">
      <c r="A723" s="49">
        <v>44492.08327546297</v>
      </c>
      <c r="B723" s="50">
        <v>44492.2082499189</v>
      </c>
      <c r="C723" s="51">
        <v>1.025</v>
      </c>
      <c r="D723" s="51">
        <v>66.0</v>
      </c>
      <c r="E723" s="52" t="s">
        <v>25</v>
      </c>
      <c r="F723" s="52" t="s">
        <v>26</v>
      </c>
      <c r="G723" s="53"/>
    </row>
    <row r="724">
      <c r="A724" s="49">
        <v>44492.0936946875</v>
      </c>
      <c r="B724" s="50">
        <v>44492.2186700925</v>
      </c>
      <c r="C724" s="51">
        <v>1.025</v>
      </c>
      <c r="D724" s="51">
        <v>66.0</v>
      </c>
      <c r="E724" s="52" t="s">
        <v>25</v>
      </c>
      <c r="F724" s="52" t="s">
        <v>26</v>
      </c>
      <c r="G724" s="53"/>
    </row>
    <row r="725">
      <c r="A725" s="49">
        <v>44492.10411853009</v>
      </c>
      <c r="B725" s="50">
        <v>44492.2290903472</v>
      </c>
      <c r="C725" s="51">
        <v>1.026</v>
      </c>
      <c r="D725" s="51">
        <v>66.0</v>
      </c>
      <c r="E725" s="52" t="s">
        <v>25</v>
      </c>
      <c r="F725" s="52" t="s">
        <v>26</v>
      </c>
      <c r="G725" s="53"/>
    </row>
    <row r="726">
      <c r="A726" s="49">
        <v>44492.114543159725</v>
      </c>
      <c r="B726" s="50">
        <v>44492.2395127199</v>
      </c>
      <c r="C726" s="51">
        <v>1.025</v>
      </c>
      <c r="D726" s="51">
        <v>66.0</v>
      </c>
      <c r="E726" s="52" t="s">
        <v>25</v>
      </c>
      <c r="F726" s="52" t="s">
        <v>26</v>
      </c>
      <c r="G726" s="53"/>
    </row>
    <row r="727">
      <c r="A727" s="49">
        <v>44492.12495892361</v>
      </c>
      <c r="B727" s="50">
        <v>44492.2499326504</v>
      </c>
      <c r="C727" s="51">
        <v>1.025</v>
      </c>
      <c r="D727" s="51">
        <v>66.0</v>
      </c>
      <c r="E727" s="52" t="s">
        <v>25</v>
      </c>
      <c r="F727" s="52" t="s">
        <v>26</v>
      </c>
      <c r="G727" s="53"/>
    </row>
    <row r="728">
      <c r="A728" s="49">
        <v>44492.13537582176</v>
      </c>
      <c r="B728" s="50">
        <v>44492.2603538194</v>
      </c>
      <c r="C728" s="51">
        <v>1.025</v>
      </c>
      <c r="D728" s="51">
        <v>66.0</v>
      </c>
      <c r="E728" s="52" t="s">
        <v>25</v>
      </c>
      <c r="F728" s="52" t="s">
        <v>26</v>
      </c>
      <c r="G728" s="53"/>
    </row>
    <row r="729">
      <c r="A729" s="49">
        <v>44492.145792627314</v>
      </c>
      <c r="B729" s="50">
        <v>44492.2707745601</v>
      </c>
      <c r="C729" s="51">
        <v>1.024</v>
      </c>
      <c r="D729" s="51">
        <v>66.0</v>
      </c>
      <c r="E729" s="52" t="s">
        <v>25</v>
      </c>
      <c r="F729" s="52" t="s">
        <v>26</v>
      </c>
      <c r="G729" s="53"/>
    </row>
    <row r="730">
      <c r="A730" s="49">
        <v>44492.15621090277</v>
      </c>
      <c r="B730" s="50">
        <v>44492.281193912</v>
      </c>
      <c r="C730" s="51">
        <v>1.025</v>
      </c>
      <c r="D730" s="51">
        <v>66.0</v>
      </c>
      <c r="E730" s="52" t="s">
        <v>25</v>
      </c>
      <c r="F730" s="52" t="s">
        <v>26</v>
      </c>
      <c r="G730" s="53"/>
    </row>
    <row r="731">
      <c r="A731" s="49">
        <v>44492.16665663195</v>
      </c>
      <c r="B731" s="50">
        <v>44492.2916276273</v>
      </c>
      <c r="C731" s="51">
        <v>1.024</v>
      </c>
      <c r="D731" s="51">
        <v>66.0</v>
      </c>
      <c r="E731" s="52" t="s">
        <v>25</v>
      </c>
      <c r="F731" s="52" t="s">
        <v>26</v>
      </c>
      <c r="G731" s="53"/>
    </row>
    <row r="732">
      <c r="A732" s="49">
        <v>44492.17708356481</v>
      </c>
      <c r="B732" s="50">
        <v>44492.3020609375</v>
      </c>
      <c r="C732" s="51">
        <v>1.024</v>
      </c>
      <c r="D732" s="51">
        <v>66.0</v>
      </c>
      <c r="E732" s="52" t="s">
        <v>25</v>
      </c>
      <c r="F732" s="52" t="s">
        <v>26</v>
      </c>
      <c r="G732" s="53"/>
    </row>
    <row r="733">
      <c r="A733" s="49">
        <v>44492.18751552083</v>
      </c>
      <c r="B733" s="50">
        <v>44492.3124830092</v>
      </c>
      <c r="C733" s="51">
        <v>1.024</v>
      </c>
      <c r="D733" s="51">
        <v>66.0</v>
      </c>
      <c r="E733" s="52" t="s">
        <v>25</v>
      </c>
      <c r="F733" s="52" t="s">
        <v>26</v>
      </c>
      <c r="G733" s="53"/>
    </row>
    <row r="734">
      <c r="A734" s="49">
        <v>44492.19793083333</v>
      </c>
      <c r="B734" s="50">
        <v>44492.3229059027</v>
      </c>
      <c r="C734" s="51">
        <v>1.025</v>
      </c>
      <c r="D734" s="51">
        <v>66.0</v>
      </c>
      <c r="E734" s="52" t="s">
        <v>25</v>
      </c>
      <c r="F734" s="52" t="s">
        <v>26</v>
      </c>
      <c r="G734" s="53"/>
    </row>
    <row r="735">
      <c r="A735" s="49">
        <v>44492.208353379625</v>
      </c>
      <c r="B735" s="50">
        <v>44492.3333257291</v>
      </c>
      <c r="C735" s="51">
        <v>1.025</v>
      </c>
      <c r="D735" s="51">
        <v>66.0</v>
      </c>
      <c r="E735" s="52" t="s">
        <v>25</v>
      </c>
      <c r="F735" s="52" t="s">
        <v>26</v>
      </c>
      <c r="G735" s="53"/>
    </row>
    <row r="736">
      <c r="A736" s="49">
        <v>44492.21877278935</v>
      </c>
      <c r="B736" s="50">
        <v>44492.3437472222</v>
      </c>
      <c r="C736" s="51">
        <v>1.025</v>
      </c>
      <c r="D736" s="51">
        <v>66.0</v>
      </c>
      <c r="E736" s="52" t="s">
        <v>25</v>
      </c>
      <c r="F736" s="52" t="s">
        <v>26</v>
      </c>
      <c r="G736" s="53"/>
    </row>
    <row r="737">
      <c r="A737" s="49">
        <v>44492.22920475694</v>
      </c>
      <c r="B737" s="50">
        <v>44492.3541796759</v>
      </c>
      <c r="C737" s="51">
        <v>1.025</v>
      </c>
      <c r="D737" s="51">
        <v>65.0</v>
      </c>
      <c r="E737" s="52" t="s">
        <v>25</v>
      </c>
      <c r="F737" s="52" t="s">
        <v>26</v>
      </c>
      <c r="G737" s="53"/>
    </row>
    <row r="738">
      <c r="A738" s="49">
        <v>44492.239626215276</v>
      </c>
      <c r="B738" s="50">
        <v>44492.3645996643</v>
      </c>
      <c r="C738" s="51">
        <v>1.025</v>
      </c>
      <c r="D738" s="51">
        <v>65.0</v>
      </c>
      <c r="E738" s="52" t="s">
        <v>25</v>
      </c>
      <c r="F738" s="52" t="s">
        <v>26</v>
      </c>
      <c r="G738" s="53"/>
    </row>
    <row r="739">
      <c r="A739" s="49">
        <v>44492.25004886574</v>
      </c>
      <c r="B739" s="50">
        <v>44492.3750218518</v>
      </c>
      <c r="C739" s="51">
        <v>1.025</v>
      </c>
      <c r="D739" s="51">
        <v>64.0</v>
      </c>
      <c r="E739" s="52" t="s">
        <v>25</v>
      </c>
      <c r="F739" s="52" t="s">
        <v>26</v>
      </c>
      <c r="G739" s="53"/>
    </row>
    <row r="740">
      <c r="A740" s="49">
        <v>44492.26047178241</v>
      </c>
      <c r="B740" s="50">
        <v>44492.3854431481</v>
      </c>
      <c r="C740" s="51">
        <v>1.025</v>
      </c>
      <c r="D740" s="51">
        <v>63.0</v>
      </c>
      <c r="E740" s="52" t="s">
        <v>25</v>
      </c>
      <c r="F740" s="52" t="s">
        <v>26</v>
      </c>
      <c r="G740" s="53"/>
    </row>
    <row r="741">
      <c r="A741" s="49">
        <v>44492.27090646991</v>
      </c>
      <c r="B741" s="50">
        <v>44492.3958754976</v>
      </c>
      <c r="C741" s="51">
        <v>1.025</v>
      </c>
      <c r="D741" s="51">
        <v>63.0</v>
      </c>
      <c r="E741" s="52" t="s">
        <v>25</v>
      </c>
      <c r="F741" s="52" t="s">
        <v>26</v>
      </c>
      <c r="G741" s="53"/>
    </row>
    <row r="742">
      <c r="A742" s="49">
        <v>44492.28131737269</v>
      </c>
      <c r="B742" s="50">
        <v>44492.406295625</v>
      </c>
      <c r="C742" s="51">
        <v>1.024</v>
      </c>
      <c r="D742" s="51">
        <v>63.0</v>
      </c>
      <c r="E742" s="52" t="s">
        <v>25</v>
      </c>
      <c r="F742" s="52" t="s">
        <v>26</v>
      </c>
      <c r="G742" s="53"/>
    </row>
    <row r="743">
      <c r="A743" s="49">
        <v>44492.29174097222</v>
      </c>
      <c r="B743" s="50">
        <v>44492.4167148148</v>
      </c>
      <c r="C743" s="51">
        <v>1.023</v>
      </c>
      <c r="D743" s="51">
        <v>62.0</v>
      </c>
      <c r="E743" s="52" t="s">
        <v>25</v>
      </c>
      <c r="F743" s="52" t="s">
        <v>26</v>
      </c>
      <c r="G743" s="53"/>
    </row>
    <row r="744">
      <c r="A744" s="49">
        <v>44492.30217299769</v>
      </c>
      <c r="B744" s="50">
        <v>44492.4271480787</v>
      </c>
      <c r="C744" s="51">
        <v>1.023</v>
      </c>
      <c r="D744" s="51">
        <v>62.0</v>
      </c>
      <c r="E744" s="52" t="s">
        <v>25</v>
      </c>
      <c r="F744" s="52" t="s">
        <v>26</v>
      </c>
      <c r="G744" s="53"/>
    </row>
    <row r="745">
      <c r="A745" s="49">
        <v>44492.31260821759</v>
      </c>
      <c r="B745" s="50">
        <v>44492.4375817824</v>
      </c>
      <c r="C745" s="51">
        <v>1.024</v>
      </c>
      <c r="D745" s="51">
        <v>62.0</v>
      </c>
      <c r="E745" s="52" t="s">
        <v>25</v>
      </c>
      <c r="F745" s="52" t="s">
        <v>26</v>
      </c>
      <c r="G745" s="53"/>
    </row>
    <row r="746">
      <c r="A746" s="49">
        <v>44492.32303399306</v>
      </c>
      <c r="B746" s="50">
        <v>44492.448003206</v>
      </c>
      <c r="C746" s="51">
        <v>1.024</v>
      </c>
      <c r="D746" s="51">
        <v>62.0</v>
      </c>
      <c r="E746" s="52" t="s">
        <v>25</v>
      </c>
      <c r="F746" s="52" t="s">
        <v>26</v>
      </c>
      <c r="G746" s="53"/>
    </row>
    <row r="747">
      <c r="A747" s="49">
        <v>44492.33344625</v>
      </c>
      <c r="B747" s="50">
        <v>44492.4584248726</v>
      </c>
      <c r="C747" s="51">
        <v>1.025</v>
      </c>
      <c r="D747" s="51">
        <v>62.0</v>
      </c>
      <c r="E747" s="52" t="s">
        <v>25</v>
      </c>
      <c r="F747" s="52" t="s">
        <v>26</v>
      </c>
      <c r="G747" s="53"/>
    </row>
    <row r="748">
      <c r="A748" s="49">
        <v>44492.34386274306</v>
      </c>
      <c r="B748" s="50">
        <v>44492.4688441898</v>
      </c>
      <c r="C748" s="51">
        <v>1.025</v>
      </c>
      <c r="D748" s="51">
        <v>61.0</v>
      </c>
      <c r="E748" s="52" t="s">
        <v>25</v>
      </c>
      <c r="F748" s="52" t="s">
        <v>26</v>
      </c>
      <c r="G748" s="53"/>
    </row>
    <row r="749">
      <c r="A749" s="49">
        <v>44492.354297094906</v>
      </c>
      <c r="B749" s="50">
        <v>44492.479266493</v>
      </c>
      <c r="C749" s="51">
        <v>1.026</v>
      </c>
      <c r="D749" s="51">
        <v>61.0</v>
      </c>
      <c r="E749" s="52" t="s">
        <v>25</v>
      </c>
      <c r="F749" s="52" t="s">
        <v>26</v>
      </c>
      <c r="G749" s="53"/>
    </row>
    <row r="750">
      <c r="A750" s="49">
        <v>44492.36470825232</v>
      </c>
      <c r="B750" s="50">
        <v>44492.4896868981</v>
      </c>
      <c r="C750" s="51">
        <v>1.025</v>
      </c>
      <c r="D750" s="51">
        <v>61.0</v>
      </c>
      <c r="E750" s="52" t="s">
        <v>25</v>
      </c>
      <c r="F750" s="52" t="s">
        <v>26</v>
      </c>
      <c r="G750" s="53"/>
    </row>
    <row r="751">
      <c r="A751" s="49">
        <v>44492.37515101852</v>
      </c>
      <c r="B751" s="50">
        <v>44492.500119618</v>
      </c>
      <c r="C751" s="51">
        <v>1.026</v>
      </c>
      <c r="D751" s="51">
        <v>61.0</v>
      </c>
      <c r="E751" s="52" t="s">
        <v>25</v>
      </c>
      <c r="F751" s="52" t="s">
        <v>26</v>
      </c>
      <c r="G751" s="53"/>
    </row>
    <row r="752">
      <c r="A752" s="49">
        <v>44492.385581979164</v>
      </c>
      <c r="B752" s="50">
        <v>44492.5105524537</v>
      </c>
      <c r="C752" s="51">
        <v>1.025</v>
      </c>
      <c r="D752" s="51">
        <v>61.0</v>
      </c>
      <c r="E752" s="52" t="s">
        <v>25</v>
      </c>
      <c r="F752" s="52" t="s">
        <v>26</v>
      </c>
      <c r="G752" s="53"/>
    </row>
    <row r="753">
      <c r="A753" s="49">
        <v>44492.3959990625</v>
      </c>
      <c r="B753" s="50">
        <v>44492.5209731828</v>
      </c>
      <c r="C753" s="51">
        <v>1.025</v>
      </c>
      <c r="D753" s="51">
        <v>61.0</v>
      </c>
      <c r="E753" s="52" t="s">
        <v>25</v>
      </c>
      <c r="F753" s="52" t="s">
        <v>26</v>
      </c>
      <c r="G753" s="53"/>
    </row>
    <row r="754">
      <c r="A754" s="49">
        <v>44492.40641751158</v>
      </c>
      <c r="B754" s="50">
        <v>44492.5313943634</v>
      </c>
      <c r="C754" s="51">
        <v>1.025</v>
      </c>
      <c r="D754" s="51">
        <v>61.0</v>
      </c>
      <c r="E754" s="52" t="s">
        <v>25</v>
      </c>
      <c r="F754" s="52" t="s">
        <v>26</v>
      </c>
      <c r="G754" s="53"/>
    </row>
    <row r="755">
      <c r="A755" s="49">
        <v>44492.41684509259</v>
      </c>
      <c r="B755" s="50">
        <v>44492.5418164699</v>
      </c>
      <c r="C755" s="51">
        <v>1.025</v>
      </c>
      <c r="D755" s="51">
        <v>61.0</v>
      </c>
      <c r="E755" s="52" t="s">
        <v>25</v>
      </c>
      <c r="F755" s="52" t="s">
        <v>26</v>
      </c>
      <c r="G755" s="53"/>
    </row>
    <row r="756">
      <c r="A756" s="49">
        <v>44492.427268287036</v>
      </c>
      <c r="B756" s="50">
        <v>44492.5522367129</v>
      </c>
      <c r="C756" s="51">
        <v>1.025</v>
      </c>
      <c r="D756" s="51">
        <v>61.0</v>
      </c>
      <c r="E756" s="52" t="s">
        <v>25</v>
      </c>
      <c r="F756" s="52" t="s">
        <v>26</v>
      </c>
      <c r="G756" s="53"/>
    </row>
    <row r="757">
      <c r="A757" s="49">
        <v>44492.43768130787</v>
      </c>
      <c r="B757" s="50">
        <v>44492.5626608333</v>
      </c>
      <c r="C757" s="51">
        <v>1.026</v>
      </c>
      <c r="D757" s="51">
        <v>61.0</v>
      </c>
      <c r="E757" s="52" t="s">
        <v>25</v>
      </c>
      <c r="F757" s="52" t="s">
        <v>26</v>
      </c>
      <c r="G757" s="53"/>
    </row>
    <row r="758">
      <c r="A758" s="49">
        <v>44492.44810846065</v>
      </c>
      <c r="B758" s="50">
        <v>44492.5730825</v>
      </c>
      <c r="C758" s="51">
        <v>1.025</v>
      </c>
      <c r="D758" s="51">
        <v>62.0</v>
      </c>
      <c r="E758" s="52" t="s">
        <v>25</v>
      </c>
      <c r="F758" s="52" t="s">
        <v>26</v>
      </c>
      <c r="G758" s="53"/>
    </row>
    <row r="759">
      <c r="A759" s="49">
        <v>44492.45852822917</v>
      </c>
      <c r="B759" s="50">
        <v>44492.5835066088</v>
      </c>
      <c r="C759" s="51">
        <v>1.025</v>
      </c>
      <c r="D759" s="51">
        <v>61.0</v>
      </c>
      <c r="E759" s="52" t="s">
        <v>25</v>
      </c>
      <c r="F759" s="52" t="s">
        <v>26</v>
      </c>
      <c r="G759" s="53"/>
    </row>
    <row r="760">
      <c r="A760" s="49">
        <v>44492.468969814814</v>
      </c>
      <c r="B760" s="50">
        <v>44492.5939393287</v>
      </c>
      <c r="C760" s="51">
        <v>1.025</v>
      </c>
      <c r="D760" s="51">
        <v>61.0</v>
      </c>
      <c r="E760" s="52" t="s">
        <v>25</v>
      </c>
      <c r="F760" s="52" t="s">
        <v>26</v>
      </c>
      <c r="G760" s="53"/>
    </row>
    <row r="761">
      <c r="A761" s="49">
        <v>44492.479385416664</v>
      </c>
      <c r="B761" s="50">
        <v>44492.6043614236</v>
      </c>
      <c r="C761" s="51">
        <v>1.025</v>
      </c>
      <c r="D761" s="51">
        <v>61.0</v>
      </c>
      <c r="E761" s="52" t="s">
        <v>25</v>
      </c>
      <c r="F761" s="52" t="s">
        <v>26</v>
      </c>
      <c r="G761" s="53"/>
    </row>
    <row r="762">
      <c r="A762" s="49">
        <v>44492.489822766205</v>
      </c>
      <c r="B762" s="50">
        <v>44492.614796956</v>
      </c>
      <c r="C762" s="51">
        <v>1.025</v>
      </c>
      <c r="D762" s="51">
        <v>62.0</v>
      </c>
      <c r="E762" s="52" t="s">
        <v>25</v>
      </c>
      <c r="F762" s="52" t="s">
        <v>26</v>
      </c>
      <c r="G762" s="53"/>
    </row>
    <row r="763">
      <c r="A763" s="49">
        <v>44492.50024846065</v>
      </c>
      <c r="B763" s="50">
        <v>44492.6252160648</v>
      </c>
      <c r="C763" s="51">
        <v>1.025</v>
      </c>
      <c r="D763" s="51">
        <v>62.0</v>
      </c>
      <c r="E763" s="52" t="s">
        <v>25</v>
      </c>
      <c r="F763" s="52" t="s">
        <v>26</v>
      </c>
      <c r="G763" s="53"/>
    </row>
    <row r="764">
      <c r="A764" s="49">
        <v>44492.510660555556</v>
      </c>
      <c r="B764" s="50">
        <v>44492.6356370949</v>
      </c>
      <c r="C764" s="51">
        <v>1.025</v>
      </c>
      <c r="D764" s="51">
        <v>62.0</v>
      </c>
      <c r="E764" s="52" t="s">
        <v>25</v>
      </c>
      <c r="F764" s="52" t="s">
        <v>26</v>
      </c>
      <c r="G764" s="53"/>
    </row>
    <row r="765">
      <c r="A765" s="49">
        <v>44492.521088298614</v>
      </c>
      <c r="B765" s="50">
        <v>44492.6460592129</v>
      </c>
      <c r="C765" s="51">
        <v>1.025</v>
      </c>
      <c r="D765" s="51">
        <v>62.0</v>
      </c>
      <c r="E765" s="52" t="s">
        <v>25</v>
      </c>
      <c r="F765" s="52" t="s">
        <v>26</v>
      </c>
      <c r="G765" s="53"/>
    </row>
    <row r="766">
      <c r="A766" s="49">
        <v>44492.53150712963</v>
      </c>
      <c r="B766" s="50">
        <v>44492.6564797338</v>
      </c>
      <c r="C766" s="51">
        <v>1.024</v>
      </c>
      <c r="D766" s="51">
        <v>62.0</v>
      </c>
      <c r="E766" s="52" t="s">
        <v>25</v>
      </c>
      <c r="F766" s="52" t="s">
        <v>26</v>
      </c>
      <c r="G766" s="53"/>
    </row>
    <row r="767">
      <c r="A767" s="49">
        <v>44492.54192739583</v>
      </c>
      <c r="B767" s="50">
        <v>44492.6669022569</v>
      </c>
      <c r="C767" s="51">
        <v>1.023</v>
      </c>
      <c r="D767" s="51">
        <v>62.0</v>
      </c>
      <c r="E767" s="52" t="s">
        <v>25</v>
      </c>
      <c r="F767" s="52" t="s">
        <v>26</v>
      </c>
      <c r="G767" s="53"/>
    </row>
    <row r="768">
      <c r="A768" s="49">
        <v>44492.55234288194</v>
      </c>
      <c r="B768" s="50">
        <v>44492.6773224074</v>
      </c>
      <c r="C768" s="51">
        <v>1.024</v>
      </c>
      <c r="D768" s="51">
        <v>62.0</v>
      </c>
      <c r="E768" s="52" t="s">
        <v>25</v>
      </c>
      <c r="F768" s="52" t="s">
        <v>26</v>
      </c>
      <c r="G768" s="53"/>
    </row>
    <row r="769">
      <c r="A769" s="49">
        <v>44492.562764305556</v>
      </c>
      <c r="B769" s="50">
        <v>44492.6877428588</v>
      </c>
      <c r="C769" s="51">
        <v>1.024</v>
      </c>
      <c r="D769" s="51">
        <v>62.0</v>
      </c>
      <c r="E769" s="52" t="s">
        <v>25</v>
      </c>
      <c r="F769" s="52" t="s">
        <v>26</v>
      </c>
      <c r="G769" s="53"/>
    </row>
    <row r="770">
      <c r="A770" s="49">
        <v>44492.57319054398</v>
      </c>
      <c r="B770" s="50">
        <v>44492.6981630439</v>
      </c>
      <c r="C770" s="51">
        <v>1.024</v>
      </c>
      <c r="D770" s="51">
        <v>62.0</v>
      </c>
      <c r="E770" s="52" t="s">
        <v>25</v>
      </c>
      <c r="F770" s="52" t="s">
        <v>26</v>
      </c>
      <c r="G770" s="53"/>
    </row>
    <row r="771">
      <c r="A771" s="49">
        <v>44492.58362443287</v>
      </c>
      <c r="B771" s="50">
        <v>44492.7085961111</v>
      </c>
      <c r="C771" s="51">
        <v>1.025</v>
      </c>
      <c r="D771" s="51">
        <v>62.0</v>
      </c>
      <c r="E771" s="52" t="s">
        <v>25</v>
      </c>
      <c r="F771" s="52" t="s">
        <v>26</v>
      </c>
      <c r="G771" s="53"/>
    </row>
    <row r="772">
      <c r="A772" s="49">
        <v>44492.59404030093</v>
      </c>
      <c r="B772" s="50">
        <v>44492.7190168287</v>
      </c>
      <c r="C772" s="51">
        <v>1.026</v>
      </c>
      <c r="D772" s="51">
        <v>62.0</v>
      </c>
      <c r="E772" s="52" t="s">
        <v>25</v>
      </c>
      <c r="F772" s="52" t="s">
        <v>26</v>
      </c>
      <c r="G772" s="53"/>
    </row>
    <row r="773">
      <c r="A773" s="49">
        <v>44492.60447356482</v>
      </c>
      <c r="B773" s="50">
        <v>44492.7294502083</v>
      </c>
      <c r="C773" s="51">
        <v>1.027</v>
      </c>
      <c r="D773" s="51">
        <v>62.0</v>
      </c>
      <c r="E773" s="52" t="s">
        <v>25</v>
      </c>
      <c r="F773" s="52" t="s">
        <v>26</v>
      </c>
      <c r="G773" s="53"/>
    </row>
    <row r="774">
      <c r="A774" s="49">
        <v>44492.61488700232</v>
      </c>
      <c r="B774" s="50">
        <v>44492.7398703703</v>
      </c>
      <c r="C774" s="51">
        <v>1.026</v>
      </c>
      <c r="D774" s="51">
        <v>62.0</v>
      </c>
      <c r="E774" s="52" t="s">
        <v>25</v>
      </c>
      <c r="F774" s="52" t="s">
        <v>26</v>
      </c>
      <c r="G774" s="53"/>
    </row>
    <row r="775">
      <c r="A775" s="49">
        <v>44492.62531263889</v>
      </c>
      <c r="B775" s="50">
        <v>44492.7502919097</v>
      </c>
      <c r="C775" s="51">
        <v>1.027</v>
      </c>
      <c r="D775" s="51">
        <v>62.0</v>
      </c>
      <c r="E775" s="52" t="s">
        <v>25</v>
      </c>
      <c r="F775" s="52" t="s">
        <v>26</v>
      </c>
      <c r="G775" s="53"/>
    </row>
    <row r="776">
      <c r="A776" s="49">
        <v>44492.63576628472</v>
      </c>
      <c r="B776" s="50">
        <v>44492.7607125347</v>
      </c>
      <c r="C776" s="51">
        <v>1.026</v>
      </c>
      <c r="D776" s="51">
        <v>62.0</v>
      </c>
      <c r="E776" s="52" t="s">
        <v>25</v>
      </c>
      <c r="F776" s="52" t="s">
        <v>26</v>
      </c>
      <c r="G776" s="53"/>
    </row>
    <row r="777">
      <c r="A777" s="49">
        <v>44492.646161145836</v>
      </c>
      <c r="B777" s="50">
        <v>44492.7711342592</v>
      </c>
      <c r="C777" s="51">
        <v>1.026</v>
      </c>
      <c r="D777" s="51">
        <v>62.0</v>
      </c>
      <c r="E777" s="52" t="s">
        <v>25</v>
      </c>
      <c r="F777" s="52" t="s">
        <v>26</v>
      </c>
      <c r="G777" s="53"/>
    </row>
    <row r="778">
      <c r="A778" s="49">
        <v>44492.656572974534</v>
      </c>
      <c r="B778" s="50">
        <v>44492.781556412</v>
      </c>
      <c r="C778" s="51">
        <v>1.026</v>
      </c>
      <c r="D778" s="51">
        <v>62.0</v>
      </c>
      <c r="E778" s="52" t="s">
        <v>25</v>
      </c>
      <c r="F778" s="52" t="s">
        <v>26</v>
      </c>
      <c r="G778" s="53"/>
    </row>
    <row r="779">
      <c r="A779" s="49">
        <v>44492.66700447917</v>
      </c>
      <c r="B779" s="50">
        <v>44492.7919783564</v>
      </c>
      <c r="C779" s="51">
        <v>1.027</v>
      </c>
      <c r="D779" s="51">
        <v>62.0</v>
      </c>
      <c r="E779" s="52" t="s">
        <v>25</v>
      </c>
      <c r="F779" s="52" t="s">
        <v>26</v>
      </c>
      <c r="G779" s="53"/>
    </row>
    <row r="780">
      <c r="A780" s="49">
        <v>44492.677424444446</v>
      </c>
      <c r="B780" s="50">
        <v>44492.8023990277</v>
      </c>
      <c r="C780" s="51">
        <v>1.026</v>
      </c>
      <c r="D780" s="51">
        <v>62.0</v>
      </c>
      <c r="E780" s="52" t="s">
        <v>25</v>
      </c>
      <c r="F780" s="52" t="s">
        <v>26</v>
      </c>
      <c r="G780" s="53"/>
    </row>
    <row r="781">
      <c r="A781" s="49">
        <v>44492.6878496412</v>
      </c>
      <c r="B781" s="50">
        <v>44492.8128208796</v>
      </c>
      <c r="C781" s="51">
        <v>1.027</v>
      </c>
      <c r="D781" s="51">
        <v>62.0</v>
      </c>
      <c r="E781" s="52" t="s">
        <v>25</v>
      </c>
      <c r="F781" s="52" t="s">
        <v>26</v>
      </c>
      <c r="G781" s="53"/>
    </row>
    <row r="782">
      <c r="A782" s="49">
        <v>44492.6982803125</v>
      </c>
      <c r="B782" s="50">
        <v>44492.8232533449</v>
      </c>
      <c r="C782" s="51">
        <v>1.026</v>
      </c>
      <c r="D782" s="51">
        <v>62.0</v>
      </c>
      <c r="E782" s="52" t="s">
        <v>25</v>
      </c>
      <c r="F782" s="52" t="s">
        <v>26</v>
      </c>
      <c r="G782" s="53"/>
    </row>
    <row r="783">
      <c r="A783" s="49">
        <v>44492.70871180556</v>
      </c>
      <c r="B783" s="50">
        <v>44492.8336861689</v>
      </c>
      <c r="C783" s="51">
        <v>1.026</v>
      </c>
      <c r="D783" s="51">
        <v>62.0</v>
      </c>
      <c r="E783" s="52" t="s">
        <v>25</v>
      </c>
      <c r="F783" s="52" t="s">
        <v>26</v>
      </c>
      <c r="G783" s="53"/>
    </row>
    <row r="784">
      <c r="A784" s="49">
        <v>44492.719129108795</v>
      </c>
      <c r="B784" s="50">
        <v>44492.8441078819</v>
      </c>
      <c r="C784" s="51">
        <v>1.026</v>
      </c>
      <c r="D784" s="51">
        <v>62.0</v>
      </c>
      <c r="E784" s="52" t="s">
        <v>25</v>
      </c>
      <c r="F784" s="52" t="s">
        <v>26</v>
      </c>
      <c r="G784" s="53"/>
    </row>
    <row r="785">
      <c r="A785" s="49">
        <v>44492.72955497685</v>
      </c>
      <c r="B785" s="50">
        <v>44492.8545293055</v>
      </c>
      <c r="C785" s="51">
        <v>1.026</v>
      </c>
      <c r="D785" s="51">
        <v>62.0</v>
      </c>
      <c r="E785" s="52" t="s">
        <v>25</v>
      </c>
      <c r="F785" s="52" t="s">
        <v>26</v>
      </c>
      <c r="G785" s="53"/>
    </row>
    <row r="786">
      <c r="A786" s="49">
        <v>44492.73997461806</v>
      </c>
      <c r="B786" s="50">
        <v>44492.8649508101</v>
      </c>
      <c r="C786" s="51">
        <v>1.025</v>
      </c>
      <c r="D786" s="51">
        <v>62.0</v>
      </c>
      <c r="E786" s="52" t="s">
        <v>25</v>
      </c>
      <c r="F786" s="52" t="s">
        <v>26</v>
      </c>
      <c r="G786" s="53"/>
    </row>
    <row r="787">
      <c r="A787" s="49">
        <v>44492.75039141203</v>
      </c>
      <c r="B787" s="50">
        <v>44492.8753715046</v>
      </c>
      <c r="C787" s="51">
        <v>1.026</v>
      </c>
      <c r="D787" s="51">
        <v>62.0</v>
      </c>
      <c r="E787" s="52" t="s">
        <v>25</v>
      </c>
      <c r="F787" s="52" t="s">
        <v>26</v>
      </c>
      <c r="G787" s="53"/>
    </row>
    <row r="788">
      <c r="A788" s="49">
        <v>44492.760818379626</v>
      </c>
      <c r="B788" s="50">
        <v>44492.8857925463</v>
      </c>
      <c r="C788" s="51">
        <v>1.024</v>
      </c>
      <c r="D788" s="51">
        <v>62.0</v>
      </c>
      <c r="E788" s="52" t="s">
        <v>25</v>
      </c>
      <c r="F788" s="52" t="s">
        <v>26</v>
      </c>
      <c r="G788" s="53"/>
    </row>
    <row r="789">
      <c r="A789" s="49">
        <v>44492.77125416667</v>
      </c>
      <c r="B789" s="50">
        <v>44492.8962266088</v>
      </c>
      <c r="C789" s="51">
        <v>1.024</v>
      </c>
      <c r="D789" s="51">
        <v>62.0</v>
      </c>
      <c r="E789" s="52" t="s">
        <v>25</v>
      </c>
      <c r="F789" s="52" t="s">
        <v>26</v>
      </c>
      <c r="G789" s="53"/>
    </row>
    <row r="790">
      <c r="A790" s="49">
        <v>44492.78168994213</v>
      </c>
      <c r="B790" s="50">
        <v>44492.9066587615</v>
      </c>
      <c r="C790" s="51">
        <v>1.023</v>
      </c>
      <c r="D790" s="51">
        <v>63.0</v>
      </c>
      <c r="E790" s="52" t="s">
        <v>25</v>
      </c>
      <c r="F790" s="52" t="s">
        <v>26</v>
      </c>
      <c r="G790" s="53"/>
    </row>
    <row r="791">
      <c r="A791" s="49">
        <v>44492.79211408565</v>
      </c>
      <c r="B791" s="50">
        <v>44492.9170795254</v>
      </c>
      <c r="C791" s="51">
        <v>1.024</v>
      </c>
      <c r="D791" s="51">
        <v>63.0</v>
      </c>
      <c r="E791" s="52" t="s">
        <v>25</v>
      </c>
      <c r="F791" s="52" t="s">
        <v>26</v>
      </c>
      <c r="G791" s="53"/>
    </row>
    <row r="792">
      <c r="A792" s="49">
        <v>44492.80253259259</v>
      </c>
      <c r="B792" s="50">
        <v>44492.9275123032</v>
      </c>
      <c r="C792" s="51">
        <v>1.024</v>
      </c>
      <c r="D792" s="51">
        <v>63.0</v>
      </c>
      <c r="E792" s="52" t="s">
        <v>25</v>
      </c>
      <c r="F792" s="52" t="s">
        <v>26</v>
      </c>
      <c r="G792" s="53"/>
    </row>
    <row r="793">
      <c r="A793" s="49">
        <v>44492.81295216436</v>
      </c>
      <c r="B793" s="50">
        <v>44492.9379323958</v>
      </c>
      <c r="C793" s="51">
        <v>1.023</v>
      </c>
      <c r="D793" s="51">
        <v>63.0</v>
      </c>
      <c r="E793" s="52" t="s">
        <v>25</v>
      </c>
      <c r="F793" s="52" t="s">
        <v>26</v>
      </c>
      <c r="G793" s="53"/>
    </row>
    <row r="794">
      <c r="A794" s="49">
        <v>44492.82338050926</v>
      </c>
      <c r="B794" s="50">
        <v>44492.9483526041</v>
      </c>
      <c r="C794" s="51">
        <v>1.023</v>
      </c>
      <c r="D794" s="51">
        <v>63.0</v>
      </c>
      <c r="E794" s="52" t="s">
        <v>25</v>
      </c>
      <c r="F794" s="52" t="s">
        <v>26</v>
      </c>
      <c r="G794" s="53"/>
    </row>
    <row r="795">
      <c r="A795" s="49">
        <v>44492.83383068287</v>
      </c>
      <c r="B795" s="50">
        <v>44492.9587972222</v>
      </c>
      <c r="C795" s="51">
        <v>1.024</v>
      </c>
      <c r="D795" s="51">
        <v>63.0</v>
      </c>
      <c r="E795" s="52" t="s">
        <v>25</v>
      </c>
      <c r="F795" s="52" t="s">
        <v>26</v>
      </c>
      <c r="G795" s="53"/>
    </row>
    <row r="796">
      <c r="A796" s="49">
        <v>44492.8442422338</v>
      </c>
      <c r="B796" s="50">
        <v>44492.9692176736</v>
      </c>
      <c r="C796" s="51">
        <v>1.023</v>
      </c>
      <c r="D796" s="51">
        <v>63.0</v>
      </c>
      <c r="E796" s="52" t="s">
        <v>25</v>
      </c>
      <c r="F796" s="52" t="s">
        <v>26</v>
      </c>
      <c r="G796" s="53"/>
    </row>
    <row r="797">
      <c r="A797" s="49">
        <v>44492.85466082176</v>
      </c>
      <c r="B797" s="50">
        <v>44492.979639537</v>
      </c>
      <c r="C797" s="51">
        <v>1.023</v>
      </c>
      <c r="D797" s="51">
        <v>63.0</v>
      </c>
      <c r="E797" s="52" t="s">
        <v>25</v>
      </c>
      <c r="F797" s="52" t="s">
        <v>26</v>
      </c>
      <c r="G797" s="53"/>
    </row>
    <row r="798">
      <c r="A798" s="49">
        <v>44492.865078993054</v>
      </c>
      <c r="B798" s="50">
        <v>44492.9900607986</v>
      </c>
      <c r="C798" s="51">
        <v>1.023</v>
      </c>
      <c r="D798" s="51">
        <v>63.0</v>
      </c>
      <c r="E798" s="52" t="s">
        <v>25</v>
      </c>
      <c r="F798" s="52" t="s">
        <v>26</v>
      </c>
      <c r="G798" s="53"/>
    </row>
    <row r="799">
      <c r="A799" s="49">
        <v>44492.87550971065</v>
      </c>
      <c r="B799" s="50">
        <v>44493.0004823958</v>
      </c>
      <c r="C799" s="51">
        <v>1.023</v>
      </c>
      <c r="D799" s="51">
        <v>63.0</v>
      </c>
      <c r="E799" s="52" t="s">
        <v>25</v>
      </c>
      <c r="F799" s="52" t="s">
        <v>26</v>
      </c>
      <c r="G799" s="53"/>
    </row>
    <row r="800">
      <c r="A800" s="49">
        <v>44492.88592894676</v>
      </c>
      <c r="B800" s="50">
        <v>44493.0109012963</v>
      </c>
      <c r="C800" s="51">
        <v>1.023</v>
      </c>
      <c r="D800" s="51">
        <v>63.0</v>
      </c>
      <c r="E800" s="52" t="s">
        <v>25</v>
      </c>
      <c r="F800" s="52" t="s">
        <v>26</v>
      </c>
      <c r="G800" s="53"/>
    </row>
    <row r="801">
      <c r="A801" s="49">
        <v>44492.89635862269</v>
      </c>
      <c r="B801" s="50">
        <v>44493.0213321643</v>
      </c>
      <c r="C801" s="51">
        <v>1.023</v>
      </c>
      <c r="D801" s="51">
        <v>63.0</v>
      </c>
      <c r="E801" s="52" t="s">
        <v>25</v>
      </c>
      <c r="F801" s="52" t="s">
        <v>26</v>
      </c>
      <c r="G801" s="53"/>
    </row>
    <row r="802">
      <c r="A802" s="49">
        <v>44492.906771354166</v>
      </c>
      <c r="B802" s="50">
        <v>44493.0317546296</v>
      </c>
      <c r="C802" s="51">
        <v>1.023</v>
      </c>
      <c r="D802" s="51">
        <v>63.0</v>
      </c>
      <c r="E802" s="52" t="s">
        <v>25</v>
      </c>
      <c r="F802" s="52" t="s">
        <v>26</v>
      </c>
      <c r="G802" s="53"/>
    </row>
    <row r="803">
      <c r="A803" s="49">
        <v>44492.91720243056</v>
      </c>
      <c r="B803" s="50">
        <v>44493.0421758912</v>
      </c>
      <c r="C803" s="51">
        <v>1.023</v>
      </c>
      <c r="D803" s="51">
        <v>63.0</v>
      </c>
      <c r="E803" s="52" t="s">
        <v>25</v>
      </c>
      <c r="F803" s="52" t="s">
        <v>26</v>
      </c>
      <c r="G803" s="53"/>
    </row>
    <row r="804">
      <c r="A804" s="49">
        <v>44492.92761665509</v>
      </c>
      <c r="B804" s="50">
        <v>44493.0525980787</v>
      </c>
      <c r="C804" s="51">
        <v>1.024</v>
      </c>
      <c r="D804" s="51">
        <v>63.0</v>
      </c>
      <c r="E804" s="52" t="s">
        <v>25</v>
      </c>
      <c r="F804" s="52" t="s">
        <v>26</v>
      </c>
      <c r="G804" s="53"/>
    </row>
    <row r="805">
      <c r="A805" s="49">
        <v>44492.93804417824</v>
      </c>
      <c r="B805" s="50">
        <v>44493.0630176851</v>
      </c>
      <c r="C805" s="51">
        <v>1.024</v>
      </c>
      <c r="D805" s="51">
        <v>63.0</v>
      </c>
      <c r="E805" s="52" t="s">
        <v>25</v>
      </c>
      <c r="F805" s="52" t="s">
        <v>26</v>
      </c>
      <c r="G805" s="53"/>
    </row>
    <row r="806">
      <c r="A806" s="49">
        <v>44492.94846288195</v>
      </c>
      <c r="B806" s="50">
        <v>44493.0734382291</v>
      </c>
      <c r="C806" s="51">
        <v>1.025</v>
      </c>
      <c r="D806" s="51">
        <v>63.0</v>
      </c>
      <c r="E806" s="52" t="s">
        <v>25</v>
      </c>
      <c r="F806" s="52" t="s">
        <v>26</v>
      </c>
      <c r="G806" s="53"/>
    </row>
    <row r="807">
      <c r="A807" s="49">
        <v>44492.95890267361</v>
      </c>
      <c r="B807" s="50">
        <v>44493.0838814583</v>
      </c>
      <c r="C807" s="51">
        <v>1.024</v>
      </c>
      <c r="D807" s="51">
        <v>63.0</v>
      </c>
      <c r="E807" s="52" t="s">
        <v>25</v>
      </c>
      <c r="F807" s="52" t="s">
        <v>26</v>
      </c>
      <c r="G807" s="53"/>
    </row>
    <row r="808">
      <c r="A808" s="49">
        <v>44492.96933251157</v>
      </c>
      <c r="B808" s="50">
        <v>44493.0943026504</v>
      </c>
      <c r="C808" s="51">
        <v>1.025</v>
      </c>
      <c r="D808" s="51">
        <v>63.0</v>
      </c>
      <c r="E808" s="52" t="s">
        <v>25</v>
      </c>
      <c r="F808" s="52" t="s">
        <v>26</v>
      </c>
      <c r="G808" s="53"/>
    </row>
    <row r="809">
      <c r="A809" s="49">
        <v>44492.97974871528</v>
      </c>
      <c r="B809" s="50">
        <v>44493.1047248148</v>
      </c>
      <c r="C809" s="51">
        <v>1.025</v>
      </c>
      <c r="D809" s="51">
        <v>63.0</v>
      </c>
      <c r="E809" s="52" t="s">
        <v>25</v>
      </c>
      <c r="F809" s="52" t="s">
        <v>26</v>
      </c>
      <c r="G809" s="53"/>
    </row>
    <row r="810">
      <c r="A810" s="49">
        <v>44492.9901818287</v>
      </c>
      <c r="B810" s="50">
        <v>44493.1151575347</v>
      </c>
      <c r="C810" s="51">
        <v>1.024</v>
      </c>
      <c r="D810" s="51">
        <v>63.0</v>
      </c>
      <c r="E810" s="52" t="s">
        <v>25</v>
      </c>
      <c r="F810" s="52" t="s">
        <v>26</v>
      </c>
      <c r="G810" s="53"/>
    </row>
    <row r="811">
      <c r="A811" s="49">
        <v>44493.00059804398</v>
      </c>
      <c r="B811" s="50">
        <v>44493.1255765509</v>
      </c>
      <c r="C811" s="51">
        <v>1.024</v>
      </c>
      <c r="D811" s="51">
        <v>63.0</v>
      </c>
      <c r="E811" s="52" t="s">
        <v>25</v>
      </c>
      <c r="F811" s="52" t="s">
        <v>26</v>
      </c>
      <c r="G811" s="53"/>
    </row>
    <row r="812">
      <c r="A812" s="49">
        <v>44493.01102556713</v>
      </c>
      <c r="B812" s="50">
        <v>44493.1359995486</v>
      </c>
      <c r="C812" s="51">
        <v>1.024</v>
      </c>
      <c r="D812" s="51">
        <v>63.0</v>
      </c>
      <c r="E812" s="52" t="s">
        <v>25</v>
      </c>
      <c r="F812" s="52" t="s">
        <v>26</v>
      </c>
      <c r="G812" s="53"/>
    </row>
    <row r="813">
      <c r="A813" s="49">
        <v>44493.02146012732</v>
      </c>
      <c r="B813" s="50">
        <v>44493.1464204745</v>
      </c>
      <c r="C813" s="51">
        <v>1.023</v>
      </c>
      <c r="D813" s="51">
        <v>63.0</v>
      </c>
      <c r="E813" s="52" t="s">
        <v>25</v>
      </c>
      <c r="F813" s="52" t="s">
        <v>26</v>
      </c>
      <c r="G813" s="53"/>
    </row>
    <row r="814">
      <c r="A814" s="49">
        <v>44493.03186523148</v>
      </c>
      <c r="B814" s="50">
        <v>44493.1568416782</v>
      </c>
      <c r="C814" s="51">
        <v>1.024</v>
      </c>
      <c r="D814" s="51">
        <v>63.0</v>
      </c>
      <c r="E814" s="52" t="s">
        <v>25</v>
      </c>
      <c r="F814" s="52" t="s">
        <v>26</v>
      </c>
      <c r="G814" s="53"/>
    </row>
    <row r="815">
      <c r="A815" s="49">
        <v>44493.04229810185</v>
      </c>
      <c r="B815" s="50">
        <v>44493.1672747916</v>
      </c>
      <c r="C815" s="51">
        <v>1.024</v>
      </c>
      <c r="D815" s="51">
        <v>63.0</v>
      </c>
      <c r="E815" s="52" t="s">
        <v>25</v>
      </c>
      <c r="F815" s="52" t="s">
        <v>26</v>
      </c>
      <c r="G815" s="53"/>
    </row>
    <row r="816">
      <c r="A816" s="49">
        <v>44493.052724340276</v>
      </c>
      <c r="B816" s="50">
        <v>44493.1776957176</v>
      </c>
      <c r="C816" s="51">
        <v>1.023</v>
      </c>
      <c r="D816" s="51">
        <v>63.0</v>
      </c>
      <c r="E816" s="52" t="s">
        <v>25</v>
      </c>
      <c r="F816" s="52" t="s">
        <v>26</v>
      </c>
      <c r="G816" s="53"/>
    </row>
    <row r="817">
      <c r="A817" s="49">
        <v>44493.063145775464</v>
      </c>
      <c r="B817" s="50">
        <v>44493.1881162615</v>
      </c>
      <c r="C817" s="51">
        <v>1.023</v>
      </c>
      <c r="D817" s="51">
        <v>63.0</v>
      </c>
      <c r="E817" s="52" t="s">
        <v>25</v>
      </c>
      <c r="F817" s="52" t="s">
        <v>26</v>
      </c>
      <c r="G817" s="53"/>
    </row>
    <row r="818">
      <c r="A818" s="49">
        <v>44493.07357436343</v>
      </c>
      <c r="B818" s="50">
        <v>44493.1985495138</v>
      </c>
      <c r="C818" s="51">
        <v>1.024</v>
      </c>
      <c r="D818" s="51">
        <v>63.0</v>
      </c>
      <c r="E818" s="52" t="s">
        <v>25</v>
      </c>
      <c r="F818" s="52" t="s">
        <v>26</v>
      </c>
      <c r="G818" s="53"/>
    </row>
    <row r="819">
      <c r="A819" s="49">
        <v>44493.083990196756</v>
      </c>
      <c r="B819" s="50">
        <v>44493.2089706481</v>
      </c>
      <c r="C819" s="51">
        <v>1.025</v>
      </c>
      <c r="D819" s="51">
        <v>63.0</v>
      </c>
      <c r="E819" s="52" t="s">
        <v>25</v>
      </c>
      <c r="F819" s="52" t="s">
        <v>26</v>
      </c>
      <c r="G819" s="53"/>
    </row>
    <row r="820">
      <c r="A820" s="49">
        <v>44493.0944181713</v>
      </c>
      <c r="B820" s="50">
        <v>44493.2193920486</v>
      </c>
      <c r="C820" s="51">
        <v>1.024</v>
      </c>
      <c r="D820" s="51">
        <v>63.0</v>
      </c>
      <c r="E820" s="52" t="s">
        <v>25</v>
      </c>
      <c r="F820" s="52" t="s">
        <v>26</v>
      </c>
      <c r="G820" s="53"/>
    </row>
    <row r="821">
      <c r="A821" s="49">
        <v>44493.104842581015</v>
      </c>
      <c r="B821" s="50">
        <v>44493.2298136458</v>
      </c>
      <c r="C821" s="51">
        <v>1.024</v>
      </c>
      <c r="D821" s="51">
        <v>63.0</v>
      </c>
      <c r="E821" s="52" t="s">
        <v>25</v>
      </c>
      <c r="F821" s="52" t="s">
        <v>26</v>
      </c>
      <c r="G821" s="53"/>
    </row>
    <row r="822">
      <c r="A822" s="49">
        <v>44493.1152597801</v>
      </c>
      <c r="B822" s="50">
        <v>44493.240234375</v>
      </c>
      <c r="C822" s="51">
        <v>1.024</v>
      </c>
      <c r="D822" s="51">
        <v>63.0</v>
      </c>
      <c r="E822" s="52" t="s">
        <v>25</v>
      </c>
      <c r="F822" s="52" t="s">
        <v>26</v>
      </c>
      <c r="G822" s="53"/>
    </row>
    <row r="823">
      <c r="A823" s="49">
        <v>44493.12568221065</v>
      </c>
      <c r="B823" s="50">
        <v>44493.2506568634</v>
      </c>
      <c r="C823" s="51">
        <v>1.023</v>
      </c>
      <c r="D823" s="51">
        <v>63.0</v>
      </c>
      <c r="E823" s="52" t="s">
        <v>25</v>
      </c>
      <c r="F823" s="52" t="s">
        <v>26</v>
      </c>
      <c r="G823" s="53"/>
    </row>
    <row r="824">
      <c r="A824" s="49">
        <v>44493.13610520834</v>
      </c>
      <c r="B824" s="50">
        <v>44493.261077581</v>
      </c>
      <c r="C824" s="51">
        <v>1.024</v>
      </c>
      <c r="D824" s="51">
        <v>63.0</v>
      </c>
      <c r="E824" s="52" t="s">
        <v>25</v>
      </c>
      <c r="F824" s="52" t="s">
        <v>26</v>
      </c>
      <c r="G824" s="53"/>
    </row>
    <row r="825">
      <c r="A825" s="49">
        <v>44493.1465241088</v>
      </c>
      <c r="B825" s="50">
        <v>44493.2714980787</v>
      </c>
      <c r="C825" s="51">
        <v>1.024</v>
      </c>
      <c r="D825" s="51">
        <v>63.0</v>
      </c>
      <c r="E825" s="52" t="s">
        <v>25</v>
      </c>
      <c r="F825" s="52" t="s">
        <v>26</v>
      </c>
      <c r="G825" s="53"/>
    </row>
    <row r="826">
      <c r="A826" s="49">
        <v>44493.15694256945</v>
      </c>
      <c r="B826" s="50">
        <v>44493.2819178009</v>
      </c>
      <c r="C826" s="51">
        <v>1.025</v>
      </c>
      <c r="D826" s="51">
        <v>63.0</v>
      </c>
      <c r="E826" s="52" t="s">
        <v>25</v>
      </c>
      <c r="F826" s="52" t="s">
        <v>26</v>
      </c>
      <c r="G826" s="53"/>
    </row>
    <row r="827">
      <c r="A827" s="49">
        <v>44493.16736263889</v>
      </c>
      <c r="B827" s="50">
        <v>44493.2923374768</v>
      </c>
      <c r="C827" s="51">
        <v>1.024</v>
      </c>
      <c r="D827" s="51">
        <v>63.0</v>
      </c>
      <c r="E827" s="52" t="s">
        <v>25</v>
      </c>
      <c r="F827" s="52" t="s">
        <v>26</v>
      </c>
      <c r="G827" s="53"/>
    </row>
    <row r="828">
      <c r="A828" s="49">
        <v>44493.17779394676</v>
      </c>
      <c r="B828" s="50">
        <v>44493.3027709838</v>
      </c>
      <c r="C828" s="51">
        <v>1.023</v>
      </c>
      <c r="D828" s="51">
        <v>63.0</v>
      </c>
      <c r="E828" s="52" t="s">
        <v>25</v>
      </c>
      <c r="F828" s="52" t="s">
        <v>26</v>
      </c>
      <c r="G828" s="53"/>
    </row>
    <row r="829">
      <c r="A829" s="49">
        <v>44493.18821872685</v>
      </c>
      <c r="B829" s="50">
        <v>44493.3131904051</v>
      </c>
      <c r="C829" s="51">
        <v>1.024</v>
      </c>
      <c r="D829" s="51">
        <v>63.0</v>
      </c>
      <c r="E829" s="52" t="s">
        <v>25</v>
      </c>
      <c r="F829" s="52" t="s">
        <v>26</v>
      </c>
      <c r="G829" s="53"/>
    </row>
    <row r="830">
      <c r="A830" s="49">
        <v>44493.19863895833</v>
      </c>
      <c r="B830" s="50">
        <v>44493.3236095601</v>
      </c>
      <c r="C830" s="51">
        <v>1.024</v>
      </c>
      <c r="D830" s="51">
        <v>63.0</v>
      </c>
      <c r="E830" s="52" t="s">
        <v>25</v>
      </c>
      <c r="F830" s="52" t="s">
        <v>26</v>
      </c>
      <c r="G830" s="53"/>
    </row>
    <row r="831">
      <c r="A831" s="49">
        <v>44493.20905824074</v>
      </c>
      <c r="B831" s="50">
        <v>44493.3340302893</v>
      </c>
      <c r="C831" s="51">
        <v>1.024</v>
      </c>
      <c r="D831" s="51">
        <v>64.0</v>
      </c>
      <c r="E831" s="52" t="s">
        <v>25</v>
      </c>
      <c r="F831" s="52" t="s">
        <v>26</v>
      </c>
      <c r="G831" s="53"/>
    </row>
    <row r="832">
      <c r="A832" s="49">
        <v>44493.21948540509</v>
      </c>
      <c r="B832" s="50">
        <v>44493.3444639814</v>
      </c>
      <c r="C832" s="51">
        <v>1.023</v>
      </c>
      <c r="D832" s="51">
        <v>63.0</v>
      </c>
      <c r="E832" s="52" t="s">
        <v>25</v>
      </c>
      <c r="F832" s="52" t="s">
        <v>26</v>
      </c>
      <c r="G832" s="53"/>
    </row>
    <row r="833">
      <c r="A833" s="49">
        <v>44493.22992449074</v>
      </c>
      <c r="B833" s="50">
        <v>44493.3548985532</v>
      </c>
      <c r="C833" s="51">
        <v>1.023</v>
      </c>
      <c r="D833" s="51">
        <v>63.0</v>
      </c>
      <c r="E833" s="52" t="s">
        <v>25</v>
      </c>
      <c r="F833" s="52" t="s">
        <v>26</v>
      </c>
      <c r="G833" s="53"/>
    </row>
    <row r="834">
      <c r="A834" s="49">
        <v>44493.24035800926</v>
      </c>
      <c r="B834" s="50">
        <v>44493.3653313194</v>
      </c>
      <c r="C834" s="51">
        <v>1.024</v>
      </c>
      <c r="D834" s="51">
        <v>64.0</v>
      </c>
      <c r="E834" s="52" t="s">
        <v>25</v>
      </c>
      <c r="F834" s="52" t="s">
        <v>26</v>
      </c>
      <c r="G834" s="53"/>
    </row>
    <row r="835">
      <c r="A835" s="49">
        <v>44493.25077895833</v>
      </c>
      <c r="B835" s="50">
        <v>44493.3757506365</v>
      </c>
      <c r="C835" s="51">
        <v>1.024</v>
      </c>
      <c r="D835" s="51">
        <v>64.0</v>
      </c>
      <c r="E835" s="52" t="s">
        <v>25</v>
      </c>
      <c r="F835" s="52" t="s">
        <v>26</v>
      </c>
      <c r="G835" s="53"/>
    </row>
    <row r="836">
      <c r="A836" s="49">
        <v>44493.26119222222</v>
      </c>
      <c r="B836" s="50">
        <v>44493.3861701273</v>
      </c>
      <c r="C836" s="51">
        <v>1.024</v>
      </c>
      <c r="D836" s="51">
        <v>64.0</v>
      </c>
      <c r="E836" s="52" t="s">
        <v>25</v>
      </c>
      <c r="F836" s="52" t="s">
        <v>26</v>
      </c>
      <c r="G836" s="53"/>
    </row>
    <row r="837">
      <c r="A837" s="49">
        <v>44493.2716178125</v>
      </c>
      <c r="B837" s="50">
        <v>44493.3965894907</v>
      </c>
      <c r="C837" s="51">
        <v>1.024</v>
      </c>
      <c r="D837" s="51">
        <v>64.0</v>
      </c>
      <c r="E837" s="52" t="s">
        <v>25</v>
      </c>
      <c r="F837" s="52" t="s">
        <v>26</v>
      </c>
      <c r="G837" s="53"/>
    </row>
    <row r="838">
      <c r="A838" s="49">
        <v>44493.28203570602</v>
      </c>
      <c r="B838" s="50">
        <v>44493.4070091319</v>
      </c>
      <c r="C838" s="51">
        <v>1.024</v>
      </c>
      <c r="D838" s="51">
        <v>64.0</v>
      </c>
      <c r="E838" s="52" t="s">
        <v>25</v>
      </c>
      <c r="F838" s="52" t="s">
        <v>26</v>
      </c>
      <c r="G838" s="53"/>
    </row>
    <row r="839">
      <c r="A839" s="49">
        <v>44493.29246092592</v>
      </c>
      <c r="B839" s="50">
        <v>44493.4174297222</v>
      </c>
      <c r="C839" s="51">
        <v>1.025</v>
      </c>
      <c r="D839" s="51">
        <v>64.0</v>
      </c>
      <c r="E839" s="52" t="s">
        <v>25</v>
      </c>
      <c r="F839" s="52" t="s">
        <v>26</v>
      </c>
      <c r="G839" s="53"/>
    </row>
    <row r="840">
      <c r="A840" s="49">
        <v>44493.30287817129</v>
      </c>
      <c r="B840" s="50">
        <v>44493.4278502662</v>
      </c>
      <c r="C840" s="51">
        <v>1.025</v>
      </c>
      <c r="D840" s="51">
        <v>64.0</v>
      </c>
      <c r="E840" s="52" t="s">
        <v>25</v>
      </c>
      <c r="F840" s="52" t="s">
        <v>26</v>
      </c>
      <c r="G840" s="53"/>
    </row>
    <row r="841">
      <c r="A841" s="49">
        <v>44493.31331650463</v>
      </c>
      <c r="B841" s="50">
        <v>44493.4382943287</v>
      </c>
      <c r="C841" s="51">
        <v>1.024</v>
      </c>
      <c r="D841" s="51">
        <v>64.0</v>
      </c>
      <c r="E841" s="52" t="s">
        <v>25</v>
      </c>
      <c r="F841" s="52" t="s">
        <v>26</v>
      </c>
      <c r="G841" s="53"/>
    </row>
    <row r="842">
      <c r="A842" s="49">
        <v>44493.32374582176</v>
      </c>
      <c r="B842" s="50">
        <v>44493.4487162615</v>
      </c>
      <c r="C842" s="51">
        <v>1.023</v>
      </c>
      <c r="D842" s="51">
        <v>64.0</v>
      </c>
      <c r="E842" s="52" t="s">
        <v>25</v>
      </c>
      <c r="F842" s="52" t="s">
        <v>26</v>
      </c>
      <c r="G842" s="53"/>
    </row>
    <row r="843">
      <c r="A843" s="49">
        <v>44493.33417315972</v>
      </c>
      <c r="B843" s="50">
        <v>44493.4591388541</v>
      </c>
      <c r="C843" s="51">
        <v>1.024</v>
      </c>
      <c r="D843" s="51">
        <v>64.0</v>
      </c>
      <c r="E843" s="52" t="s">
        <v>25</v>
      </c>
      <c r="F843" s="52" t="s">
        <v>26</v>
      </c>
      <c r="G843" s="53"/>
    </row>
    <row r="844">
      <c r="A844" s="49">
        <v>44493.34458379629</v>
      </c>
      <c r="B844" s="50">
        <v>44493.4695616319</v>
      </c>
      <c r="C844" s="51">
        <v>1.023</v>
      </c>
      <c r="D844" s="51">
        <v>64.0</v>
      </c>
      <c r="E844" s="52" t="s">
        <v>25</v>
      </c>
      <c r="F844" s="52" t="s">
        <v>26</v>
      </c>
      <c r="G844" s="53"/>
    </row>
    <row r="845">
      <c r="A845" s="49">
        <v>44493.35501252315</v>
      </c>
      <c r="B845" s="50">
        <v>44493.4799828588</v>
      </c>
      <c r="C845" s="51">
        <v>1.024</v>
      </c>
      <c r="D845" s="51">
        <v>64.0</v>
      </c>
      <c r="E845" s="52" t="s">
        <v>25</v>
      </c>
      <c r="F845" s="52" t="s">
        <v>26</v>
      </c>
      <c r="G845" s="53"/>
    </row>
    <row r="846">
      <c r="A846" s="49">
        <v>44493.36543435185</v>
      </c>
      <c r="B846" s="50">
        <v>44493.490402581</v>
      </c>
      <c r="C846" s="51">
        <v>1.024</v>
      </c>
      <c r="D846" s="51">
        <v>64.0</v>
      </c>
      <c r="E846" s="52" t="s">
        <v>25</v>
      </c>
      <c r="F846" s="52" t="s">
        <v>26</v>
      </c>
      <c r="G846" s="53"/>
    </row>
    <row r="847">
      <c r="A847" s="49">
        <v>44493.375864305555</v>
      </c>
      <c r="B847" s="50">
        <v>44493.5008351273</v>
      </c>
      <c r="C847" s="51">
        <v>1.024</v>
      </c>
      <c r="D847" s="51">
        <v>64.0</v>
      </c>
      <c r="E847" s="52" t="s">
        <v>25</v>
      </c>
      <c r="F847" s="52" t="s">
        <v>26</v>
      </c>
      <c r="G847" s="53"/>
    </row>
    <row r="848">
      <c r="A848" s="49">
        <v>44493.386282175925</v>
      </c>
      <c r="B848" s="50">
        <v>44493.5112567129</v>
      </c>
      <c r="C848" s="51">
        <v>1.024</v>
      </c>
      <c r="D848" s="51">
        <v>64.0</v>
      </c>
      <c r="E848" s="52" t="s">
        <v>25</v>
      </c>
      <c r="F848" s="52" t="s">
        <v>26</v>
      </c>
      <c r="G848" s="53"/>
    </row>
    <row r="849">
      <c r="A849" s="49">
        <v>44493.39672452546</v>
      </c>
      <c r="B849" s="50">
        <v>44493.5217008912</v>
      </c>
      <c r="C849" s="51">
        <v>1.024</v>
      </c>
      <c r="D849" s="51">
        <v>64.0</v>
      </c>
      <c r="E849" s="52" t="s">
        <v>25</v>
      </c>
      <c r="F849" s="52" t="s">
        <v>26</v>
      </c>
      <c r="G849" s="53"/>
    </row>
    <row r="850">
      <c r="A850" s="49">
        <v>44493.407157187496</v>
      </c>
      <c r="B850" s="50">
        <v>44493.5321212384</v>
      </c>
      <c r="C850" s="51">
        <v>1.024</v>
      </c>
      <c r="D850" s="51">
        <v>64.0</v>
      </c>
      <c r="E850" s="52" t="s">
        <v>25</v>
      </c>
      <c r="F850" s="52" t="s">
        <v>26</v>
      </c>
      <c r="G850" s="53"/>
    </row>
    <row r="851">
      <c r="A851" s="49">
        <v>44493.4175746875</v>
      </c>
      <c r="B851" s="50">
        <v>44493.542542743</v>
      </c>
      <c r="C851" s="51">
        <v>1.024</v>
      </c>
      <c r="D851" s="51">
        <v>64.0</v>
      </c>
      <c r="E851" s="52" t="s">
        <v>25</v>
      </c>
      <c r="F851" s="52" t="s">
        <v>26</v>
      </c>
      <c r="G851" s="53"/>
    </row>
    <row r="852">
      <c r="A852" s="49">
        <v>44493.427988807874</v>
      </c>
      <c r="B852" s="50">
        <v>44493.5529629861</v>
      </c>
      <c r="C852" s="51">
        <v>1.024</v>
      </c>
      <c r="D852" s="51">
        <v>64.0</v>
      </c>
      <c r="E852" s="52" t="s">
        <v>25</v>
      </c>
      <c r="F852" s="52" t="s">
        <v>26</v>
      </c>
      <c r="G852" s="53"/>
    </row>
    <row r="853">
      <c r="A853" s="49">
        <v>44493.43841347222</v>
      </c>
      <c r="B853" s="50">
        <v>44493.5633838194</v>
      </c>
      <c r="C853" s="51">
        <v>1.024</v>
      </c>
      <c r="D853" s="51">
        <v>64.0</v>
      </c>
      <c r="E853" s="52" t="s">
        <v>25</v>
      </c>
      <c r="F853" s="52" t="s">
        <v>26</v>
      </c>
      <c r="G853" s="53"/>
    </row>
    <row r="854">
      <c r="A854" s="49">
        <v>44493.44883167824</v>
      </c>
      <c r="B854" s="50">
        <v>44493.5738063657</v>
      </c>
      <c r="C854" s="51">
        <v>1.023</v>
      </c>
      <c r="D854" s="51">
        <v>64.0</v>
      </c>
      <c r="E854" s="52" t="s">
        <v>25</v>
      </c>
      <c r="F854" s="52" t="s">
        <v>26</v>
      </c>
      <c r="G854" s="53"/>
    </row>
    <row r="855">
      <c r="A855" s="49">
        <v>44493.45924884259</v>
      </c>
      <c r="B855" s="50">
        <v>44493.5842264236</v>
      </c>
      <c r="C855" s="51">
        <v>1.023</v>
      </c>
      <c r="D855" s="51">
        <v>64.0</v>
      </c>
      <c r="E855" s="52" t="s">
        <v>25</v>
      </c>
      <c r="F855" s="52" t="s">
        <v>26</v>
      </c>
      <c r="G855" s="53"/>
    </row>
    <row r="856">
      <c r="A856" s="49">
        <v>44493.4696758912</v>
      </c>
      <c r="B856" s="50">
        <v>44493.5946466319</v>
      </c>
      <c r="C856" s="51">
        <v>1.024</v>
      </c>
      <c r="D856" s="51">
        <v>64.0</v>
      </c>
      <c r="E856" s="52" t="s">
        <v>25</v>
      </c>
      <c r="F856" s="52" t="s">
        <v>26</v>
      </c>
      <c r="G856" s="53"/>
    </row>
    <row r="857">
      <c r="A857" s="49">
        <v>44493.48009890046</v>
      </c>
      <c r="B857" s="50">
        <v>44493.605069074</v>
      </c>
      <c r="C857" s="51">
        <v>1.024</v>
      </c>
      <c r="D857" s="51">
        <v>64.0</v>
      </c>
      <c r="E857" s="52" t="s">
        <v>25</v>
      </c>
      <c r="F857" s="52" t="s">
        <v>26</v>
      </c>
      <c r="G857" s="53"/>
    </row>
    <row r="858">
      <c r="A858" s="49">
        <v>44493.49052162037</v>
      </c>
      <c r="B858" s="50">
        <v>44493.6154903587</v>
      </c>
      <c r="C858" s="51">
        <v>1.024</v>
      </c>
      <c r="D858" s="51">
        <v>64.0</v>
      </c>
      <c r="E858" s="52" t="s">
        <v>25</v>
      </c>
      <c r="F858" s="52" t="s">
        <v>26</v>
      </c>
      <c r="G858" s="53"/>
    </row>
    <row r="859">
      <c r="A859" s="49">
        <v>44493.500936296296</v>
      </c>
      <c r="B859" s="50">
        <v>44493.6259102777</v>
      </c>
      <c r="C859" s="51">
        <v>1.024</v>
      </c>
      <c r="D859" s="51">
        <v>64.0</v>
      </c>
      <c r="E859" s="52" t="s">
        <v>25</v>
      </c>
      <c r="F859" s="52" t="s">
        <v>26</v>
      </c>
      <c r="G859" s="53"/>
    </row>
    <row r="860">
      <c r="A860" s="49">
        <v>44493.5114259375</v>
      </c>
      <c r="B860" s="50">
        <v>44493.6363323148</v>
      </c>
      <c r="C860" s="51">
        <v>1.024</v>
      </c>
      <c r="D860" s="51">
        <v>64.0</v>
      </c>
      <c r="E860" s="52" t="s">
        <v>25</v>
      </c>
      <c r="F860" s="52" t="s">
        <v>26</v>
      </c>
      <c r="G860" s="53"/>
    </row>
    <row r="861">
      <c r="A861" s="49">
        <v>44493.521784930555</v>
      </c>
      <c r="B861" s="50">
        <v>44493.646753993</v>
      </c>
      <c r="C861" s="51">
        <v>1.024</v>
      </c>
      <c r="D861" s="51">
        <v>64.0</v>
      </c>
      <c r="E861" s="52" t="s">
        <v>25</v>
      </c>
      <c r="F861" s="52" t="s">
        <v>26</v>
      </c>
      <c r="G861" s="53"/>
    </row>
    <row r="862">
      <c r="A862" s="49">
        <v>44493.53220008102</v>
      </c>
      <c r="B862" s="50">
        <v>44493.6571765393</v>
      </c>
      <c r="C862" s="51">
        <v>1.025</v>
      </c>
      <c r="D862" s="51">
        <v>64.0</v>
      </c>
      <c r="E862" s="52" t="s">
        <v>25</v>
      </c>
      <c r="F862" s="52" t="s">
        <v>26</v>
      </c>
      <c r="G862" s="53"/>
    </row>
    <row r="863">
      <c r="A863" s="49">
        <v>44493.542625891205</v>
      </c>
      <c r="B863" s="50">
        <v>44493.667595625</v>
      </c>
      <c r="C863" s="51">
        <v>1.024</v>
      </c>
      <c r="D863" s="51">
        <v>64.0</v>
      </c>
      <c r="E863" s="52" t="s">
        <v>25</v>
      </c>
      <c r="F863" s="52" t="s">
        <v>26</v>
      </c>
      <c r="G863" s="53"/>
    </row>
    <row r="864">
      <c r="A864" s="49">
        <v>44493.55304528935</v>
      </c>
      <c r="B864" s="50">
        <v>44493.6780172106</v>
      </c>
      <c r="C864" s="51">
        <v>1.024</v>
      </c>
      <c r="D864" s="51">
        <v>64.0</v>
      </c>
      <c r="E864" s="52" t="s">
        <v>25</v>
      </c>
      <c r="F864" s="52" t="s">
        <v>26</v>
      </c>
      <c r="G864" s="53"/>
    </row>
    <row r="865">
      <c r="A865" s="49">
        <v>44493.56346261574</v>
      </c>
      <c r="B865" s="50">
        <v>44493.6884387152</v>
      </c>
      <c r="C865" s="51">
        <v>1.023</v>
      </c>
      <c r="D865" s="51">
        <v>64.0</v>
      </c>
      <c r="E865" s="52" t="s">
        <v>25</v>
      </c>
      <c r="F865" s="52" t="s">
        <v>26</v>
      </c>
      <c r="G865" s="53"/>
    </row>
    <row r="866">
      <c r="A866" s="49">
        <v>44493.573890405096</v>
      </c>
      <c r="B866" s="50">
        <v>44493.6988599537</v>
      </c>
      <c r="C866" s="51">
        <v>1.022</v>
      </c>
      <c r="D866" s="51">
        <v>64.0</v>
      </c>
      <c r="E866" s="52" t="s">
        <v>25</v>
      </c>
      <c r="F866" s="52" t="s">
        <v>26</v>
      </c>
      <c r="G866" s="53"/>
    </row>
    <row r="867">
      <c r="A867" s="49">
        <v>44493.58433783565</v>
      </c>
      <c r="B867" s="50">
        <v>44493.709292662</v>
      </c>
      <c r="C867" s="51">
        <v>1.023</v>
      </c>
      <c r="D867" s="51">
        <v>64.0</v>
      </c>
      <c r="E867" s="52" t="s">
        <v>25</v>
      </c>
      <c r="F867" s="52" t="s">
        <v>26</v>
      </c>
      <c r="G867" s="53"/>
    </row>
    <row r="868">
      <c r="A868" s="49">
        <v>44493.59473575231</v>
      </c>
      <c r="B868" s="50">
        <v>44493.7197148495</v>
      </c>
      <c r="C868" s="51">
        <v>1.023</v>
      </c>
      <c r="D868" s="51">
        <v>64.0</v>
      </c>
      <c r="E868" s="52" t="s">
        <v>25</v>
      </c>
      <c r="F868" s="52" t="s">
        <v>26</v>
      </c>
      <c r="G868" s="53"/>
    </row>
    <row r="869">
      <c r="A869" s="49">
        <v>44493.605166423615</v>
      </c>
      <c r="B869" s="50">
        <v>44493.7301356828</v>
      </c>
      <c r="C869" s="51">
        <v>1.023</v>
      </c>
      <c r="D869" s="51">
        <v>64.0</v>
      </c>
      <c r="E869" s="52" t="s">
        <v>25</v>
      </c>
      <c r="F869" s="52" t="s">
        <v>26</v>
      </c>
      <c r="G869" s="53"/>
    </row>
    <row r="870">
      <c r="A870" s="49">
        <v>44493.61559407407</v>
      </c>
      <c r="B870" s="50">
        <v>44493.7405676388</v>
      </c>
      <c r="C870" s="51">
        <v>1.023</v>
      </c>
      <c r="D870" s="51">
        <v>64.0</v>
      </c>
      <c r="E870" s="52" t="s">
        <v>25</v>
      </c>
      <c r="F870" s="52" t="s">
        <v>26</v>
      </c>
      <c r="G870" s="53"/>
    </row>
    <row r="871">
      <c r="A871" s="49">
        <v>44493.626012673616</v>
      </c>
      <c r="B871" s="50">
        <v>44493.7509891782</v>
      </c>
      <c r="C871" s="51">
        <v>1.023</v>
      </c>
      <c r="D871" s="51">
        <v>64.0</v>
      </c>
      <c r="E871" s="52" t="s">
        <v>25</v>
      </c>
      <c r="F871" s="52" t="s">
        <v>26</v>
      </c>
      <c r="G871" s="53"/>
    </row>
    <row r="872">
      <c r="A872" s="49">
        <v>44493.636432604166</v>
      </c>
      <c r="B872" s="50">
        <v>44493.7614106134</v>
      </c>
      <c r="C872" s="51">
        <v>1.023</v>
      </c>
      <c r="D872" s="51">
        <v>64.0</v>
      </c>
      <c r="E872" s="52" t="s">
        <v>25</v>
      </c>
      <c r="F872" s="52" t="s">
        <v>26</v>
      </c>
      <c r="G872" s="53"/>
    </row>
    <row r="873">
      <c r="A873" s="49">
        <v>44493.64685278935</v>
      </c>
      <c r="B873" s="50">
        <v>44493.7718307407</v>
      </c>
      <c r="C873" s="51">
        <v>1.023</v>
      </c>
      <c r="D873" s="51">
        <v>64.0</v>
      </c>
      <c r="E873" s="52" t="s">
        <v>25</v>
      </c>
      <c r="F873" s="52" t="s">
        <v>26</v>
      </c>
      <c r="G873" s="53"/>
    </row>
    <row r="874">
      <c r="A874" s="49">
        <v>44493.657280995365</v>
      </c>
      <c r="B874" s="50">
        <v>44493.7822530208</v>
      </c>
      <c r="C874" s="51">
        <v>1.023</v>
      </c>
      <c r="D874" s="51">
        <v>64.0</v>
      </c>
      <c r="E874" s="52" t="s">
        <v>25</v>
      </c>
      <c r="F874" s="52" t="s">
        <v>26</v>
      </c>
      <c r="G874" s="53"/>
    </row>
    <row r="875">
      <c r="A875" s="49">
        <v>44493.66769752315</v>
      </c>
      <c r="B875" s="50">
        <v>44493.7926737268</v>
      </c>
      <c r="C875" s="51">
        <v>1.023</v>
      </c>
      <c r="D875" s="51">
        <v>64.0</v>
      </c>
      <c r="E875" s="52" t="s">
        <v>25</v>
      </c>
      <c r="F875" s="52" t="s">
        <v>26</v>
      </c>
      <c r="G875" s="53"/>
    </row>
    <row r="876">
      <c r="A876" s="49">
        <v>44493.67813060185</v>
      </c>
      <c r="B876" s="50">
        <v>44493.8030958333</v>
      </c>
      <c r="C876" s="51">
        <v>1.023</v>
      </c>
      <c r="D876" s="51">
        <v>64.0</v>
      </c>
      <c r="E876" s="52" t="s">
        <v>25</v>
      </c>
      <c r="F876" s="52" t="s">
        <v>26</v>
      </c>
      <c r="G876" s="53"/>
    </row>
    <row r="877">
      <c r="A877" s="49">
        <v>44493.68857982639</v>
      </c>
      <c r="B877" s="50">
        <v>44493.8135526967</v>
      </c>
      <c r="C877" s="51">
        <v>1.024</v>
      </c>
      <c r="D877" s="51">
        <v>64.0</v>
      </c>
      <c r="E877" s="52" t="s">
        <v>25</v>
      </c>
      <c r="F877" s="52" t="s">
        <v>26</v>
      </c>
      <c r="G877" s="53"/>
    </row>
    <row r="878">
      <c r="A878" s="49">
        <v>44493.6990096875</v>
      </c>
      <c r="B878" s="50">
        <v>44493.8239857754</v>
      </c>
      <c r="C878" s="51">
        <v>1.023</v>
      </c>
      <c r="D878" s="51">
        <v>64.0</v>
      </c>
      <c r="E878" s="52" t="s">
        <v>25</v>
      </c>
      <c r="F878" s="52" t="s">
        <v>26</v>
      </c>
      <c r="G878" s="53"/>
    </row>
    <row r="879">
      <c r="A879" s="49">
        <v>44493.70942496527</v>
      </c>
      <c r="B879" s="50">
        <v>44493.8344065856</v>
      </c>
      <c r="C879" s="51">
        <v>1.023</v>
      </c>
      <c r="D879" s="51">
        <v>64.0</v>
      </c>
      <c r="E879" s="52" t="s">
        <v>25</v>
      </c>
      <c r="F879" s="52" t="s">
        <v>26</v>
      </c>
      <c r="G879" s="53"/>
    </row>
    <row r="880">
      <c r="A880" s="49">
        <v>44493.719859375</v>
      </c>
      <c r="B880" s="50">
        <v>44493.844827118</v>
      </c>
      <c r="C880" s="51">
        <v>1.022</v>
      </c>
      <c r="D880" s="51">
        <v>64.0</v>
      </c>
      <c r="E880" s="52" t="s">
        <v>25</v>
      </c>
      <c r="F880" s="52" t="s">
        <v>26</v>
      </c>
      <c r="G880" s="53"/>
    </row>
    <row r="881">
      <c r="A881" s="49">
        <v>44493.73028930556</v>
      </c>
      <c r="B881" s="50">
        <v>44493.8552471296</v>
      </c>
      <c r="C881" s="51">
        <v>1.022</v>
      </c>
      <c r="D881" s="51">
        <v>64.0</v>
      </c>
      <c r="E881" s="52" t="s">
        <v>25</v>
      </c>
      <c r="F881" s="52" t="s">
        <v>26</v>
      </c>
      <c r="G881" s="53"/>
    </row>
    <row r="882">
      <c r="A882" s="49">
        <v>44493.74069324074</v>
      </c>
      <c r="B882" s="50">
        <v>44493.8656687847</v>
      </c>
      <c r="C882" s="51">
        <v>1.023</v>
      </c>
      <c r="D882" s="51">
        <v>65.0</v>
      </c>
      <c r="E882" s="52" t="s">
        <v>25</v>
      </c>
      <c r="F882" s="52" t="s">
        <v>26</v>
      </c>
      <c r="G882" s="53"/>
    </row>
    <row r="883">
      <c r="A883" s="49">
        <v>44493.7511318287</v>
      </c>
      <c r="B883" s="50">
        <v>44493.8761004282</v>
      </c>
      <c r="C883" s="51">
        <v>1.024</v>
      </c>
      <c r="D883" s="51">
        <v>64.0</v>
      </c>
      <c r="E883" s="52" t="s">
        <v>25</v>
      </c>
      <c r="F883" s="52" t="s">
        <v>26</v>
      </c>
      <c r="G883" s="53"/>
    </row>
    <row r="884">
      <c r="A884" s="49">
        <v>44493.76156675926</v>
      </c>
      <c r="B884" s="50">
        <v>44493.8865333564</v>
      </c>
      <c r="C884" s="51">
        <v>1.024</v>
      </c>
      <c r="D884" s="51">
        <v>65.0</v>
      </c>
      <c r="E884" s="52" t="s">
        <v>25</v>
      </c>
      <c r="F884" s="52" t="s">
        <v>26</v>
      </c>
      <c r="G884" s="53"/>
    </row>
    <row r="885">
      <c r="A885" s="49">
        <v>44493.77199835648</v>
      </c>
      <c r="B885" s="50">
        <v>44493.8969772337</v>
      </c>
      <c r="C885" s="51">
        <v>1.023</v>
      </c>
      <c r="D885" s="51">
        <v>65.0</v>
      </c>
      <c r="E885" s="52" t="s">
        <v>25</v>
      </c>
      <c r="F885" s="52" t="s">
        <v>26</v>
      </c>
      <c r="G885" s="53"/>
    </row>
    <row r="886">
      <c r="A886" s="49">
        <v>44493.78243219908</v>
      </c>
      <c r="B886" s="50">
        <v>44493.9073985648</v>
      </c>
      <c r="C886" s="51">
        <v>1.023</v>
      </c>
      <c r="D886" s="51">
        <v>65.0</v>
      </c>
      <c r="E886" s="52" t="s">
        <v>25</v>
      </c>
      <c r="F886" s="52" t="s">
        <v>26</v>
      </c>
      <c r="G886" s="53"/>
    </row>
    <row r="887">
      <c r="A887" s="49">
        <v>44493.79284475694</v>
      </c>
      <c r="B887" s="50">
        <v>44493.917818831</v>
      </c>
      <c r="C887" s="51">
        <v>1.023</v>
      </c>
      <c r="D887" s="51">
        <v>65.0</v>
      </c>
      <c r="E887" s="52" t="s">
        <v>25</v>
      </c>
      <c r="F887" s="52" t="s">
        <v>26</v>
      </c>
      <c r="G887" s="53"/>
    </row>
    <row r="888">
      <c r="A888" s="49">
        <v>44493.80326349537</v>
      </c>
      <c r="B888" s="50">
        <v>44493.9282390046</v>
      </c>
      <c r="C888" s="51">
        <v>1.021</v>
      </c>
      <c r="D888" s="51">
        <v>65.0</v>
      </c>
      <c r="E888" s="52" t="s">
        <v>25</v>
      </c>
      <c r="F888" s="52" t="s">
        <v>26</v>
      </c>
      <c r="G888" s="53"/>
    </row>
    <row r="889">
      <c r="A889" s="49">
        <v>44493.81368417824</v>
      </c>
      <c r="B889" s="50">
        <v>44493.9386591435</v>
      </c>
      <c r="C889" s="51">
        <v>1.021</v>
      </c>
      <c r="D889" s="51">
        <v>65.0</v>
      </c>
      <c r="E889" s="52" t="s">
        <v>25</v>
      </c>
      <c r="F889" s="52" t="s">
        <v>26</v>
      </c>
      <c r="G889" s="53"/>
    </row>
    <row r="890">
      <c r="A890" s="49">
        <v>44493.82410381944</v>
      </c>
      <c r="B890" s="50">
        <v>44493.9490780902</v>
      </c>
      <c r="C890" s="51">
        <v>1.021</v>
      </c>
      <c r="D890" s="51">
        <v>65.0</v>
      </c>
      <c r="E890" s="52" t="s">
        <v>25</v>
      </c>
      <c r="F890" s="52" t="s">
        <v>26</v>
      </c>
      <c r="G890" s="53"/>
    </row>
    <row r="891">
      <c r="A891" s="49">
        <v>44493.83452392361</v>
      </c>
      <c r="B891" s="50">
        <v>44493.9594998495</v>
      </c>
      <c r="C891" s="51">
        <v>1.022</v>
      </c>
      <c r="D891" s="51">
        <v>65.0</v>
      </c>
      <c r="E891" s="52" t="s">
        <v>25</v>
      </c>
      <c r="F891" s="52" t="s">
        <v>26</v>
      </c>
      <c r="G891" s="53"/>
    </row>
    <row r="892">
      <c r="A892" s="49">
        <v>44493.84494736111</v>
      </c>
      <c r="B892" s="50">
        <v>44493.9699310069</v>
      </c>
      <c r="C892" s="51">
        <v>1.022</v>
      </c>
      <c r="D892" s="51">
        <v>65.0</v>
      </c>
      <c r="E892" s="52" t="s">
        <v>25</v>
      </c>
      <c r="F892" s="52" t="s">
        <v>26</v>
      </c>
      <c r="G892" s="53"/>
    </row>
    <row r="893">
      <c r="A893" s="49">
        <v>44493.85538284722</v>
      </c>
      <c r="B893" s="50">
        <v>44493.9803622106</v>
      </c>
      <c r="C893" s="51">
        <v>1.022</v>
      </c>
      <c r="D893" s="51">
        <v>65.0</v>
      </c>
      <c r="E893" s="52" t="s">
        <v>25</v>
      </c>
      <c r="F893" s="52" t="s">
        <v>26</v>
      </c>
      <c r="G893" s="53"/>
    </row>
    <row r="894">
      <c r="A894" s="49">
        <v>44493.86580644676</v>
      </c>
      <c r="B894" s="50">
        <v>44493.9907814814</v>
      </c>
      <c r="C894" s="51">
        <v>1.023</v>
      </c>
      <c r="D894" s="51">
        <v>65.0</v>
      </c>
      <c r="E894" s="52" t="s">
        <v>25</v>
      </c>
      <c r="F894" s="52" t="s">
        <v>26</v>
      </c>
      <c r="G894" s="53"/>
    </row>
    <row r="895">
      <c r="A895" s="49">
        <v>44493.87623439815</v>
      </c>
      <c r="B895" s="50">
        <v>44494.0012030324</v>
      </c>
      <c r="C895" s="51">
        <v>1.022</v>
      </c>
      <c r="D895" s="51">
        <v>65.0</v>
      </c>
      <c r="E895" s="52" t="s">
        <v>25</v>
      </c>
      <c r="F895" s="52" t="s">
        <v>26</v>
      </c>
      <c r="G895" s="53"/>
    </row>
    <row r="896">
      <c r="A896" s="49">
        <v>44493.886652037036</v>
      </c>
      <c r="B896" s="50">
        <v>44494.0116253703</v>
      </c>
      <c r="C896" s="51">
        <v>1.022</v>
      </c>
      <c r="D896" s="51">
        <v>65.0</v>
      </c>
      <c r="E896" s="52" t="s">
        <v>25</v>
      </c>
      <c r="F896" s="52" t="s">
        <v>26</v>
      </c>
      <c r="G896" s="53"/>
    </row>
    <row r="897">
      <c r="A897" s="49">
        <v>44493.89713503473</v>
      </c>
      <c r="B897" s="50">
        <v>44494.0220465972</v>
      </c>
      <c r="C897" s="51">
        <v>1.021</v>
      </c>
      <c r="D897" s="51">
        <v>65.0</v>
      </c>
      <c r="E897" s="52" t="s">
        <v>25</v>
      </c>
      <c r="F897" s="52" t="s">
        <v>26</v>
      </c>
      <c r="G897" s="53"/>
    </row>
    <row r="898">
      <c r="A898" s="49">
        <v>44493.90751295139</v>
      </c>
      <c r="B898" s="50">
        <v>44494.0324805324</v>
      </c>
      <c r="C898" s="51">
        <v>1.02</v>
      </c>
      <c r="D898" s="51">
        <v>65.0</v>
      </c>
      <c r="E898" s="52" t="s">
        <v>25</v>
      </c>
      <c r="F898" s="52" t="s">
        <v>26</v>
      </c>
      <c r="G898" s="53"/>
    </row>
    <row r="899">
      <c r="A899" s="49">
        <v>44493.91794105324</v>
      </c>
      <c r="B899" s="50">
        <v>44494.0429011458</v>
      </c>
      <c r="C899" s="51">
        <v>1.021</v>
      </c>
      <c r="D899" s="51">
        <v>65.0</v>
      </c>
      <c r="E899" s="52" t="s">
        <v>25</v>
      </c>
      <c r="F899" s="52" t="s">
        <v>26</v>
      </c>
      <c r="G899" s="53"/>
    </row>
    <row r="900">
      <c r="A900" s="49">
        <v>44493.92836760417</v>
      </c>
      <c r="B900" s="50">
        <v>44494.0533223611</v>
      </c>
      <c r="C900" s="51">
        <v>1.022</v>
      </c>
      <c r="D900" s="51">
        <v>65.0</v>
      </c>
      <c r="E900" s="52" t="s">
        <v>25</v>
      </c>
      <c r="F900" s="52" t="s">
        <v>26</v>
      </c>
      <c r="G900" s="53"/>
    </row>
    <row r="901">
      <c r="A901" s="49">
        <v>44493.93877962963</v>
      </c>
      <c r="B901" s="50">
        <v>44494.0637442592</v>
      </c>
      <c r="C901" s="51">
        <v>1.021</v>
      </c>
      <c r="D901" s="51">
        <v>65.0</v>
      </c>
      <c r="E901" s="52" t="s">
        <v>25</v>
      </c>
      <c r="F901" s="52" t="s">
        <v>26</v>
      </c>
      <c r="G901" s="53"/>
    </row>
    <row r="902">
      <c r="A902" s="49">
        <v>44493.94921071759</v>
      </c>
      <c r="B902" s="50">
        <v>44494.0741770833</v>
      </c>
      <c r="C902" s="51">
        <v>1.022</v>
      </c>
      <c r="D902" s="51">
        <v>65.0</v>
      </c>
      <c r="E902" s="52" t="s">
        <v>25</v>
      </c>
      <c r="F902" s="52" t="s">
        <v>26</v>
      </c>
      <c r="G902" s="53"/>
    </row>
    <row r="903">
      <c r="A903" s="49">
        <v>44493.95964163194</v>
      </c>
      <c r="B903" s="50">
        <v>44494.0845992361</v>
      </c>
      <c r="C903" s="51">
        <v>1.022</v>
      </c>
      <c r="D903" s="51">
        <v>65.0</v>
      </c>
      <c r="E903" s="52" t="s">
        <v>25</v>
      </c>
      <c r="F903" s="52" t="s">
        <v>26</v>
      </c>
      <c r="G903" s="53"/>
    </row>
    <row r="904">
      <c r="A904" s="49">
        <v>44493.970065960646</v>
      </c>
      <c r="B904" s="50">
        <v>44494.0950203009</v>
      </c>
      <c r="C904" s="51">
        <v>1.022</v>
      </c>
      <c r="D904" s="51">
        <v>65.0</v>
      </c>
      <c r="E904" s="52" t="s">
        <v>25</v>
      </c>
      <c r="F904" s="52" t="s">
        <v>26</v>
      </c>
      <c r="G904" s="53"/>
    </row>
    <row r="905">
      <c r="A905" s="49">
        <v>44493.98048267361</v>
      </c>
      <c r="B905" s="50">
        <v>44494.1054408449</v>
      </c>
      <c r="C905" s="51">
        <v>1.021</v>
      </c>
      <c r="D905" s="51">
        <v>65.0</v>
      </c>
      <c r="E905" s="52" t="s">
        <v>25</v>
      </c>
      <c r="F905" s="52" t="s">
        <v>26</v>
      </c>
      <c r="G905" s="53"/>
    </row>
    <row r="906">
      <c r="A906" s="49">
        <v>44493.99088534722</v>
      </c>
      <c r="B906" s="50">
        <v>44494.1158592824</v>
      </c>
      <c r="C906" s="51">
        <v>1.021</v>
      </c>
      <c r="D906" s="51">
        <v>65.0</v>
      </c>
      <c r="E906" s="52" t="s">
        <v>25</v>
      </c>
      <c r="F906" s="52" t="s">
        <v>26</v>
      </c>
      <c r="G906" s="53"/>
    </row>
    <row r="907">
      <c r="A907" s="49">
        <v>44494.001318599534</v>
      </c>
      <c r="B907" s="50">
        <v>44494.126280868</v>
      </c>
      <c r="C907" s="51">
        <v>1.021</v>
      </c>
      <c r="D907" s="51">
        <v>65.0</v>
      </c>
      <c r="E907" s="52" t="s">
        <v>25</v>
      </c>
      <c r="F907" s="52" t="s">
        <v>26</v>
      </c>
      <c r="G907" s="53"/>
    </row>
    <row r="908">
      <c r="A908" s="49">
        <v>44494.011749108795</v>
      </c>
      <c r="B908" s="50">
        <v>44494.1367139814</v>
      </c>
      <c r="C908" s="51">
        <v>1.021</v>
      </c>
      <c r="D908" s="51">
        <v>65.0</v>
      </c>
      <c r="E908" s="52" t="s">
        <v>25</v>
      </c>
      <c r="F908" s="52" t="s">
        <v>26</v>
      </c>
      <c r="G908" s="53"/>
    </row>
    <row r="909">
      <c r="A909" s="49">
        <v>44494.022176666665</v>
      </c>
      <c r="B909" s="50">
        <v>44494.1471477314</v>
      </c>
      <c r="C909" s="51">
        <v>1.022</v>
      </c>
      <c r="D909" s="51">
        <v>65.0</v>
      </c>
      <c r="E909" s="52" t="s">
        <v>25</v>
      </c>
      <c r="F909" s="52" t="s">
        <v>26</v>
      </c>
      <c r="G909" s="53"/>
    </row>
    <row r="910">
      <c r="A910" s="49">
        <v>44494.03264208333</v>
      </c>
      <c r="B910" s="50">
        <v>44494.1575679861</v>
      </c>
      <c r="C910" s="51">
        <v>1.022</v>
      </c>
      <c r="D910" s="51">
        <v>65.0</v>
      </c>
      <c r="E910" s="52" t="s">
        <v>25</v>
      </c>
      <c r="F910" s="52" t="s">
        <v>26</v>
      </c>
      <c r="G910" s="53"/>
    </row>
    <row r="911">
      <c r="A911" s="49">
        <v>44494.04301741898</v>
      </c>
      <c r="B911" s="50">
        <v>44494.167988831</v>
      </c>
      <c r="C911" s="51">
        <v>1.022</v>
      </c>
      <c r="D911" s="51">
        <v>65.0</v>
      </c>
      <c r="E911" s="52" t="s">
        <v>25</v>
      </c>
      <c r="F911" s="52" t="s">
        <v>26</v>
      </c>
      <c r="G911" s="53"/>
    </row>
    <row r="912">
      <c r="A912" s="49">
        <v>44494.053438159724</v>
      </c>
      <c r="B912" s="50">
        <v>44494.1784097453</v>
      </c>
      <c r="C912" s="51">
        <v>1.022</v>
      </c>
      <c r="D912" s="51">
        <v>65.0</v>
      </c>
      <c r="E912" s="52" t="s">
        <v>25</v>
      </c>
      <c r="F912" s="52" t="s">
        <v>26</v>
      </c>
      <c r="G912" s="53"/>
    </row>
    <row r="913">
      <c r="A913" s="49">
        <v>44494.06386385417</v>
      </c>
      <c r="B913" s="50">
        <v>44494.1888330324</v>
      </c>
      <c r="C913" s="51">
        <v>1.022</v>
      </c>
      <c r="D913" s="51">
        <v>65.0</v>
      </c>
      <c r="E913" s="52" t="s">
        <v>25</v>
      </c>
      <c r="F913" s="52" t="s">
        <v>26</v>
      </c>
      <c r="G913" s="53"/>
    </row>
    <row r="914">
      <c r="A914" s="49">
        <v>44494.074285462964</v>
      </c>
      <c r="B914" s="50">
        <v>44494.1992551041</v>
      </c>
      <c r="C914" s="51">
        <v>1.023</v>
      </c>
      <c r="D914" s="51">
        <v>65.0</v>
      </c>
      <c r="E914" s="52" t="s">
        <v>25</v>
      </c>
      <c r="F914" s="52" t="s">
        <v>26</v>
      </c>
      <c r="G914" s="53"/>
    </row>
    <row r="915">
      <c r="A915" s="49">
        <v>44494.08471171296</v>
      </c>
      <c r="B915" s="50">
        <v>44494.2096756944</v>
      </c>
      <c r="C915" s="51">
        <v>1.022</v>
      </c>
      <c r="D915" s="51">
        <v>65.0</v>
      </c>
      <c r="E915" s="52" t="s">
        <v>25</v>
      </c>
      <c r="F915" s="52" t="s">
        <v>26</v>
      </c>
      <c r="G915" s="53"/>
    </row>
    <row r="916">
      <c r="A916" s="49">
        <v>44494.09512563657</v>
      </c>
      <c r="B916" s="50">
        <v>44494.2200952546</v>
      </c>
      <c r="C916" s="51">
        <v>1.021</v>
      </c>
      <c r="D916" s="51">
        <v>65.0</v>
      </c>
      <c r="E916" s="52" t="s">
        <v>25</v>
      </c>
      <c r="F916" s="52" t="s">
        <v>26</v>
      </c>
      <c r="G916" s="53"/>
    </row>
    <row r="917">
      <c r="A917" s="49">
        <v>44494.105539247685</v>
      </c>
      <c r="B917" s="50">
        <v>44494.2305161805</v>
      </c>
      <c r="C917" s="51">
        <v>1.02</v>
      </c>
      <c r="D917" s="51">
        <v>65.0</v>
      </c>
      <c r="E917" s="52" t="s">
        <v>25</v>
      </c>
      <c r="F917" s="52" t="s">
        <v>26</v>
      </c>
      <c r="G917" s="53"/>
    </row>
    <row r="918">
      <c r="A918" s="49">
        <v>44494.1159678588</v>
      </c>
      <c r="B918" s="50">
        <v>44494.2409380092</v>
      </c>
      <c r="C918" s="51">
        <v>1.022</v>
      </c>
      <c r="D918" s="51">
        <v>65.0</v>
      </c>
      <c r="E918" s="52" t="s">
        <v>25</v>
      </c>
      <c r="F918" s="52" t="s">
        <v>26</v>
      </c>
      <c r="G918" s="53"/>
    </row>
    <row r="919">
      <c r="A919" s="49">
        <v>44494.12638741898</v>
      </c>
      <c r="B919" s="50">
        <v>44494.2513583333</v>
      </c>
      <c r="C919" s="51">
        <v>1.022</v>
      </c>
      <c r="D919" s="51">
        <v>65.0</v>
      </c>
      <c r="E919" s="52" t="s">
        <v>25</v>
      </c>
      <c r="F919" s="52" t="s">
        <v>26</v>
      </c>
      <c r="G919" s="53"/>
    </row>
    <row r="920">
      <c r="A920" s="49">
        <v>44494.13682</v>
      </c>
      <c r="B920" s="50">
        <v>44494.2617907986</v>
      </c>
      <c r="C920" s="51">
        <v>1.022</v>
      </c>
      <c r="D920" s="51">
        <v>65.0</v>
      </c>
      <c r="E920" s="52" t="s">
        <v>25</v>
      </c>
      <c r="F920" s="52" t="s">
        <v>26</v>
      </c>
      <c r="G920" s="53"/>
    </row>
    <row r="921">
      <c r="A921" s="49">
        <v>44494.14723633102</v>
      </c>
      <c r="B921" s="50">
        <v>44494.2722116666</v>
      </c>
      <c r="C921" s="51">
        <v>1.023</v>
      </c>
      <c r="D921" s="51">
        <v>65.0</v>
      </c>
      <c r="E921" s="52" t="s">
        <v>25</v>
      </c>
      <c r="F921" s="52" t="s">
        <v>26</v>
      </c>
      <c r="G921" s="53"/>
    </row>
    <row r="922">
      <c r="A922" s="49">
        <v>44494.15765327546</v>
      </c>
      <c r="B922" s="50">
        <v>44494.2826332407</v>
      </c>
      <c r="C922" s="51">
        <v>1.022</v>
      </c>
      <c r="D922" s="51">
        <v>65.0</v>
      </c>
      <c r="E922" s="52" t="s">
        <v>25</v>
      </c>
      <c r="F922" s="52" t="s">
        <v>26</v>
      </c>
      <c r="G922" s="53"/>
    </row>
    <row r="923">
      <c r="A923" s="49">
        <v>44494.1680909375</v>
      </c>
      <c r="B923" s="50">
        <v>44494.2930651967</v>
      </c>
      <c r="C923" s="51">
        <v>1.022</v>
      </c>
      <c r="D923" s="51">
        <v>65.0</v>
      </c>
      <c r="E923" s="52" t="s">
        <v>25</v>
      </c>
      <c r="F923" s="52" t="s">
        <v>26</v>
      </c>
      <c r="G923" s="53"/>
    </row>
    <row r="924">
      <c r="A924" s="49">
        <v>44494.1785259375</v>
      </c>
      <c r="B924" s="50">
        <v>44494.3034981481</v>
      </c>
      <c r="C924" s="51">
        <v>1.023</v>
      </c>
      <c r="D924" s="51">
        <v>65.0</v>
      </c>
      <c r="E924" s="52" t="s">
        <v>25</v>
      </c>
      <c r="F924" s="52" t="s">
        <v>26</v>
      </c>
      <c r="G924" s="53"/>
    </row>
    <row r="925">
      <c r="A925" s="49">
        <v>44494.18894929398</v>
      </c>
      <c r="B925" s="50">
        <v>44494.3139192476</v>
      </c>
      <c r="C925" s="51">
        <v>1.023</v>
      </c>
      <c r="D925" s="51">
        <v>65.0</v>
      </c>
      <c r="E925" s="52" t="s">
        <v>25</v>
      </c>
      <c r="F925" s="52" t="s">
        <v>26</v>
      </c>
      <c r="G925" s="53"/>
    </row>
    <row r="926">
      <c r="A926" s="49">
        <v>44494.19938068287</v>
      </c>
      <c r="B926" s="50">
        <v>44494.3243512384</v>
      </c>
      <c r="C926" s="51">
        <v>1.022</v>
      </c>
      <c r="D926" s="51">
        <v>65.0</v>
      </c>
      <c r="E926" s="52" t="s">
        <v>25</v>
      </c>
      <c r="F926" s="52" t="s">
        <v>26</v>
      </c>
      <c r="G926" s="53"/>
    </row>
    <row r="927">
      <c r="A927" s="49">
        <v>44494.20980622685</v>
      </c>
      <c r="B927" s="50">
        <v>44494.3347713426</v>
      </c>
      <c r="C927" s="51">
        <v>1.022</v>
      </c>
      <c r="D927" s="51">
        <v>65.0</v>
      </c>
      <c r="E927" s="52" t="s">
        <v>25</v>
      </c>
      <c r="F927" s="52" t="s">
        <v>26</v>
      </c>
      <c r="G927" s="53"/>
    </row>
    <row r="928">
      <c r="A928" s="49">
        <v>44494.22021946759</v>
      </c>
      <c r="B928" s="50">
        <v>44494.3451930787</v>
      </c>
      <c r="C928" s="51">
        <v>1.023</v>
      </c>
      <c r="D928" s="51">
        <v>65.0</v>
      </c>
      <c r="E928" s="52" t="s">
        <v>25</v>
      </c>
      <c r="F928" s="52" t="s">
        <v>26</v>
      </c>
      <c r="G928" s="53"/>
    </row>
    <row r="929">
      <c r="A929" s="49">
        <v>44494.23064825231</v>
      </c>
      <c r="B929" s="50">
        <v>44494.3556149537</v>
      </c>
      <c r="C929" s="51">
        <v>1.021</v>
      </c>
      <c r="D929" s="51">
        <v>65.0</v>
      </c>
      <c r="E929" s="52" t="s">
        <v>25</v>
      </c>
      <c r="F929" s="52" t="s">
        <v>26</v>
      </c>
      <c r="G929" s="53"/>
    </row>
    <row r="930">
      <c r="A930" s="49">
        <v>44494.24106753472</v>
      </c>
      <c r="B930" s="50">
        <v>44494.3660354166</v>
      </c>
      <c r="C930" s="51">
        <v>1.022</v>
      </c>
      <c r="D930" s="51">
        <v>65.0</v>
      </c>
      <c r="E930" s="52" t="s">
        <v>25</v>
      </c>
      <c r="F930" s="52" t="s">
        <v>26</v>
      </c>
      <c r="G930" s="53"/>
    </row>
    <row r="931">
      <c r="A931" s="49">
        <v>44494.251505057866</v>
      </c>
      <c r="B931" s="50">
        <v>44494.3764667592</v>
      </c>
      <c r="C931" s="51">
        <v>1.022</v>
      </c>
      <c r="D931" s="51">
        <v>65.0</v>
      </c>
      <c r="E931" s="52" t="s">
        <v>25</v>
      </c>
      <c r="F931" s="52" t="s">
        <v>26</v>
      </c>
      <c r="G931" s="53"/>
    </row>
    <row r="932">
      <c r="A932" s="49">
        <v>44494.26191677083</v>
      </c>
      <c r="B932" s="50">
        <v>44494.3868884375</v>
      </c>
      <c r="C932" s="51">
        <v>1.022</v>
      </c>
      <c r="D932" s="51">
        <v>65.0</v>
      </c>
      <c r="E932" s="52" t="s">
        <v>25</v>
      </c>
      <c r="F932" s="52" t="s">
        <v>26</v>
      </c>
      <c r="G932" s="53"/>
    </row>
    <row r="933">
      <c r="A933" s="49">
        <v>44494.272345300924</v>
      </c>
      <c r="B933" s="50">
        <v>44494.3973101388</v>
      </c>
      <c r="C933" s="51">
        <v>1.021</v>
      </c>
      <c r="D933" s="51">
        <v>65.0</v>
      </c>
      <c r="E933" s="52" t="s">
        <v>25</v>
      </c>
      <c r="F933" s="52" t="s">
        <v>26</v>
      </c>
      <c r="G933" s="53"/>
    </row>
    <row r="934">
      <c r="A934" s="49">
        <v>44494.28275142361</v>
      </c>
      <c r="B934" s="50">
        <v>44494.4077318287</v>
      </c>
      <c r="C934" s="51">
        <v>1.022</v>
      </c>
      <c r="D934" s="51">
        <v>65.0</v>
      </c>
      <c r="E934" s="52" t="s">
        <v>25</v>
      </c>
      <c r="F934" s="52" t="s">
        <v>26</v>
      </c>
      <c r="G934" s="53"/>
    </row>
    <row r="935">
      <c r="A935" s="49">
        <v>44494.2931999537</v>
      </c>
      <c r="B935" s="50">
        <v>44494.4181537268</v>
      </c>
      <c r="C935" s="51">
        <v>1.022</v>
      </c>
      <c r="D935" s="51">
        <v>65.0</v>
      </c>
      <c r="E935" s="52" t="s">
        <v>25</v>
      </c>
      <c r="F935" s="52" t="s">
        <v>26</v>
      </c>
      <c r="G935" s="53"/>
    </row>
    <row r="936">
      <c r="A936" s="49">
        <v>44494.30361699074</v>
      </c>
      <c r="B936" s="50">
        <v>44494.4285874421</v>
      </c>
      <c r="C936" s="51">
        <v>1.022</v>
      </c>
      <c r="D936" s="51">
        <v>65.0</v>
      </c>
      <c r="E936" s="52" t="s">
        <v>25</v>
      </c>
      <c r="F936" s="52" t="s">
        <v>26</v>
      </c>
      <c r="G936" s="53"/>
    </row>
    <row r="937">
      <c r="A937" s="49">
        <v>44494.314041840276</v>
      </c>
      <c r="B937" s="50">
        <v>44494.4390101504</v>
      </c>
      <c r="C937" s="51">
        <v>1.022</v>
      </c>
      <c r="D937" s="51">
        <v>65.0</v>
      </c>
      <c r="E937" s="52" t="s">
        <v>25</v>
      </c>
      <c r="F937" s="52" t="s">
        <v>26</v>
      </c>
      <c r="G937" s="53"/>
    </row>
    <row r="938">
      <c r="A938" s="49">
        <v>44494.32446163194</v>
      </c>
      <c r="B938" s="50">
        <v>44494.4494308101</v>
      </c>
      <c r="C938" s="51">
        <v>1.022</v>
      </c>
      <c r="D938" s="51">
        <v>65.0</v>
      </c>
      <c r="E938" s="52" t="s">
        <v>25</v>
      </c>
      <c r="F938" s="52" t="s">
        <v>26</v>
      </c>
      <c r="G938" s="53"/>
    </row>
    <row r="939">
      <c r="A939" s="49">
        <v>44494.33488056713</v>
      </c>
      <c r="B939" s="50">
        <v>44494.4598509375</v>
      </c>
      <c r="C939" s="51">
        <v>1.021</v>
      </c>
      <c r="D939" s="51">
        <v>65.0</v>
      </c>
      <c r="E939" s="52" t="s">
        <v>25</v>
      </c>
      <c r="F939" s="52" t="s">
        <v>26</v>
      </c>
      <c r="G939" s="53"/>
    </row>
    <row r="940">
      <c r="A940" s="49">
        <v>44494.345314502316</v>
      </c>
      <c r="B940" s="50">
        <v>44494.4702840856</v>
      </c>
      <c r="C940" s="51">
        <v>1.021</v>
      </c>
      <c r="D940" s="51">
        <v>65.0</v>
      </c>
      <c r="E940" s="52" t="s">
        <v>25</v>
      </c>
      <c r="F940" s="52" t="s">
        <v>26</v>
      </c>
      <c r="G940" s="53"/>
    </row>
    <row r="941">
      <c r="A941" s="49">
        <v>44494.35573361111</v>
      </c>
      <c r="B941" s="50">
        <v>44494.4807047685</v>
      </c>
      <c r="C941" s="51">
        <v>1.021</v>
      </c>
      <c r="D941" s="51">
        <v>65.0</v>
      </c>
      <c r="E941" s="52" t="s">
        <v>25</v>
      </c>
      <c r="F941" s="52" t="s">
        <v>26</v>
      </c>
      <c r="G941" s="53"/>
    </row>
    <row r="942">
      <c r="A942" s="49">
        <v>44494.366153043986</v>
      </c>
      <c r="B942" s="50">
        <v>44494.4911271527</v>
      </c>
      <c r="C942" s="51">
        <v>1.02</v>
      </c>
      <c r="D942" s="51">
        <v>66.0</v>
      </c>
      <c r="E942" s="52" t="s">
        <v>25</v>
      </c>
      <c r="F942" s="52" t="s">
        <v>26</v>
      </c>
      <c r="G942" s="53"/>
    </row>
    <row r="943">
      <c r="A943" s="49">
        <v>44494.37659244213</v>
      </c>
      <c r="B943" s="50">
        <v>44494.5015491088</v>
      </c>
      <c r="C943" s="51">
        <v>1.021</v>
      </c>
      <c r="D943" s="51">
        <v>66.0</v>
      </c>
      <c r="E943" s="52" t="s">
        <v>25</v>
      </c>
      <c r="F943" s="52" t="s">
        <v>26</v>
      </c>
      <c r="G943" s="53"/>
    </row>
    <row r="944">
      <c r="A944" s="49">
        <v>44494.387008564816</v>
      </c>
      <c r="B944" s="50">
        <v>44494.5119702083</v>
      </c>
      <c r="C944" s="51">
        <v>1.02</v>
      </c>
      <c r="D944" s="51">
        <v>66.0</v>
      </c>
      <c r="E944" s="52" t="s">
        <v>25</v>
      </c>
      <c r="F944" s="52" t="s">
        <v>26</v>
      </c>
      <c r="G944" s="53"/>
    </row>
    <row r="945">
      <c r="A945" s="49">
        <v>44494.39741925926</v>
      </c>
      <c r="B945" s="50">
        <v>44494.5223923148</v>
      </c>
      <c r="C945" s="51">
        <v>1.021</v>
      </c>
      <c r="D945" s="51">
        <v>66.0</v>
      </c>
      <c r="E945" s="52" t="s">
        <v>25</v>
      </c>
      <c r="F945" s="52" t="s">
        <v>26</v>
      </c>
      <c r="G945" s="53"/>
    </row>
    <row r="946">
      <c r="A946" s="49">
        <v>44494.4078434375</v>
      </c>
      <c r="B946" s="50">
        <v>44494.5328143634</v>
      </c>
      <c r="C946" s="51">
        <v>1.022</v>
      </c>
      <c r="D946" s="51">
        <v>66.0</v>
      </c>
      <c r="E946" s="52" t="s">
        <v>25</v>
      </c>
      <c r="F946" s="52" t="s">
        <v>26</v>
      </c>
      <c r="G946" s="53"/>
    </row>
    <row r="947">
      <c r="A947" s="49">
        <v>44494.418274421296</v>
      </c>
      <c r="B947" s="50">
        <v>44494.5432351157</v>
      </c>
      <c r="C947" s="51">
        <v>1.022</v>
      </c>
      <c r="D947" s="51">
        <v>66.0</v>
      </c>
      <c r="E947" s="52" t="s">
        <v>25</v>
      </c>
      <c r="F947" s="52" t="s">
        <v>26</v>
      </c>
      <c r="G947" s="53"/>
    </row>
    <row r="948">
      <c r="A948" s="49">
        <v>44494.428700752316</v>
      </c>
      <c r="B948" s="50">
        <v>44494.5536689467</v>
      </c>
      <c r="C948" s="51">
        <v>1.022</v>
      </c>
      <c r="D948" s="51">
        <v>66.0</v>
      </c>
      <c r="E948" s="52" t="s">
        <v>25</v>
      </c>
      <c r="F948" s="52" t="s">
        <v>26</v>
      </c>
      <c r="G948" s="53"/>
    </row>
    <row r="949">
      <c r="A949" s="49">
        <v>44494.43911234954</v>
      </c>
      <c r="B949" s="50">
        <v>44494.5640900347</v>
      </c>
      <c r="C949" s="51">
        <v>1.022</v>
      </c>
      <c r="D949" s="51">
        <v>66.0</v>
      </c>
      <c r="E949" s="52" t="s">
        <v>25</v>
      </c>
      <c r="F949" s="52" t="s">
        <v>26</v>
      </c>
      <c r="G949" s="53"/>
    </row>
    <row r="950">
      <c r="A950" s="49">
        <v>44494.449552997685</v>
      </c>
      <c r="B950" s="50">
        <v>44494.574521875</v>
      </c>
      <c r="C950" s="51">
        <v>1.022</v>
      </c>
      <c r="D950" s="51">
        <v>66.0</v>
      </c>
      <c r="E950" s="52" t="s">
        <v>25</v>
      </c>
      <c r="F950" s="52" t="s">
        <v>26</v>
      </c>
      <c r="G950" s="53"/>
    </row>
    <row r="951">
      <c r="A951" s="49">
        <v>44494.45997471065</v>
      </c>
      <c r="B951" s="50">
        <v>44494.5849424652</v>
      </c>
      <c r="C951" s="51">
        <v>1.022</v>
      </c>
      <c r="D951" s="51">
        <v>66.0</v>
      </c>
      <c r="E951" s="52" t="s">
        <v>25</v>
      </c>
      <c r="F951" s="52" t="s">
        <v>26</v>
      </c>
      <c r="G951" s="53"/>
    </row>
    <row r="952">
      <c r="A952" s="49">
        <v>44494.47039495371</v>
      </c>
      <c r="B952" s="50">
        <v>44494.5953634722</v>
      </c>
      <c r="C952" s="51">
        <v>1.022</v>
      </c>
      <c r="D952" s="51">
        <v>66.0</v>
      </c>
      <c r="E952" s="52" t="s">
        <v>25</v>
      </c>
      <c r="F952" s="52" t="s">
        <v>26</v>
      </c>
      <c r="G952" s="53"/>
    </row>
    <row r="953">
      <c r="A953" s="49">
        <v>44494.48083672454</v>
      </c>
      <c r="B953" s="50">
        <v>44494.6057954861</v>
      </c>
      <c r="C953" s="51">
        <v>1.021</v>
      </c>
      <c r="D953" s="51">
        <v>66.0</v>
      </c>
      <c r="E953" s="52" t="s">
        <v>25</v>
      </c>
      <c r="F953" s="52" t="s">
        <v>26</v>
      </c>
      <c r="G953" s="53"/>
    </row>
    <row r="954">
      <c r="A954" s="49">
        <v>44494.4912537037</v>
      </c>
      <c r="B954" s="50">
        <v>44494.6162267939</v>
      </c>
      <c r="C954" s="51">
        <v>1.021</v>
      </c>
      <c r="D954" s="51">
        <v>66.0</v>
      </c>
      <c r="E954" s="52" t="s">
        <v>25</v>
      </c>
      <c r="F954" s="52" t="s">
        <v>26</v>
      </c>
      <c r="G954" s="53"/>
    </row>
    <row r="955">
      <c r="A955" s="49">
        <v>44494.501678726854</v>
      </c>
      <c r="B955" s="50">
        <v>44494.6266473263</v>
      </c>
      <c r="C955" s="51">
        <v>1.021</v>
      </c>
      <c r="D955" s="51">
        <v>66.0</v>
      </c>
      <c r="E955" s="52" t="s">
        <v>25</v>
      </c>
      <c r="F955" s="52" t="s">
        <v>26</v>
      </c>
      <c r="G955" s="53"/>
    </row>
    <row r="956">
      <c r="A956" s="49">
        <v>44494.51210425926</v>
      </c>
      <c r="B956" s="50">
        <v>44494.6370692013</v>
      </c>
      <c r="C956" s="51">
        <v>1.02</v>
      </c>
      <c r="D956" s="51">
        <v>66.0</v>
      </c>
      <c r="E956" s="52" t="s">
        <v>25</v>
      </c>
      <c r="F956" s="52" t="s">
        <v>26</v>
      </c>
      <c r="G956" s="53"/>
    </row>
    <row r="957">
      <c r="A957" s="49">
        <v>44494.52251879629</v>
      </c>
      <c r="B957" s="50">
        <v>44494.647490081</v>
      </c>
      <c r="C957" s="51">
        <v>1.021</v>
      </c>
      <c r="D957" s="51">
        <v>66.0</v>
      </c>
      <c r="E957" s="52" t="s">
        <v>25</v>
      </c>
      <c r="F957" s="52" t="s">
        <v>26</v>
      </c>
      <c r="G957" s="53"/>
    </row>
    <row r="958">
      <c r="A958" s="49">
        <v>44494.532941006946</v>
      </c>
      <c r="B958" s="50">
        <v>44494.6579115972</v>
      </c>
      <c r="C958" s="51">
        <v>1.022</v>
      </c>
      <c r="D958" s="51">
        <v>66.0</v>
      </c>
      <c r="E958" s="52" t="s">
        <v>25</v>
      </c>
      <c r="F958" s="52" t="s">
        <v>26</v>
      </c>
      <c r="G958" s="53"/>
    </row>
    <row r="959">
      <c r="A959" s="49">
        <v>44494.54337630787</v>
      </c>
      <c r="B959" s="50">
        <v>44494.6683453703</v>
      </c>
      <c r="C959" s="51">
        <v>1.021</v>
      </c>
      <c r="D959" s="51">
        <v>66.0</v>
      </c>
      <c r="E959" s="52" t="s">
        <v>25</v>
      </c>
      <c r="F959" s="52" t="s">
        <v>26</v>
      </c>
      <c r="G959" s="53"/>
    </row>
    <row r="960">
      <c r="A960" s="49">
        <v>44494.55379723379</v>
      </c>
      <c r="B960" s="50">
        <v>44494.6787661574</v>
      </c>
      <c r="C960" s="51">
        <v>1.022</v>
      </c>
      <c r="D960" s="51">
        <v>65.0</v>
      </c>
      <c r="E960" s="52" t="s">
        <v>25</v>
      </c>
      <c r="F960" s="52" t="s">
        <v>26</v>
      </c>
      <c r="G960" s="53"/>
    </row>
    <row r="961">
      <c r="A961" s="49">
        <v>44494.56421318287</v>
      </c>
      <c r="B961" s="50">
        <v>44494.6891892939</v>
      </c>
      <c r="C961" s="51">
        <v>1.02</v>
      </c>
      <c r="D961" s="51">
        <v>64.0</v>
      </c>
      <c r="E961" s="52" t="s">
        <v>25</v>
      </c>
      <c r="F961" s="52" t="s">
        <v>26</v>
      </c>
      <c r="G961" s="53"/>
    </row>
    <row r="962">
      <c r="A962" s="49">
        <v>44494.57464224537</v>
      </c>
      <c r="B962" s="50">
        <v>44494.699611412</v>
      </c>
      <c r="C962" s="51">
        <v>1.019</v>
      </c>
      <c r="D962" s="51">
        <v>63.0</v>
      </c>
      <c r="E962" s="52" t="s">
        <v>25</v>
      </c>
      <c r="F962" s="52" t="s">
        <v>26</v>
      </c>
      <c r="G962" s="53"/>
    </row>
    <row r="963">
      <c r="A963" s="49">
        <v>44494.58507267361</v>
      </c>
      <c r="B963" s="50">
        <v>44494.7100448379</v>
      </c>
      <c r="C963" s="51">
        <v>1.017</v>
      </c>
      <c r="D963" s="51">
        <v>63.0</v>
      </c>
      <c r="E963" s="52" t="s">
        <v>25</v>
      </c>
      <c r="F963" s="52" t="s">
        <v>26</v>
      </c>
      <c r="G963" s="53"/>
    </row>
    <row r="964">
      <c r="A964" s="49">
        <v>44494.595488032406</v>
      </c>
      <c r="B964" s="50">
        <v>44494.7204665162</v>
      </c>
      <c r="C964" s="51">
        <v>1.016</v>
      </c>
      <c r="D964" s="51">
        <v>62.0</v>
      </c>
      <c r="E964" s="52" t="s">
        <v>25</v>
      </c>
      <c r="F964" s="52" t="s">
        <v>26</v>
      </c>
      <c r="G964" s="53"/>
    </row>
    <row r="965">
      <c r="A965" s="49">
        <v>44494.60591268519</v>
      </c>
      <c r="B965" s="50">
        <v>44494.7308862731</v>
      </c>
      <c r="C965" s="51">
        <v>1.016</v>
      </c>
      <c r="D965" s="51">
        <v>62.0</v>
      </c>
      <c r="E965" s="52" t="s">
        <v>25</v>
      </c>
      <c r="F965" s="52" t="s">
        <v>26</v>
      </c>
      <c r="G965" s="53"/>
    </row>
    <row r="966">
      <c r="A966" s="49">
        <v>44494.616329930555</v>
      </c>
      <c r="B966" s="50">
        <v>44494.7413081365</v>
      </c>
      <c r="C966" s="51">
        <v>1.016</v>
      </c>
      <c r="D966" s="51">
        <v>62.0</v>
      </c>
      <c r="E966" s="52" t="s">
        <v>25</v>
      </c>
      <c r="F966" s="52" t="s">
        <v>26</v>
      </c>
      <c r="G966" s="53"/>
    </row>
    <row r="967">
      <c r="A967" s="49">
        <v>44494.62675383102</v>
      </c>
      <c r="B967" s="50">
        <v>44494.7517284606</v>
      </c>
      <c r="C967" s="51">
        <v>1.016</v>
      </c>
      <c r="D967" s="51">
        <v>62.0</v>
      </c>
      <c r="E967" s="52" t="s">
        <v>25</v>
      </c>
      <c r="F967" s="52" t="s">
        <v>26</v>
      </c>
      <c r="G967" s="53"/>
    </row>
    <row r="968">
      <c r="A968" s="49">
        <v>44494.63719046296</v>
      </c>
      <c r="B968" s="50">
        <v>44494.7621620486</v>
      </c>
      <c r="C968" s="51">
        <v>1.017</v>
      </c>
      <c r="D968" s="51">
        <v>62.0</v>
      </c>
      <c r="E968" s="52" t="s">
        <v>25</v>
      </c>
      <c r="F968" s="52" t="s">
        <v>26</v>
      </c>
      <c r="G968" s="53"/>
    </row>
    <row r="969">
      <c r="A969" s="49">
        <v>44494.64761033565</v>
      </c>
      <c r="B969" s="50">
        <v>44494.7725815625</v>
      </c>
      <c r="C969" s="51">
        <v>1.018</v>
      </c>
      <c r="D969" s="51">
        <v>62.0</v>
      </c>
      <c r="E969" s="52" t="s">
        <v>25</v>
      </c>
      <c r="F969" s="52" t="s">
        <v>26</v>
      </c>
      <c r="G969" s="53"/>
    </row>
    <row r="970">
      <c r="A970" s="49">
        <v>44494.65802883102</v>
      </c>
      <c r="B970" s="50">
        <v>44494.7830026851</v>
      </c>
      <c r="C970" s="51">
        <v>1.018</v>
      </c>
      <c r="D970" s="51">
        <v>62.0</v>
      </c>
      <c r="E970" s="52" t="s">
        <v>25</v>
      </c>
      <c r="F970" s="52" t="s">
        <v>26</v>
      </c>
      <c r="G970" s="53"/>
    </row>
    <row r="971">
      <c r="A971" s="49">
        <v>44494.668446192125</v>
      </c>
      <c r="B971" s="50">
        <v>44494.7934225347</v>
      </c>
      <c r="C971" s="51">
        <v>1.018</v>
      </c>
      <c r="D971" s="51">
        <v>62.0</v>
      </c>
      <c r="E971" s="52" t="s">
        <v>25</v>
      </c>
      <c r="F971" s="52" t="s">
        <v>26</v>
      </c>
      <c r="G971" s="53"/>
    </row>
    <row r="972">
      <c r="A972" s="49">
        <v>44494.678872199074</v>
      </c>
      <c r="B972" s="50">
        <v>44494.8038424768</v>
      </c>
      <c r="C972" s="51">
        <v>1.019</v>
      </c>
      <c r="D972" s="51">
        <v>61.0</v>
      </c>
      <c r="E972" s="52" t="s">
        <v>25</v>
      </c>
      <c r="F972" s="52" t="s">
        <v>26</v>
      </c>
      <c r="G972" s="53"/>
    </row>
    <row r="973">
      <c r="A973" s="49">
        <v>44494.68930254629</v>
      </c>
      <c r="B973" s="50">
        <v>44494.8142752199</v>
      </c>
      <c r="C973" s="51">
        <v>1.019</v>
      </c>
      <c r="D973" s="51">
        <v>61.0</v>
      </c>
      <c r="E973" s="52" t="s">
        <v>25</v>
      </c>
      <c r="F973" s="52" t="s">
        <v>26</v>
      </c>
      <c r="G973" s="53"/>
    </row>
    <row r="974">
      <c r="A974" s="49">
        <v>44494.69971821759</v>
      </c>
      <c r="B974" s="50">
        <v>44494.8246953819</v>
      </c>
      <c r="C974" s="51">
        <v>1.019</v>
      </c>
      <c r="D974" s="51">
        <v>61.0</v>
      </c>
      <c r="E974" s="52" t="s">
        <v>25</v>
      </c>
      <c r="F974" s="52" t="s">
        <v>26</v>
      </c>
      <c r="G974" s="53"/>
    </row>
    <row r="975">
      <c r="A975" s="49">
        <v>44494.71013535879</v>
      </c>
      <c r="B975" s="50">
        <v>44494.8351167129</v>
      </c>
      <c r="C975" s="51">
        <v>1.019</v>
      </c>
      <c r="D975" s="51">
        <v>61.0</v>
      </c>
      <c r="E975" s="52" t="s">
        <v>25</v>
      </c>
      <c r="F975" s="52" t="s">
        <v>26</v>
      </c>
      <c r="G975" s="53"/>
    </row>
    <row r="976">
      <c r="A976" s="49">
        <v>44494.72056810185</v>
      </c>
      <c r="B976" s="50">
        <v>44494.845540081</v>
      </c>
      <c r="C976" s="51">
        <v>1.019</v>
      </c>
      <c r="D976" s="51">
        <v>61.0</v>
      </c>
      <c r="E976" s="52" t="s">
        <v>25</v>
      </c>
      <c r="F976" s="52" t="s">
        <v>26</v>
      </c>
      <c r="G976" s="53"/>
    </row>
    <row r="977">
      <c r="A977" s="49">
        <v>44494.73098893519</v>
      </c>
      <c r="B977" s="50">
        <v>44494.8559619213</v>
      </c>
      <c r="C977" s="51">
        <v>1.019</v>
      </c>
      <c r="D977" s="51">
        <v>61.0</v>
      </c>
      <c r="E977" s="52" t="s">
        <v>25</v>
      </c>
      <c r="F977" s="52" t="s">
        <v>26</v>
      </c>
      <c r="G977" s="53"/>
    </row>
    <row r="978">
      <c r="A978" s="49">
        <v>44494.74140056713</v>
      </c>
      <c r="B978" s="50">
        <v>44494.8663824652</v>
      </c>
      <c r="C978" s="51">
        <v>1.02</v>
      </c>
      <c r="D978" s="51">
        <v>61.0</v>
      </c>
      <c r="E978" s="52" t="s">
        <v>25</v>
      </c>
      <c r="F978" s="52" t="s">
        <v>26</v>
      </c>
      <c r="G978" s="53"/>
    </row>
    <row r="979">
      <c r="A979" s="49">
        <v>44494.75182924769</v>
      </c>
      <c r="B979" s="50">
        <v>44494.8768025115</v>
      </c>
      <c r="C979" s="51">
        <v>1.021</v>
      </c>
      <c r="D979" s="51">
        <v>61.0</v>
      </c>
      <c r="E979" s="52" t="s">
        <v>25</v>
      </c>
      <c r="F979" s="52" t="s">
        <v>26</v>
      </c>
      <c r="G979" s="53"/>
    </row>
    <row r="980">
      <c r="A980" s="49">
        <v>44494.76224976852</v>
      </c>
      <c r="B980" s="50">
        <v>44494.8872238657</v>
      </c>
      <c r="C980" s="51">
        <v>1.021</v>
      </c>
      <c r="D980" s="51">
        <v>61.0</v>
      </c>
      <c r="E980" s="52" t="s">
        <v>25</v>
      </c>
      <c r="F980" s="52" t="s">
        <v>26</v>
      </c>
      <c r="G980" s="53"/>
    </row>
    <row r="981">
      <c r="A981" s="49">
        <v>44494.77268809028</v>
      </c>
      <c r="B981" s="50">
        <v>44494.8976559722</v>
      </c>
      <c r="C981" s="51">
        <v>1.021</v>
      </c>
      <c r="D981" s="51">
        <v>61.0</v>
      </c>
      <c r="E981" s="52" t="s">
        <v>25</v>
      </c>
      <c r="F981" s="52" t="s">
        <v>26</v>
      </c>
      <c r="G981" s="53"/>
    </row>
    <row r="982">
      <c r="A982" s="49">
        <v>44494.783104409726</v>
      </c>
      <c r="B982" s="50">
        <v>44494.9080767708</v>
      </c>
      <c r="C982" s="51">
        <v>1.021</v>
      </c>
      <c r="D982" s="51">
        <v>61.0</v>
      </c>
      <c r="E982" s="52" t="s">
        <v>25</v>
      </c>
      <c r="F982" s="52" t="s">
        <v>26</v>
      </c>
      <c r="G982" s="53"/>
    </row>
    <row r="983">
      <c r="A983" s="49">
        <v>44494.793524513894</v>
      </c>
      <c r="B983" s="50">
        <v>44494.9184971875</v>
      </c>
      <c r="C983" s="51">
        <v>1.021</v>
      </c>
      <c r="D983" s="51">
        <v>61.0</v>
      </c>
      <c r="E983" s="52" t="s">
        <v>25</v>
      </c>
      <c r="F983" s="52" t="s">
        <v>26</v>
      </c>
      <c r="G983" s="53"/>
    </row>
    <row r="984">
      <c r="A984" s="49">
        <v>44494.80393708333</v>
      </c>
      <c r="B984" s="50">
        <v>44494.9289197453</v>
      </c>
      <c r="C984" s="51">
        <v>1.021</v>
      </c>
      <c r="D984" s="51">
        <v>61.0</v>
      </c>
      <c r="E984" s="52" t="s">
        <v>25</v>
      </c>
      <c r="F984" s="52" t="s">
        <v>26</v>
      </c>
      <c r="G984" s="53"/>
    </row>
    <row r="985">
      <c r="A985" s="49">
        <v>44494.8143742824</v>
      </c>
      <c r="B985" s="50">
        <v>44494.939339456</v>
      </c>
      <c r="C985" s="51">
        <v>1.022</v>
      </c>
      <c r="D985" s="51">
        <v>61.0</v>
      </c>
      <c r="E985" s="52" t="s">
        <v>25</v>
      </c>
      <c r="F985" s="52" t="s">
        <v>26</v>
      </c>
      <c r="G985" s="53"/>
    </row>
    <row r="986">
      <c r="A986" s="49">
        <v>44494.8247871875</v>
      </c>
      <c r="B986" s="50">
        <v>44494.949758912</v>
      </c>
      <c r="C986" s="51">
        <v>1.022</v>
      </c>
      <c r="D986" s="51">
        <v>61.0</v>
      </c>
      <c r="E986" s="52" t="s">
        <v>25</v>
      </c>
      <c r="F986" s="52" t="s">
        <v>26</v>
      </c>
      <c r="G986" s="53"/>
    </row>
    <row r="987">
      <c r="A987" s="49">
        <v>44494.835203622686</v>
      </c>
      <c r="B987" s="50">
        <v>44494.9601797338</v>
      </c>
      <c r="C987" s="51">
        <v>1.021</v>
      </c>
      <c r="D987" s="51">
        <v>61.0</v>
      </c>
      <c r="E987" s="52" t="s">
        <v>25</v>
      </c>
      <c r="F987" s="52" t="s">
        <v>26</v>
      </c>
      <c r="G987" s="53"/>
    </row>
    <row r="988">
      <c r="A988" s="49">
        <v>44494.8456274537</v>
      </c>
      <c r="B988" s="50">
        <v>44494.970600324</v>
      </c>
      <c r="C988" s="51">
        <v>1.022</v>
      </c>
      <c r="D988" s="51">
        <v>61.0</v>
      </c>
      <c r="E988" s="52" t="s">
        <v>25</v>
      </c>
      <c r="F988" s="52" t="s">
        <v>26</v>
      </c>
      <c r="G988" s="53"/>
    </row>
    <row r="989">
      <c r="A989" s="49">
        <v>44494.85604643519</v>
      </c>
      <c r="B989" s="50">
        <v>44494.9810220833</v>
      </c>
      <c r="C989" s="51">
        <v>1.021</v>
      </c>
      <c r="D989" s="51">
        <v>62.0</v>
      </c>
      <c r="E989" s="52" t="s">
        <v>25</v>
      </c>
      <c r="F989" s="52" t="s">
        <v>26</v>
      </c>
      <c r="G989" s="53"/>
    </row>
    <row r="990">
      <c r="A990" s="49">
        <v>44494.86647065972</v>
      </c>
      <c r="B990" s="50">
        <v>44494.9914432291</v>
      </c>
      <c r="C990" s="51">
        <v>1.021</v>
      </c>
      <c r="D990" s="51">
        <v>62.0</v>
      </c>
      <c r="E990" s="52" t="s">
        <v>25</v>
      </c>
      <c r="F990" s="52" t="s">
        <v>26</v>
      </c>
      <c r="G990" s="53"/>
    </row>
    <row r="991">
      <c r="A991" s="49">
        <v>44494.87689020833</v>
      </c>
      <c r="B991" s="50">
        <v>44495.0018634606</v>
      </c>
      <c r="C991" s="51">
        <v>1.021</v>
      </c>
      <c r="D991" s="51">
        <v>62.0</v>
      </c>
      <c r="E991" s="52" t="s">
        <v>25</v>
      </c>
      <c r="F991" s="52" t="s">
        <v>26</v>
      </c>
      <c r="G991" s="53"/>
    </row>
    <row r="992">
      <c r="A992" s="49">
        <v>44494.8873077662</v>
      </c>
      <c r="B992" s="50">
        <v>44495.0122839351</v>
      </c>
      <c r="C992" s="51">
        <v>1.021</v>
      </c>
      <c r="D992" s="51">
        <v>62.0</v>
      </c>
      <c r="E992" s="52" t="s">
        <v>25</v>
      </c>
      <c r="F992" s="52" t="s">
        <v>26</v>
      </c>
      <c r="G992" s="53"/>
    </row>
    <row r="993">
      <c r="A993" s="49">
        <v>44494.897729432865</v>
      </c>
      <c r="B993" s="50">
        <v>44495.0227055787</v>
      </c>
      <c r="C993" s="51">
        <v>1.021</v>
      </c>
      <c r="D993" s="51">
        <v>62.0</v>
      </c>
      <c r="E993" s="52" t="s">
        <v>25</v>
      </c>
      <c r="F993" s="52" t="s">
        <v>26</v>
      </c>
      <c r="G993" s="53"/>
    </row>
    <row r="994">
      <c r="A994" s="49">
        <v>44494.908141875</v>
      </c>
      <c r="B994" s="50">
        <v>44495.033125787</v>
      </c>
      <c r="C994" s="51">
        <v>1.022</v>
      </c>
      <c r="D994" s="51">
        <v>62.0</v>
      </c>
      <c r="E994" s="52" t="s">
        <v>25</v>
      </c>
      <c r="F994" s="52" t="s">
        <v>26</v>
      </c>
      <c r="G994" s="53"/>
    </row>
    <row r="995">
      <c r="A995" s="49">
        <v>44494.91857525463</v>
      </c>
      <c r="B995" s="50">
        <v>44495.0435472338</v>
      </c>
      <c r="C995" s="51">
        <v>1.021</v>
      </c>
      <c r="D995" s="51">
        <v>62.0</v>
      </c>
      <c r="E995" s="52" t="s">
        <v>25</v>
      </c>
      <c r="F995" s="52" t="s">
        <v>26</v>
      </c>
      <c r="G995" s="53"/>
    </row>
    <row r="996">
      <c r="A996" s="49">
        <v>44494.92900503472</v>
      </c>
      <c r="B996" s="50">
        <v>44495.0539816203</v>
      </c>
      <c r="C996" s="51">
        <v>1.021</v>
      </c>
      <c r="D996" s="51">
        <v>62.0</v>
      </c>
      <c r="E996" s="52" t="s">
        <v>25</v>
      </c>
      <c r="F996" s="52" t="s">
        <v>26</v>
      </c>
      <c r="G996" s="53"/>
    </row>
    <row r="997">
      <c r="A997" s="49">
        <v>44494.93943155093</v>
      </c>
      <c r="B997" s="50">
        <v>44495.0644037963</v>
      </c>
      <c r="C997" s="51">
        <v>1.021</v>
      </c>
      <c r="D997" s="51">
        <v>62.0</v>
      </c>
      <c r="E997" s="52" t="s">
        <v>25</v>
      </c>
      <c r="F997" s="52" t="s">
        <v>26</v>
      </c>
      <c r="G997" s="53"/>
    </row>
    <row r="998">
      <c r="A998" s="49">
        <v>44494.9498512037</v>
      </c>
      <c r="B998" s="50">
        <v>44495.0748243981</v>
      </c>
      <c r="C998" s="51">
        <v>1.02</v>
      </c>
      <c r="D998" s="51">
        <v>62.0</v>
      </c>
      <c r="E998" s="52" t="s">
        <v>25</v>
      </c>
      <c r="F998" s="52" t="s">
        <v>26</v>
      </c>
      <c r="G998" s="53"/>
    </row>
    <row r="999">
      <c r="A999" s="49">
        <v>44494.96026612268</v>
      </c>
      <c r="B999" s="50">
        <v>44495.0852451273</v>
      </c>
      <c r="C999" s="51">
        <v>1.02</v>
      </c>
      <c r="D999" s="51">
        <v>62.0</v>
      </c>
      <c r="E999" s="52" t="s">
        <v>25</v>
      </c>
      <c r="F999" s="52" t="s">
        <v>26</v>
      </c>
      <c r="G999" s="53"/>
    </row>
    <row r="1000">
      <c r="A1000" s="49">
        <v>44494.97071043981</v>
      </c>
      <c r="B1000" s="50">
        <v>44495.0956793402</v>
      </c>
      <c r="C1000" s="51">
        <v>1.021</v>
      </c>
      <c r="D1000" s="51">
        <v>62.0</v>
      </c>
      <c r="E1000" s="52" t="s">
        <v>25</v>
      </c>
      <c r="F1000" s="52" t="s">
        <v>26</v>
      </c>
      <c r="G1000" s="53"/>
    </row>
    <row r="1001">
      <c r="A1001" s="49">
        <v>44494.981126956016</v>
      </c>
      <c r="B1001" s="50">
        <v>44495.1061026967</v>
      </c>
      <c r="C1001" s="51">
        <v>1.02</v>
      </c>
      <c r="D1001" s="51">
        <v>62.0</v>
      </c>
      <c r="E1001" s="52" t="s">
        <v>25</v>
      </c>
      <c r="F1001" s="52" t="s">
        <v>26</v>
      </c>
      <c r="G1001" s="53"/>
    </row>
    <row r="1002">
      <c r="A1002" s="49">
        <v>44495.001972557875</v>
      </c>
      <c r="B1002" s="50">
        <v>44495.1269431481</v>
      </c>
      <c r="C1002" s="51">
        <v>1.021</v>
      </c>
      <c r="D1002" s="51">
        <v>62.0</v>
      </c>
      <c r="E1002" s="52" t="s">
        <v>25</v>
      </c>
      <c r="F1002" s="52" t="s">
        <v>26</v>
      </c>
      <c r="G1002" s="53"/>
    </row>
    <row r="1003">
      <c r="A1003" s="49">
        <v>44495.012397604165</v>
      </c>
      <c r="B1003" s="50">
        <v>44495.1373644097</v>
      </c>
      <c r="C1003" s="51">
        <v>1.02</v>
      </c>
      <c r="D1003" s="51">
        <v>62.0</v>
      </c>
      <c r="E1003" s="52" t="s">
        <v>25</v>
      </c>
      <c r="F1003" s="52" t="s">
        <v>26</v>
      </c>
      <c r="G1003" s="53"/>
    </row>
    <row r="1004">
      <c r="A1004" s="49">
        <v>44495.02281983796</v>
      </c>
      <c r="B1004" s="50">
        <v>44495.1477867592</v>
      </c>
      <c r="C1004" s="51">
        <v>1.02</v>
      </c>
      <c r="D1004" s="51">
        <v>62.0</v>
      </c>
      <c r="E1004" s="52" t="s">
        <v>25</v>
      </c>
      <c r="F1004" s="52" t="s">
        <v>26</v>
      </c>
      <c r="G1004" s="53"/>
    </row>
    <row r="1005">
      <c r="A1005" s="49">
        <v>44495.03324059027</v>
      </c>
      <c r="B1005" s="50">
        <v>44495.1582059606</v>
      </c>
      <c r="C1005" s="51">
        <v>1.02</v>
      </c>
      <c r="D1005" s="51">
        <v>62.0</v>
      </c>
      <c r="E1005" s="52" t="s">
        <v>25</v>
      </c>
      <c r="F1005" s="52" t="s">
        <v>26</v>
      </c>
      <c r="G1005" s="53"/>
    </row>
    <row r="1006">
      <c r="A1006" s="49">
        <v>44495.043661874995</v>
      </c>
      <c r="B1006" s="50">
        <v>44495.1686261921</v>
      </c>
      <c r="C1006" s="51">
        <v>1.02</v>
      </c>
      <c r="D1006" s="51">
        <v>62.0</v>
      </c>
      <c r="E1006" s="52" t="s">
        <v>25</v>
      </c>
      <c r="F1006" s="52" t="s">
        <v>26</v>
      </c>
      <c r="G1006" s="53"/>
    </row>
    <row r="1007">
      <c r="A1007" s="49">
        <v>44495.05409024305</v>
      </c>
      <c r="B1007" s="50">
        <v>44495.1790473842</v>
      </c>
      <c r="C1007" s="51">
        <v>1.02</v>
      </c>
      <c r="D1007" s="51">
        <v>62.0</v>
      </c>
      <c r="E1007" s="52" t="s">
        <v>25</v>
      </c>
      <c r="F1007" s="52" t="s">
        <v>26</v>
      </c>
      <c r="G1007" s="53"/>
    </row>
    <row r="1008">
      <c r="A1008" s="49">
        <v>44495.06451196759</v>
      </c>
      <c r="B1008" s="50">
        <v>44495.1894790162</v>
      </c>
      <c r="C1008" s="51">
        <v>1.019</v>
      </c>
      <c r="D1008" s="51">
        <v>62.0</v>
      </c>
      <c r="E1008" s="52" t="s">
        <v>25</v>
      </c>
      <c r="F1008" s="52" t="s">
        <v>26</v>
      </c>
      <c r="G1008" s="53"/>
    </row>
    <row r="1009">
      <c r="A1009" s="49">
        <v>44495.07493863426</v>
      </c>
      <c r="B1009" s="50">
        <v>44495.1999006365</v>
      </c>
      <c r="C1009" s="51">
        <v>1.019</v>
      </c>
      <c r="D1009" s="51">
        <v>62.0</v>
      </c>
      <c r="E1009" s="52" t="s">
        <v>25</v>
      </c>
      <c r="F1009" s="52" t="s">
        <v>26</v>
      </c>
      <c r="G1009" s="53"/>
    </row>
    <row r="1010">
      <c r="A1010" s="49">
        <v>44495.08535634259</v>
      </c>
      <c r="B1010" s="50">
        <v>44495.2103212731</v>
      </c>
      <c r="C1010" s="51">
        <v>1.02</v>
      </c>
      <c r="D1010" s="51">
        <v>62.0</v>
      </c>
      <c r="E1010" s="52" t="s">
        <v>25</v>
      </c>
      <c r="F1010" s="52" t="s">
        <v>26</v>
      </c>
      <c r="G1010" s="53"/>
    </row>
    <row r="1011">
      <c r="A1011" s="49">
        <v>44495.09576856482</v>
      </c>
      <c r="B1011" s="50">
        <v>44495.2207427662</v>
      </c>
      <c r="C1011" s="51">
        <v>1.019</v>
      </c>
      <c r="D1011" s="51">
        <v>62.0</v>
      </c>
      <c r="E1011" s="52" t="s">
        <v>25</v>
      </c>
      <c r="F1011" s="52" t="s">
        <v>26</v>
      </c>
      <c r="G1011" s="53"/>
    </row>
    <row r="1012">
      <c r="A1012" s="49">
        <v>44495.10622447917</v>
      </c>
      <c r="B1012" s="50">
        <v>44495.2311642592</v>
      </c>
      <c r="C1012" s="51">
        <v>1.019</v>
      </c>
      <c r="D1012" s="51">
        <v>62.0</v>
      </c>
      <c r="E1012" s="52" t="s">
        <v>25</v>
      </c>
      <c r="F1012" s="52" t="s">
        <v>26</v>
      </c>
      <c r="G1012" s="53"/>
    </row>
    <row r="1013">
      <c r="A1013" s="49">
        <v>44495.1166184375</v>
      </c>
      <c r="B1013" s="50">
        <v>44495.241585324</v>
      </c>
      <c r="C1013" s="51">
        <v>1.019</v>
      </c>
      <c r="D1013" s="51">
        <v>62.0</v>
      </c>
      <c r="E1013" s="52" t="s">
        <v>25</v>
      </c>
      <c r="F1013" s="52" t="s">
        <v>26</v>
      </c>
      <c r="G1013" s="53"/>
    </row>
    <row r="1014">
      <c r="A1014" s="49">
        <v>44495.127037280094</v>
      </c>
      <c r="B1014" s="50">
        <v>44495.2520083449</v>
      </c>
      <c r="C1014" s="51">
        <v>1.02</v>
      </c>
      <c r="D1014" s="51">
        <v>62.0</v>
      </c>
      <c r="E1014" s="52" t="s">
        <v>25</v>
      </c>
      <c r="F1014" s="52" t="s">
        <v>26</v>
      </c>
      <c r="G1014" s="53"/>
    </row>
    <row r="1015">
      <c r="A1015" s="49">
        <v>44495.137462071754</v>
      </c>
      <c r="B1015" s="50">
        <v>44495.2624288078</v>
      </c>
      <c r="C1015" s="51">
        <v>1.019</v>
      </c>
      <c r="D1015" s="51">
        <v>62.0</v>
      </c>
      <c r="E1015" s="52" t="s">
        <v>25</v>
      </c>
      <c r="F1015" s="52" t="s">
        <v>26</v>
      </c>
      <c r="G1015" s="53"/>
    </row>
    <row r="1016">
      <c r="A1016" s="49">
        <v>44495.14788071759</v>
      </c>
      <c r="B1016" s="50">
        <v>44495.2728494907</v>
      </c>
      <c r="C1016" s="51">
        <v>1.02</v>
      </c>
      <c r="D1016" s="51">
        <v>62.0</v>
      </c>
      <c r="E1016" s="52" t="s">
        <v>25</v>
      </c>
      <c r="F1016" s="52" t="s">
        <v>26</v>
      </c>
      <c r="G1016" s="53"/>
    </row>
    <row r="1017">
      <c r="A1017" s="49">
        <v>44495.158339629634</v>
      </c>
      <c r="B1017" s="50">
        <v>44495.2832702083</v>
      </c>
      <c r="C1017" s="51">
        <v>1.02</v>
      </c>
      <c r="D1017" s="51">
        <v>63.0</v>
      </c>
      <c r="E1017" s="52" t="s">
        <v>25</v>
      </c>
      <c r="F1017" s="52" t="s">
        <v>26</v>
      </c>
      <c r="G1017" s="53"/>
    </row>
    <row r="1018">
      <c r="A1018" s="49">
        <v>44495.16871568287</v>
      </c>
      <c r="B1018" s="50">
        <v>44495.2936903703</v>
      </c>
      <c r="C1018" s="51">
        <v>1.02</v>
      </c>
      <c r="D1018" s="51">
        <v>63.0</v>
      </c>
      <c r="E1018" s="52" t="s">
        <v>25</v>
      </c>
      <c r="F1018" s="52" t="s">
        <v>26</v>
      </c>
      <c r="G1018" s="53"/>
    </row>
    <row r="1019">
      <c r="A1019" s="49">
        <v>44495.179148888885</v>
      </c>
      <c r="B1019" s="50">
        <v>44495.3041119444</v>
      </c>
      <c r="C1019" s="51">
        <v>1.019</v>
      </c>
      <c r="D1019" s="51">
        <v>63.0</v>
      </c>
      <c r="E1019" s="52" t="s">
        <v>25</v>
      </c>
      <c r="F1019" s="52" t="s">
        <v>26</v>
      </c>
      <c r="G1019" s="53"/>
    </row>
    <row r="1020">
      <c r="A1020" s="49">
        <v>44495.189568807866</v>
      </c>
      <c r="B1020" s="50">
        <v>44495.3145342592</v>
      </c>
      <c r="C1020" s="51">
        <v>1.018</v>
      </c>
      <c r="D1020" s="51">
        <v>63.0</v>
      </c>
      <c r="E1020" s="52" t="s">
        <v>25</v>
      </c>
      <c r="F1020" s="52" t="s">
        <v>26</v>
      </c>
      <c r="G1020" s="53"/>
    </row>
    <row r="1021">
      <c r="A1021" s="49">
        <v>44495.19999179398</v>
      </c>
      <c r="B1021" s="50">
        <v>44495.3249528009</v>
      </c>
      <c r="C1021" s="51">
        <v>1.019</v>
      </c>
      <c r="D1021" s="51">
        <v>63.0</v>
      </c>
      <c r="E1021" s="52" t="s">
        <v>25</v>
      </c>
      <c r="F1021" s="52" t="s">
        <v>26</v>
      </c>
      <c r="G1021" s="53"/>
    </row>
    <row r="1022">
      <c r="A1022" s="49">
        <v>44495.210408506944</v>
      </c>
      <c r="B1022" s="50">
        <v>44495.3353748958</v>
      </c>
      <c r="C1022" s="51">
        <v>1.019</v>
      </c>
      <c r="D1022" s="51">
        <v>63.0</v>
      </c>
      <c r="E1022" s="52" t="s">
        <v>25</v>
      </c>
      <c r="F1022" s="52" t="s">
        <v>26</v>
      </c>
      <c r="G1022" s="53"/>
    </row>
    <row r="1023">
      <c r="A1023" s="49">
        <v>44495.2208493287</v>
      </c>
      <c r="B1023" s="50">
        <v>44495.3458193634</v>
      </c>
      <c r="C1023" s="51">
        <v>1.019</v>
      </c>
      <c r="D1023" s="51">
        <v>63.0</v>
      </c>
      <c r="E1023" s="52" t="s">
        <v>25</v>
      </c>
      <c r="F1023" s="52" t="s">
        <v>26</v>
      </c>
      <c r="G1023" s="53"/>
    </row>
    <row r="1024">
      <c r="A1024" s="49">
        <v>44495.231270856486</v>
      </c>
      <c r="B1024" s="50">
        <v>44495.3562389351</v>
      </c>
      <c r="C1024" s="51">
        <v>1.019</v>
      </c>
      <c r="D1024" s="51">
        <v>63.0</v>
      </c>
      <c r="E1024" s="52" t="s">
        <v>25</v>
      </c>
      <c r="F1024" s="52" t="s">
        <v>26</v>
      </c>
      <c r="G1024" s="53"/>
    </row>
    <row r="1025">
      <c r="A1025" s="49">
        <v>44495.24170534722</v>
      </c>
      <c r="B1025" s="50">
        <v>44495.3666602777</v>
      </c>
      <c r="C1025" s="51">
        <v>1.019</v>
      </c>
      <c r="D1025" s="51">
        <v>63.0</v>
      </c>
      <c r="E1025" s="52" t="s">
        <v>25</v>
      </c>
      <c r="F1025" s="52" t="s">
        <v>26</v>
      </c>
      <c r="G1025" s="53"/>
    </row>
    <row r="1026">
      <c r="A1026" s="49">
        <v>44495.252124861116</v>
      </c>
      <c r="B1026" s="50">
        <v>44495.37708125</v>
      </c>
      <c r="C1026" s="51">
        <v>1.019</v>
      </c>
      <c r="D1026" s="51">
        <v>63.0</v>
      </c>
      <c r="E1026" s="52" t="s">
        <v>25</v>
      </c>
      <c r="F1026" s="52" t="s">
        <v>26</v>
      </c>
      <c r="G1026" s="53"/>
    </row>
    <row r="1027">
      <c r="A1027" s="49">
        <v>44495.26253371528</v>
      </c>
      <c r="B1027" s="50">
        <v>44495.387501956</v>
      </c>
      <c r="C1027" s="51">
        <v>1.019</v>
      </c>
      <c r="D1027" s="51">
        <v>63.0</v>
      </c>
      <c r="E1027" s="52" t="s">
        <v>25</v>
      </c>
      <c r="F1027" s="52" t="s">
        <v>26</v>
      </c>
      <c r="G1027" s="53"/>
    </row>
    <row r="1028">
      <c r="A1028" s="49">
        <v>44495.272974594904</v>
      </c>
      <c r="B1028" s="50">
        <v>44495.3979229745</v>
      </c>
      <c r="C1028" s="51">
        <v>1.019</v>
      </c>
      <c r="D1028" s="51">
        <v>63.0</v>
      </c>
      <c r="E1028" s="52" t="s">
        <v>25</v>
      </c>
      <c r="F1028" s="52" t="s">
        <v>26</v>
      </c>
      <c r="G1028" s="53"/>
    </row>
    <row r="1029">
      <c r="A1029" s="49">
        <v>44495.28338237268</v>
      </c>
      <c r="B1029" s="50">
        <v>44495.4083442476</v>
      </c>
      <c r="C1029" s="51">
        <v>1.019</v>
      </c>
      <c r="D1029" s="51">
        <v>63.0</v>
      </c>
      <c r="E1029" s="52" t="s">
        <v>25</v>
      </c>
      <c r="F1029" s="52" t="s">
        <v>26</v>
      </c>
      <c r="G1029" s="53"/>
    </row>
    <row r="1030">
      <c r="A1030" s="49">
        <v>44495.2938</v>
      </c>
      <c r="B1030" s="50">
        <v>44495.418766875</v>
      </c>
      <c r="C1030" s="51">
        <v>1.019</v>
      </c>
      <c r="D1030" s="51">
        <v>63.0</v>
      </c>
      <c r="E1030" s="52" t="s">
        <v>25</v>
      </c>
      <c r="F1030" s="52" t="s">
        <v>26</v>
      </c>
      <c r="G1030" s="53"/>
    </row>
    <row r="1031">
      <c r="A1031" s="49">
        <v>44495.30422560185</v>
      </c>
      <c r="B1031" s="50">
        <v>44495.4291873611</v>
      </c>
      <c r="C1031" s="51">
        <v>1.02</v>
      </c>
      <c r="D1031" s="51">
        <v>63.0</v>
      </c>
      <c r="E1031" s="52" t="s">
        <v>25</v>
      </c>
      <c r="F1031" s="52" t="s">
        <v>26</v>
      </c>
      <c r="G1031" s="53"/>
    </row>
    <row r="1032">
      <c r="A1032" s="49">
        <v>44495.314646956016</v>
      </c>
      <c r="B1032" s="50">
        <v>44495.4396079282</v>
      </c>
      <c r="C1032" s="51">
        <v>1.02</v>
      </c>
      <c r="D1032" s="51">
        <v>63.0</v>
      </c>
      <c r="E1032" s="52" t="s">
        <v>25</v>
      </c>
      <c r="F1032" s="52" t="s">
        <v>26</v>
      </c>
      <c r="G1032" s="53"/>
    </row>
    <row r="1033">
      <c r="A1033" s="49">
        <v>44495.32506472222</v>
      </c>
      <c r="B1033" s="50">
        <v>44495.4500390509</v>
      </c>
      <c r="C1033" s="51">
        <v>1.019</v>
      </c>
      <c r="D1033" s="51">
        <v>63.0</v>
      </c>
      <c r="E1033" s="52" t="s">
        <v>25</v>
      </c>
      <c r="F1033" s="52" t="s">
        <v>26</v>
      </c>
      <c r="G1033" s="53"/>
    </row>
    <row r="1034">
      <c r="A1034" s="49">
        <v>44495.33549488426</v>
      </c>
      <c r="B1034" s="50">
        <v>44495.4604612152</v>
      </c>
      <c r="C1034" s="51">
        <v>1.019</v>
      </c>
      <c r="D1034" s="51">
        <v>63.0</v>
      </c>
      <c r="E1034" s="52" t="s">
        <v>25</v>
      </c>
      <c r="F1034" s="52" t="s">
        <v>26</v>
      </c>
      <c r="G1034" s="53"/>
    </row>
    <row r="1035">
      <c r="A1035" s="49">
        <v>44495.34591146991</v>
      </c>
      <c r="B1035" s="50">
        <v>44495.4708821064</v>
      </c>
      <c r="C1035" s="51">
        <v>1.018</v>
      </c>
      <c r="D1035" s="51">
        <v>63.0</v>
      </c>
      <c r="E1035" s="52" t="s">
        <v>25</v>
      </c>
      <c r="F1035" s="52" t="s">
        <v>26</v>
      </c>
      <c r="G1035" s="53"/>
    </row>
    <row r="1036">
      <c r="A1036" s="49">
        <v>44495.35635113426</v>
      </c>
      <c r="B1036" s="50">
        <v>44495.4813143518</v>
      </c>
      <c r="C1036" s="51">
        <v>1.018</v>
      </c>
      <c r="D1036" s="51">
        <v>63.0</v>
      </c>
      <c r="E1036" s="52" t="s">
        <v>25</v>
      </c>
      <c r="F1036" s="52" t="s">
        <v>26</v>
      </c>
      <c r="G1036" s="53"/>
    </row>
    <row r="1037">
      <c r="A1037" s="49">
        <v>44495.36677959491</v>
      </c>
      <c r="B1037" s="50">
        <v>44495.4917479745</v>
      </c>
      <c r="C1037" s="51">
        <v>1.018</v>
      </c>
      <c r="D1037" s="51">
        <v>63.0</v>
      </c>
      <c r="E1037" s="52" t="s">
        <v>25</v>
      </c>
      <c r="F1037" s="52" t="s">
        <v>26</v>
      </c>
      <c r="G1037" s="53"/>
    </row>
    <row r="1038">
      <c r="A1038" s="49">
        <v>44495.37719896991</v>
      </c>
      <c r="B1038" s="50">
        <v>44495.5021695833</v>
      </c>
      <c r="C1038" s="51">
        <v>1.018</v>
      </c>
      <c r="D1038" s="51">
        <v>63.0</v>
      </c>
      <c r="E1038" s="52" t="s">
        <v>25</v>
      </c>
      <c r="F1038" s="52" t="s">
        <v>26</v>
      </c>
      <c r="G1038" s="53"/>
    </row>
    <row r="1039">
      <c r="A1039" s="49">
        <v>44495.38761653935</v>
      </c>
      <c r="B1039" s="50">
        <v>44495.5125916435</v>
      </c>
      <c r="C1039" s="51">
        <v>1.018</v>
      </c>
      <c r="D1039" s="51">
        <v>63.0</v>
      </c>
      <c r="E1039" s="52" t="s">
        <v>25</v>
      </c>
      <c r="F1039" s="52" t="s">
        <v>26</v>
      </c>
      <c r="G1039" s="53"/>
    </row>
    <row r="1040">
      <c r="A1040" s="49">
        <v>44495.398094606484</v>
      </c>
      <c r="B1040" s="50">
        <v>44495.5230118287</v>
      </c>
      <c r="C1040" s="51">
        <v>1.02</v>
      </c>
      <c r="D1040" s="51">
        <v>63.0</v>
      </c>
      <c r="E1040" s="52" t="s">
        <v>25</v>
      </c>
      <c r="F1040" s="52" t="s">
        <v>26</v>
      </c>
      <c r="G1040" s="53"/>
    </row>
    <row r="1041">
      <c r="A1041" s="49">
        <v>44495.4188983912</v>
      </c>
      <c r="B1041" s="50">
        <v>44495.5438527893</v>
      </c>
      <c r="C1041" s="51">
        <v>1.018</v>
      </c>
      <c r="D1041" s="51">
        <v>63.0</v>
      </c>
      <c r="E1041" s="52" t="s">
        <v>25</v>
      </c>
      <c r="F1041" s="52" t="s">
        <v>26</v>
      </c>
      <c r="G1041" s="53"/>
    </row>
    <row r="1042">
      <c r="A1042" s="49">
        <v>44495.42931841435</v>
      </c>
      <c r="B1042" s="50">
        <v>44495.5542869675</v>
      </c>
      <c r="C1042" s="51">
        <v>1.017</v>
      </c>
      <c r="D1042" s="51">
        <v>63.0</v>
      </c>
      <c r="E1042" s="52" t="s">
        <v>25</v>
      </c>
      <c r="F1042" s="52" t="s">
        <v>26</v>
      </c>
      <c r="G1042" s="53"/>
    </row>
    <row r="1043">
      <c r="A1043" s="49">
        <v>44495.43973871528</v>
      </c>
      <c r="B1043" s="50">
        <v>44495.5647081713</v>
      </c>
      <c r="C1043" s="51">
        <v>1.018</v>
      </c>
      <c r="D1043" s="51">
        <v>63.0</v>
      </c>
      <c r="E1043" s="52" t="s">
        <v>25</v>
      </c>
      <c r="F1043" s="52" t="s">
        <v>26</v>
      </c>
      <c r="G1043" s="53"/>
    </row>
    <row r="1044">
      <c r="A1044" s="49">
        <v>44495.45017611111</v>
      </c>
      <c r="B1044" s="50">
        <v>44495.5751417245</v>
      </c>
      <c r="C1044" s="51">
        <v>1.018</v>
      </c>
      <c r="D1044" s="51">
        <v>63.0</v>
      </c>
      <c r="E1044" s="52" t="s">
        <v>25</v>
      </c>
      <c r="F1044" s="52" t="s">
        <v>26</v>
      </c>
      <c r="G1044" s="53"/>
    </row>
    <row r="1045">
      <c r="A1045" s="49">
        <v>44495.46059724537</v>
      </c>
      <c r="B1045" s="50">
        <v>44495.5855622222</v>
      </c>
      <c r="C1045" s="51">
        <v>1.019</v>
      </c>
      <c r="D1045" s="51">
        <v>63.0</v>
      </c>
      <c r="E1045" s="52" t="s">
        <v>25</v>
      </c>
      <c r="F1045" s="52" t="s">
        <v>26</v>
      </c>
      <c r="G1045" s="53"/>
    </row>
    <row r="1046">
      <c r="A1046" s="49">
        <v>44495.47103236111</v>
      </c>
      <c r="B1046" s="50">
        <v>44495.5959825463</v>
      </c>
      <c r="C1046" s="51">
        <v>1.019</v>
      </c>
      <c r="D1046" s="51">
        <v>63.0</v>
      </c>
      <c r="E1046" s="52" t="s">
        <v>25</v>
      </c>
      <c r="F1046" s="52" t="s">
        <v>26</v>
      </c>
      <c r="G1046" s="53"/>
    </row>
    <row r="1047">
      <c r="A1047" s="49">
        <v>44495.481442847224</v>
      </c>
      <c r="B1047" s="50">
        <v>44495.6064062963</v>
      </c>
      <c r="C1047" s="51">
        <v>1.019</v>
      </c>
      <c r="D1047" s="51">
        <v>63.0</v>
      </c>
      <c r="E1047" s="52" t="s">
        <v>25</v>
      </c>
      <c r="F1047" s="52" t="s">
        <v>26</v>
      </c>
      <c r="G1047" s="53"/>
    </row>
    <row r="1048">
      <c r="A1048" s="49">
        <v>44495.491855162036</v>
      </c>
      <c r="B1048" s="50">
        <v>44495.6168278935</v>
      </c>
      <c r="C1048" s="51">
        <v>1.02</v>
      </c>
      <c r="D1048" s="51">
        <v>63.0</v>
      </c>
      <c r="E1048" s="52" t="s">
        <v>25</v>
      </c>
      <c r="F1048" s="52" t="s">
        <v>26</v>
      </c>
      <c r="G1048" s="53"/>
    </row>
    <row r="1049">
      <c r="A1049" s="49">
        <v>44495.50227748843</v>
      </c>
      <c r="B1049" s="50">
        <v>44495.6272502199</v>
      </c>
      <c r="C1049" s="51">
        <v>1.019</v>
      </c>
      <c r="D1049" s="51">
        <v>63.0</v>
      </c>
      <c r="E1049" s="52" t="s">
        <v>25</v>
      </c>
      <c r="F1049" s="52" t="s">
        <v>26</v>
      </c>
      <c r="G1049" s="53"/>
    </row>
    <row r="1050">
      <c r="A1050" s="49">
        <v>44495.51270649306</v>
      </c>
      <c r="B1050" s="50">
        <v>44495.6376709838</v>
      </c>
      <c r="C1050" s="51">
        <v>1.019</v>
      </c>
      <c r="D1050" s="51">
        <v>63.0</v>
      </c>
      <c r="E1050" s="52" t="s">
        <v>25</v>
      </c>
      <c r="F1050" s="52" t="s">
        <v>26</v>
      </c>
      <c r="G1050" s="53"/>
    </row>
    <row r="1051">
      <c r="A1051" s="49">
        <v>44495.52313965278</v>
      </c>
      <c r="B1051" s="50">
        <v>44495.6480926504</v>
      </c>
      <c r="C1051" s="51">
        <v>1.02</v>
      </c>
      <c r="D1051" s="51">
        <v>63.0</v>
      </c>
      <c r="E1051" s="52" t="s">
        <v>25</v>
      </c>
      <c r="F1051" s="52" t="s">
        <v>26</v>
      </c>
      <c r="G1051" s="53"/>
    </row>
    <row r="1052">
      <c r="A1052" s="49">
        <v>44495.533560763884</v>
      </c>
      <c r="B1052" s="50">
        <v>44495.6585272916</v>
      </c>
      <c r="C1052" s="51">
        <v>1.019</v>
      </c>
      <c r="D1052" s="51">
        <v>63.0</v>
      </c>
      <c r="E1052" s="52" t="s">
        <v>25</v>
      </c>
      <c r="F1052" s="52" t="s">
        <v>26</v>
      </c>
      <c r="G1052" s="53"/>
    </row>
    <row r="1053">
      <c r="A1053" s="49">
        <v>44495.54398239583</v>
      </c>
      <c r="B1053" s="50">
        <v>44495.6689482407</v>
      </c>
      <c r="C1053" s="51">
        <v>1.02</v>
      </c>
      <c r="D1053" s="51">
        <v>63.0</v>
      </c>
      <c r="E1053" s="52" t="s">
        <v>25</v>
      </c>
      <c r="F1053" s="52" t="s">
        <v>26</v>
      </c>
      <c r="G1053" s="53"/>
    </row>
    <row r="1054">
      <c r="A1054" s="49">
        <v>44495.55439454861</v>
      </c>
      <c r="B1054" s="50">
        <v>44495.6793681018</v>
      </c>
      <c r="C1054" s="51">
        <v>1.02</v>
      </c>
      <c r="D1054" s="51">
        <v>63.0</v>
      </c>
      <c r="E1054" s="52" t="s">
        <v>25</v>
      </c>
      <c r="F1054" s="52" t="s">
        <v>26</v>
      </c>
      <c r="G1054" s="53"/>
    </row>
    <row r="1055">
      <c r="A1055" s="49">
        <v>44495.56483828704</v>
      </c>
      <c r="B1055" s="50">
        <v>44495.6897917824</v>
      </c>
      <c r="C1055" s="51">
        <v>1.02</v>
      </c>
      <c r="D1055" s="51">
        <v>64.0</v>
      </c>
      <c r="E1055" s="52" t="s">
        <v>25</v>
      </c>
      <c r="F1055" s="52" t="s">
        <v>26</v>
      </c>
      <c r="G1055" s="53"/>
    </row>
    <row r="1056">
      <c r="A1056" s="49">
        <v>44495.57524392361</v>
      </c>
      <c r="B1056" s="50">
        <v>44495.70021353</v>
      </c>
      <c r="C1056" s="51">
        <v>1.02</v>
      </c>
      <c r="D1056" s="51">
        <v>64.0</v>
      </c>
      <c r="E1056" s="52" t="s">
        <v>25</v>
      </c>
      <c r="F1056" s="52" t="s">
        <v>26</v>
      </c>
      <c r="G1056" s="53"/>
    </row>
    <row r="1057">
      <c r="A1057" s="49">
        <v>44495.58566305556</v>
      </c>
      <c r="B1057" s="50">
        <v>44495.7106331828</v>
      </c>
      <c r="C1057" s="51">
        <v>1.02</v>
      </c>
      <c r="D1057" s="51">
        <v>64.0</v>
      </c>
      <c r="E1057" s="52" t="s">
        <v>25</v>
      </c>
      <c r="F1057" s="52" t="s">
        <v>26</v>
      </c>
      <c r="G1057" s="53"/>
    </row>
    <row r="1058">
      <c r="A1058" s="49">
        <v>44495.596084687495</v>
      </c>
      <c r="B1058" s="50">
        <v>44495.7210562268</v>
      </c>
      <c r="C1058" s="51">
        <v>1.02</v>
      </c>
      <c r="D1058" s="51">
        <v>64.0</v>
      </c>
      <c r="E1058" s="52" t="s">
        <v>25</v>
      </c>
      <c r="F1058" s="52" t="s">
        <v>26</v>
      </c>
      <c r="G1058" s="53"/>
    </row>
    <row r="1059">
      <c r="A1059" s="49">
        <v>44495.60650309028</v>
      </c>
      <c r="B1059" s="50">
        <v>44495.7314772685</v>
      </c>
      <c r="C1059" s="51">
        <v>1.019</v>
      </c>
      <c r="D1059" s="51">
        <v>64.0</v>
      </c>
      <c r="E1059" s="52" t="s">
        <v>25</v>
      </c>
      <c r="F1059" s="52" t="s">
        <v>26</v>
      </c>
      <c r="G1059" s="53"/>
    </row>
    <row r="1060">
      <c r="A1060" s="49">
        <v>44495.61693626158</v>
      </c>
      <c r="B1060" s="50">
        <v>44495.7419112037</v>
      </c>
      <c r="C1060" s="51">
        <v>1.02</v>
      </c>
      <c r="D1060" s="51">
        <v>64.0</v>
      </c>
      <c r="E1060" s="52" t="s">
        <v>25</v>
      </c>
      <c r="F1060" s="52" t="s">
        <v>26</v>
      </c>
      <c r="G1060" s="53"/>
    </row>
    <row r="1061">
      <c r="A1061" s="49">
        <v>44495.62735376158</v>
      </c>
      <c r="B1061" s="50">
        <v>44495.75233125</v>
      </c>
      <c r="C1061" s="51">
        <v>1.019</v>
      </c>
      <c r="D1061" s="51">
        <v>64.0</v>
      </c>
      <c r="E1061" s="52" t="s">
        <v>25</v>
      </c>
      <c r="F1061" s="52" t="s">
        <v>26</v>
      </c>
      <c r="G1061" s="53"/>
    </row>
    <row r="1062">
      <c r="A1062" s="49">
        <v>44495.6377818287</v>
      </c>
      <c r="B1062" s="50">
        <v>44495.7627519675</v>
      </c>
      <c r="C1062" s="51">
        <v>1.019</v>
      </c>
      <c r="D1062" s="51">
        <v>64.0</v>
      </c>
      <c r="E1062" s="52" t="s">
        <v>25</v>
      </c>
      <c r="F1062" s="52" t="s">
        <v>26</v>
      </c>
      <c r="G1062" s="53"/>
    </row>
    <row r="1063">
      <c r="A1063" s="49">
        <v>44495.64820659722</v>
      </c>
      <c r="B1063" s="50">
        <v>44495.7731864699</v>
      </c>
      <c r="C1063" s="51">
        <v>1.019</v>
      </c>
      <c r="D1063" s="51">
        <v>64.0</v>
      </c>
      <c r="E1063" s="52" t="s">
        <v>25</v>
      </c>
      <c r="F1063" s="52" t="s">
        <v>26</v>
      </c>
      <c r="G1063" s="53"/>
    </row>
    <row r="1064">
      <c r="A1064" s="49">
        <v>44495.6586369213</v>
      </c>
      <c r="B1064" s="50">
        <v>44495.7836065972</v>
      </c>
      <c r="C1064" s="51">
        <v>1.018</v>
      </c>
      <c r="D1064" s="51">
        <v>64.0</v>
      </c>
      <c r="E1064" s="52" t="s">
        <v>25</v>
      </c>
      <c r="F1064" s="52" t="s">
        <v>26</v>
      </c>
      <c r="G1064" s="53"/>
    </row>
    <row r="1065">
      <c r="A1065" s="49">
        <v>44495.66905456019</v>
      </c>
      <c r="B1065" s="50">
        <v>44495.7940270023</v>
      </c>
      <c r="C1065" s="51">
        <v>1.019</v>
      </c>
      <c r="D1065" s="51">
        <v>64.0</v>
      </c>
      <c r="E1065" s="52" t="s">
        <v>25</v>
      </c>
      <c r="F1065" s="52" t="s">
        <v>26</v>
      </c>
      <c r="G1065" s="53"/>
    </row>
    <row r="1066">
      <c r="A1066" s="49">
        <v>44495.67947400463</v>
      </c>
      <c r="B1066" s="50">
        <v>44495.80444853</v>
      </c>
      <c r="C1066" s="51">
        <v>1.019</v>
      </c>
      <c r="D1066" s="51">
        <v>64.0</v>
      </c>
      <c r="E1066" s="52" t="s">
        <v>25</v>
      </c>
      <c r="F1066" s="52" t="s">
        <v>26</v>
      </c>
      <c r="G1066" s="53"/>
    </row>
    <row r="1067">
      <c r="A1067" s="49">
        <v>44495.68988921297</v>
      </c>
      <c r="B1067" s="50">
        <v>44495.814870949</v>
      </c>
      <c r="C1067" s="51">
        <v>1.018</v>
      </c>
      <c r="D1067" s="51">
        <v>64.0</v>
      </c>
      <c r="E1067" s="52" t="s">
        <v>25</v>
      </c>
      <c r="F1067" s="52" t="s">
        <v>26</v>
      </c>
      <c r="G1067" s="53"/>
    </row>
    <row r="1068">
      <c r="A1068" s="49">
        <v>44495.70032503472</v>
      </c>
      <c r="B1068" s="50">
        <v>44495.8252926851</v>
      </c>
      <c r="C1068" s="51">
        <v>1.018</v>
      </c>
      <c r="D1068" s="51">
        <v>64.0</v>
      </c>
      <c r="E1068" s="52" t="s">
        <v>25</v>
      </c>
      <c r="F1068" s="52" t="s">
        <v>26</v>
      </c>
      <c r="G1068" s="53"/>
    </row>
    <row r="1069">
      <c r="A1069" s="49">
        <v>44495.710778043984</v>
      </c>
      <c r="B1069" s="50">
        <v>44495.8357485763</v>
      </c>
      <c r="C1069" s="51">
        <v>1.018</v>
      </c>
      <c r="D1069" s="51">
        <v>64.0</v>
      </c>
      <c r="E1069" s="52" t="s">
        <v>25</v>
      </c>
      <c r="F1069" s="52" t="s">
        <v>26</v>
      </c>
      <c r="G1069" s="53"/>
    </row>
    <row r="1070">
      <c r="A1070" s="49">
        <v>44495.72120346065</v>
      </c>
      <c r="B1070" s="50">
        <v>44495.8461684143</v>
      </c>
      <c r="C1070" s="51">
        <v>1.02</v>
      </c>
      <c r="D1070" s="51">
        <v>64.0</v>
      </c>
      <c r="E1070" s="52" t="s">
        <v>25</v>
      </c>
      <c r="F1070" s="52" t="s">
        <v>26</v>
      </c>
      <c r="G1070" s="53"/>
    </row>
    <row r="1071">
      <c r="A1071" s="49">
        <v>44495.73161342593</v>
      </c>
      <c r="B1071" s="50">
        <v>44495.8565890856</v>
      </c>
      <c r="C1071" s="51">
        <v>1.018</v>
      </c>
      <c r="D1071" s="51">
        <v>64.0</v>
      </c>
      <c r="E1071" s="52" t="s">
        <v>25</v>
      </c>
      <c r="F1071" s="52" t="s">
        <v>26</v>
      </c>
      <c r="G1071" s="53"/>
    </row>
    <row r="1072">
      <c r="A1072" s="49">
        <v>44495.74202939815</v>
      </c>
      <c r="B1072" s="50">
        <v>44495.8670096875</v>
      </c>
      <c r="C1072" s="51">
        <v>1.019</v>
      </c>
      <c r="D1072" s="51">
        <v>64.0</v>
      </c>
      <c r="E1072" s="52" t="s">
        <v>25</v>
      </c>
      <c r="F1072" s="52" t="s">
        <v>26</v>
      </c>
      <c r="G1072" s="53"/>
    </row>
    <row r="1073">
      <c r="A1073" s="49">
        <v>44495.752450162036</v>
      </c>
      <c r="B1073" s="50">
        <v>44495.8774300347</v>
      </c>
      <c r="C1073" s="51">
        <v>1.019</v>
      </c>
      <c r="D1073" s="51">
        <v>64.0</v>
      </c>
      <c r="E1073" s="52" t="s">
        <v>25</v>
      </c>
      <c r="F1073" s="52" t="s">
        <v>26</v>
      </c>
      <c r="G1073" s="53"/>
    </row>
    <row r="1074">
      <c r="A1074" s="49">
        <v>44495.76287972222</v>
      </c>
      <c r="B1074" s="50">
        <v>44495.8878531481</v>
      </c>
      <c r="C1074" s="51">
        <v>1.02</v>
      </c>
      <c r="D1074" s="51">
        <v>64.0</v>
      </c>
      <c r="E1074" s="52" t="s">
        <v>25</v>
      </c>
      <c r="F1074" s="52" t="s">
        <v>26</v>
      </c>
      <c r="G1074" s="53"/>
    </row>
    <row r="1075">
      <c r="A1075" s="49">
        <v>44495.77329869213</v>
      </c>
      <c r="B1075" s="50">
        <v>44495.8982744907</v>
      </c>
      <c r="C1075" s="51">
        <v>1.019</v>
      </c>
      <c r="D1075" s="51">
        <v>64.0</v>
      </c>
      <c r="E1075" s="52" t="s">
        <v>25</v>
      </c>
      <c r="F1075" s="52" t="s">
        <v>26</v>
      </c>
      <c r="G1075" s="53"/>
    </row>
    <row r="1076">
      <c r="A1076" s="49">
        <v>44495.78372604167</v>
      </c>
      <c r="B1076" s="50">
        <v>44495.9086967592</v>
      </c>
      <c r="C1076" s="51">
        <v>1.019</v>
      </c>
      <c r="D1076" s="51">
        <v>64.0</v>
      </c>
      <c r="E1076" s="52" t="s">
        <v>25</v>
      </c>
      <c r="F1076" s="52" t="s">
        <v>26</v>
      </c>
      <c r="G1076" s="53"/>
    </row>
    <row r="1077">
      <c r="A1077" s="49">
        <v>44495.79416796296</v>
      </c>
      <c r="B1077" s="50">
        <v>44495.9191294675</v>
      </c>
      <c r="C1077" s="51">
        <v>1.019</v>
      </c>
      <c r="D1077" s="51">
        <v>64.0</v>
      </c>
      <c r="E1077" s="52" t="s">
        <v>25</v>
      </c>
      <c r="F1077" s="52" t="s">
        <v>26</v>
      </c>
      <c r="G1077" s="53"/>
    </row>
    <row r="1078">
      <c r="A1078" s="49">
        <v>44495.80456982639</v>
      </c>
      <c r="B1078" s="50">
        <v>44495.9295502199</v>
      </c>
      <c r="C1078" s="51">
        <v>1.017</v>
      </c>
      <c r="D1078" s="51">
        <v>64.0</v>
      </c>
      <c r="E1078" s="52" t="s">
        <v>25</v>
      </c>
      <c r="F1078" s="52" t="s">
        <v>26</v>
      </c>
      <c r="G1078" s="53"/>
    </row>
    <row r="1079">
      <c r="A1079" s="49">
        <v>44495.81503046297</v>
      </c>
      <c r="B1079" s="50">
        <v>44495.9399835763</v>
      </c>
      <c r="C1079" s="51">
        <v>1.018</v>
      </c>
      <c r="D1079" s="51">
        <v>64.0</v>
      </c>
      <c r="E1079" s="52" t="s">
        <v>25</v>
      </c>
      <c r="F1079" s="52" t="s">
        <v>26</v>
      </c>
      <c r="G1079" s="53"/>
    </row>
    <row r="1080">
      <c r="A1080" s="49">
        <v>44495.825448020834</v>
      </c>
      <c r="B1080" s="50">
        <v>44495.9504160995</v>
      </c>
      <c r="C1080" s="51">
        <v>1.017</v>
      </c>
      <c r="D1080" s="51">
        <v>64.0</v>
      </c>
      <c r="E1080" s="52" t="s">
        <v>25</v>
      </c>
      <c r="F1080" s="52" t="s">
        <v>26</v>
      </c>
      <c r="G1080" s="53"/>
    </row>
    <row r="1081">
      <c r="A1081" s="49">
        <v>44495.83586461806</v>
      </c>
      <c r="B1081" s="50">
        <v>44495.9608376967</v>
      </c>
      <c r="C1081" s="51">
        <v>1.017</v>
      </c>
      <c r="D1081" s="51">
        <v>64.0</v>
      </c>
      <c r="E1081" s="52" t="s">
        <v>25</v>
      </c>
      <c r="F1081" s="52" t="s">
        <v>26</v>
      </c>
      <c r="G1081" s="53"/>
    </row>
    <row r="1082">
      <c r="A1082" s="49">
        <v>44495.84629083333</v>
      </c>
      <c r="B1082" s="50">
        <v>44495.9712596064</v>
      </c>
      <c r="C1082" s="51">
        <v>1.016</v>
      </c>
      <c r="D1082" s="51">
        <v>64.0</v>
      </c>
      <c r="E1082" s="52" t="s">
        <v>25</v>
      </c>
      <c r="F1082" s="52" t="s">
        <v>26</v>
      </c>
      <c r="G1082" s="53"/>
    </row>
    <row r="1083">
      <c r="A1083" s="49">
        <v>44495.85670150463</v>
      </c>
      <c r="B1083" s="50">
        <v>44495.9816820717</v>
      </c>
      <c r="C1083" s="51">
        <v>1.017</v>
      </c>
      <c r="D1083" s="51">
        <v>64.0</v>
      </c>
      <c r="E1083" s="52" t="s">
        <v>25</v>
      </c>
      <c r="F1083" s="52" t="s">
        <v>26</v>
      </c>
      <c r="G1083" s="53"/>
    </row>
    <row r="1084">
      <c r="A1084" s="49">
        <v>44495.86712027778</v>
      </c>
      <c r="B1084" s="50">
        <v>44495.9921037847</v>
      </c>
      <c r="C1084" s="51">
        <v>1.017</v>
      </c>
      <c r="D1084" s="51">
        <v>64.0</v>
      </c>
      <c r="E1084" s="52" t="s">
        <v>25</v>
      </c>
      <c r="F1084" s="52" t="s">
        <v>26</v>
      </c>
      <c r="G1084" s="53"/>
    </row>
    <row r="1085">
      <c r="A1085" s="49">
        <v>44495.87756390046</v>
      </c>
      <c r="B1085" s="50">
        <v>44496.0025258333</v>
      </c>
      <c r="C1085" s="51">
        <v>1.017</v>
      </c>
      <c r="D1085" s="51">
        <v>64.0</v>
      </c>
      <c r="E1085" s="52" t="s">
        <v>25</v>
      </c>
      <c r="F1085" s="52" t="s">
        <v>26</v>
      </c>
      <c r="G1085" s="53"/>
    </row>
    <row r="1086">
      <c r="A1086" s="49">
        <v>44495.88797561343</v>
      </c>
      <c r="B1086" s="50">
        <v>44496.0129484838</v>
      </c>
      <c r="C1086" s="51">
        <v>1.018</v>
      </c>
      <c r="D1086" s="51">
        <v>64.0</v>
      </c>
      <c r="E1086" s="52" t="s">
        <v>25</v>
      </c>
      <c r="F1086" s="52" t="s">
        <v>26</v>
      </c>
      <c r="G1086" s="53"/>
    </row>
    <row r="1087">
      <c r="A1087" s="49">
        <v>44495.898395752316</v>
      </c>
      <c r="B1087" s="50">
        <v>44496.023370324</v>
      </c>
      <c r="C1087" s="51">
        <v>1.018</v>
      </c>
      <c r="D1087" s="51">
        <v>64.0</v>
      </c>
      <c r="E1087" s="52" t="s">
        <v>25</v>
      </c>
      <c r="F1087" s="52" t="s">
        <v>26</v>
      </c>
      <c r="G1087" s="53"/>
    </row>
    <row r="1088">
      <c r="A1088" s="49">
        <v>44495.90882506945</v>
      </c>
      <c r="B1088" s="50">
        <v>44496.0337931018</v>
      </c>
      <c r="C1088" s="51">
        <v>1.018</v>
      </c>
      <c r="D1088" s="51">
        <v>64.0</v>
      </c>
      <c r="E1088" s="52" t="s">
        <v>25</v>
      </c>
      <c r="F1088" s="52" t="s">
        <v>26</v>
      </c>
      <c r="G1088" s="53"/>
    </row>
    <row r="1089">
      <c r="A1089" s="49">
        <v>44495.91924236111</v>
      </c>
      <c r="B1089" s="50">
        <v>44496.0442132523</v>
      </c>
      <c r="C1089" s="51">
        <v>1.017</v>
      </c>
      <c r="D1089" s="51">
        <v>64.0</v>
      </c>
      <c r="E1089" s="52" t="s">
        <v>25</v>
      </c>
      <c r="F1089" s="52" t="s">
        <v>26</v>
      </c>
      <c r="G1089" s="53"/>
    </row>
    <row r="1090">
      <c r="A1090" s="49">
        <v>44495.92965590278</v>
      </c>
      <c r="B1090" s="50">
        <v>44496.0546334375</v>
      </c>
      <c r="C1090" s="51">
        <v>1.017</v>
      </c>
      <c r="D1090" s="51">
        <v>64.0</v>
      </c>
      <c r="E1090" s="52" t="s">
        <v>25</v>
      </c>
      <c r="F1090" s="52" t="s">
        <v>26</v>
      </c>
      <c r="G1090" s="53"/>
    </row>
    <row r="1091">
      <c r="A1091" s="49">
        <v>44495.940105104164</v>
      </c>
      <c r="B1091" s="50">
        <v>44496.0650762847</v>
      </c>
      <c r="C1091" s="51">
        <v>1.017</v>
      </c>
      <c r="D1091" s="51">
        <v>64.0</v>
      </c>
      <c r="E1091" s="52" t="s">
        <v>25</v>
      </c>
      <c r="F1091" s="52" t="s">
        <v>26</v>
      </c>
      <c r="G1091" s="53"/>
    </row>
    <row r="1092">
      <c r="A1092" s="49">
        <v>44495.95052247685</v>
      </c>
      <c r="B1092" s="50">
        <v>44496.0754975926</v>
      </c>
      <c r="C1092" s="51">
        <v>1.018</v>
      </c>
      <c r="D1092" s="51">
        <v>64.0</v>
      </c>
      <c r="E1092" s="52" t="s">
        <v>25</v>
      </c>
      <c r="F1092" s="52" t="s">
        <v>26</v>
      </c>
      <c r="G1092" s="53"/>
    </row>
    <row r="1093">
      <c r="A1093" s="49">
        <v>44495.960942245365</v>
      </c>
      <c r="B1093" s="50">
        <v>44496.0859187963</v>
      </c>
      <c r="C1093" s="51">
        <v>1.017</v>
      </c>
      <c r="D1093" s="51">
        <v>64.0</v>
      </c>
      <c r="E1093" s="52" t="s">
        <v>25</v>
      </c>
      <c r="F1093" s="52" t="s">
        <v>26</v>
      </c>
      <c r="G1093" s="53"/>
    </row>
    <row r="1094">
      <c r="A1094" s="49">
        <v>44495.97137221065</v>
      </c>
      <c r="B1094" s="50">
        <v>44496.0963405324</v>
      </c>
      <c r="C1094" s="51">
        <v>1.017</v>
      </c>
      <c r="D1094" s="51">
        <v>64.0</v>
      </c>
      <c r="E1094" s="52" t="s">
        <v>25</v>
      </c>
      <c r="F1094" s="52" t="s">
        <v>26</v>
      </c>
      <c r="G1094" s="53"/>
    </row>
    <row r="1095">
      <c r="A1095" s="49">
        <v>44495.98179859953</v>
      </c>
      <c r="B1095" s="50">
        <v>44496.1067618865</v>
      </c>
      <c r="C1095" s="51">
        <v>1.019</v>
      </c>
      <c r="D1095" s="51">
        <v>64.0</v>
      </c>
      <c r="E1095" s="52" t="s">
        <v>25</v>
      </c>
      <c r="F1095" s="52" t="s">
        <v>26</v>
      </c>
      <c r="G1095" s="53"/>
    </row>
    <row r="1096">
      <c r="A1096" s="49">
        <v>44495.99221181713</v>
      </c>
      <c r="B1096" s="50">
        <v>44496.1171822916</v>
      </c>
      <c r="C1096" s="51">
        <v>1.018</v>
      </c>
      <c r="D1096" s="51">
        <v>64.0</v>
      </c>
      <c r="E1096" s="52" t="s">
        <v>25</v>
      </c>
      <c r="F1096" s="52" t="s">
        <v>26</v>
      </c>
      <c r="G1096" s="53"/>
    </row>
    <row r="1097">
      <c r="A1097" s="49">
        <v>44496.0026278588</v>
      </c>
      <c r="B1097" s="50">
        <v>44496.1276015162</v>
      </c>
      <c r="C1097" s="51">
        <v>1.016</v>
      </c>
      <c r="D1097" s="51">
        <v>64.0</v>
      </c>
      <c r="E1097" s="52" t="s">
        <v>25</v>
      </c>
      <c r="F1097" s="52" t="s">
        <v>26</v>
      </c>
      <c r="G1097" s="53"/>
    </row>
    <row r="1098">
      <c r="A1098" s="49">
        <v>44496.01304253472</v>
      </c>
      <c r="B1098" s="50">
        <v>44496.1380231828</v>
      </c>
      <c r="C1098" s="51">
        <v>1.018</v>
      </c>
      <c r="D1098" s="51">
        <v>64.0</v>
      </c>
      <c r="E1098" s="52" t="s">
        <v>25</v>
      </c>
      <c r="F1098" s="52" t="s">
        <v>26</v>
      </c>
      <c r="G1098" s="53"/>
    </row>
    <row r="1099">
      <c r="A1099" s="49">
        <v>44496.0234819676</v>
      </c>
      <c r="B1099" s="50">
        <v>44496.1484451157</v>
      </c>
      <c r="C1099" s="51">
        <v>1.018</v>
      </c>
      <c r="D1099" s="51">
        <v>64.0</v>
      </c>
      <c r="E1099" s="52" t="s">
        <v>25</v>
      </c>
      <c r="F1099" s="52" t="s">
        <v>26</v>
      </c>
      <c r="G1099" s="53"/>
    </row>
    <row r="1100">
      <c r="A1100" s="49">
        <v>44496.03390201389</v>
      </c>
      <c r="B1100" s="50">
        <v>44496.1588665625</v>
      </c>
      <c r="C1100" s="51">
        <v>1.018</v>
      </c>
      <c r="D1100" s="51">
        <v>64.0</v>
      </c>
      <c r="E1100" s="52" t="s">
        <v>25</v>
      </c>
      <c r="F1100" s="52" t="s">
        <v>26</v>
      </c>
      <c r="G1100" s="53"/>
    </row>
    <row r="1101">
      <c r="A1101" s="49">
        <v>44496.04431577546</v>
      </c>
      <c r="B1101" s="50">
        <v>44496.1692875231</v>
      </c>
      <c r="C1101" s="51">
        <v>1.018</v>
      </c>
      <c r="D1101" s="51">
        <v>64.0</v>
      </c>
      <c r="E1101" s="52" t="s">
        <v>25</v>
      </c>
      <c r="F1101" s="52" t="s">
        <v>26</v>
      </c>
      <c r="G1101" s="53"/>
    </row>
    <row r="1102">
      <c r="A1102" s="49">
        <v>44496.05472630787</v>
      </c>
      <c r="B1102" s="50">
        <v>44496.179707581</v>
      </c>
      <c r="C1102" s="51">
        <v>1.018</v>
      </c>
      <c r="D1102" s="51">
        <v>64.0</v>
      </c>
      <c r="E1102" s="52" t="s">
        <v>25</v>
      </c>
      <c r="F1102" s="52" t="s">
        <v>26</v>
      </c>
      <c r="G1102" s="53"/>
    </row>
    <row r="1103">
      <c r="A1103" s="49">
        <v>44496.06515689815</v>
      </c>
      <c r="B1103" s="50">
        <v>44496.1901305439</v>
      </c>
      <c r="C1103" s="51">
        <v>1.018</v>
      </c>
      <c r="D1103" s="51">
        <v>64.0</v>
      </c>
      <c r="E1103" s="52" t="s">
        <v>25</v>
      </c>
      <c r="F1103" s="52" t="s">
        <v>26</v>
      </c>
      <c r="G1103" s="53"/>
    </row>
    <row r="1104">
      <c r="A1104" s="49">
        <v>44496.07558877315</v>
      </c>
      <c r="B1104" s="50">
        <v>44496.2005640393</v>
      </c>
      <c r="C1104" s="51">
        <v>1.019</v>
      </c>
      <c r="D1104" s="51">
        <v>65.0</v>
      </c>
      <c r="E1104" s="52" t="s">
        <v>25</v>
      </c>
      <c r="F1104" s="52" t="s">
        <v>26</v>
      </c>
      <c r="G1104" s="53"/>
    </row>
    <row r="1105">
      <c r="A1105" s="49">
        <v>44496.08600863426</v>
      </c>
      <c r="B1105" s="50">
        <v>44496.2109835648</v>
      </c>
      <c r="C1105" s="51">
        <v>1.016</v>
      </c>
      <c r="D1105" s="51">
        <v>64.0</v>
      </c>
      <c r="E1105" s="52" t="s">
        <v>25</v>
      </c>
      <c r="F1105" s="52" t="s">
        <v>26</v>
      </c>
      <c r="G1105" s="53"/>
    </row>
    <row r="1106">
      <c r="A1106" s="49">
        <v>44496.09643571759</v>
      </c>
      <c r="B1106" s="50">
        <v>44496.2214155902</v>
      </c>
      <c r="C1106" s="51">
        <v>1.017</v>
      </c>
      <c r="D1106" s="51">
        <v>65.0</v>
      </c>
      <c r="E1106" s="52" t="s">
        <v>25</v>
      </c>
      <c r="F1106" s="52" t="s">
        <v>26</v>
      </c>
      <c r="G1106" s="53"/>
    </row>
    <row r="1107">
      <c r="A1107" s="49">
        <v>44496.10686652778</v>
      </c>
      <c r="B1107" s="50">
        <v>44496.2318367476</v>
      </c>
      <c r="C1107" s="51">
        <v>1.017</v>
      </c>
      <c r="D1107" s="51">
        <v>65.0</v>
      </c>
      <c r="E1107" s="52" t="s">
        <v>25</v>
      </c>
      <c r="F1107" s="52" t="s">
        <v>26</v>
      </c>
      <c r="G1107" s="53"/>
    </row>
    <row r="1108">
      <c r="A1108" s="49">
        <v>44496.11728502315</v>
      </c>
      <c r="B1108" s="50">
        <v>44496.2422594675</v>
      </c>
      <c r="C1108" s="51">
        <v>1.017</v>
      </c>
      <c r="D1108" s="51">
        <v>65.0</v>
      </c>
      <c r="E1108" s="52" t="s">
        <v>25</v>
      </c>
      <c r="F1108" s="52" t="s">
        <v>26</v>
      </c>
      <c r="G1108" s="53"/>
    </row>
    <row r="1109">
      <c r="A1109" s="49">
        <v>44496.1277025</v>
      </c>
      <c r="B1109" s="50">
        <v>44496.2526804166</v>
      </c>
      <c r="C1109" s="51">
        <v>1.017</v>
      </c>
      <c r="D1109" s="51">
        <v>65.0</v>
      </c>
      <c r="E1109" s="52" t="s">
        <v>25</v>
      </c>
      <c r="F1109" s="52" t="s">
        <v>26</v>
      </c>
      <c r="G1109" s="53"/>
    </row>
    <row r="1110">
      <c r="A1110" s="49">
        <v>44496.13813155092</v>
      </c>
      <c r="B1110" s="50">
        <v>44496.2631014467</v>
      </c>
      <c r="C1110" s="51">
        <v>1.017</v>
      </c>
      <c r="D1110" s="51">
        <v>65.0</v>
      </c>
      <c r="E1110" s="52" t="s">
        <v>25</v>
      </c>
      <c r="F1110" s="52" t="s">
        <v>26</v>
      </c>
      <c r="G1110" s="53"/>
    </row>
    <row r="1111">
      <c r="A1111" s="49">
        <v>44496.148549942125</v>
      </c>
      <c r="B1111" s="50">
        <v>44496.2735231481</v>
      </c>
      <c r="C1111" s="51">
        <v>1.018</v>
      </c>
      <c r="D1111" s="51">
        <v>65.0</v>
      </c>
      <c r="E1111" s="52" t="s">
        <v>25</v>
      </c>
      <c r="F1111" s="52" t="s">
        <v>26</v>
      </c>
      <c r="G1111" s="53"/>
    </row>
    <row r="1112">
      <c r="A1112" s="49">
        <v>44496.15897042824</v>
      </c>
      <c r="B1112" s="50">
        <v>44496.2839420949</v>
      </c>
      <c r="C1112" s="51">
        <v>1.019</v>
      </c>
      <c r="D1112" s="51">
        <v>65.0</v>
      </c>
      <c r="E1112" s="52" t="s">
        <v>25</v>
      </c>
      <c r="F1112" s="52" t="s">
        <v>26</v>
      </c>
      <c r="G1112" s="53"/>
    </row>
    <row r="1113">
      <c r="A1113" s="49">
        <v>44496.16939048611</v>
      </c>
      <c r="B1113" s="50">
        <v>44496.2943626967</v>
      </c>
      <c r="C1113" s="51">
        <v>1.018</v>
      </c>
      <c r="D1113" s="51">
        <v>65.0</v>
      </c>
      <c r="E1113" s="52" t="s">
        <v>25</v>
      </c>
      <c r="F1113" s="52" t="s">
        <v>26</v>
      </c>
      <c r="G1113" s="53"/>
    </row>
    <row r="1114">
      <c r="A1114" s="49">
        <v>44496.179817662036</v>
      </c>
      <c r="B1114" s="50">
        <v>44496.304784537</v>
      </c>
      <c r="C1114" s="51">
        <v>1.017</v>
      </c>
      <c r="D1114" s="51">
        <v>65.0</v>
      </c>
      <c r="E1114" s="52" t="s">
        <v>25</v>
      </c>
      <c r="F1114" s="52" t="s">
        <v>26</v>
      </c>
      <c r="G1114" s="53"/>
    </row>
    <row r="1115">
      <c r="A1115" s="49">
        <v>44496.19022837963</v>
      </c>
      <c r="B1115" s="50">
        <v>44496.3152067013</v>
      </c>
      <c r="C1115" s="51">
        <v>1.017</v>
      </c>
      <c r="D1115" s="51">
        <v>65.0</v>
      </c>
      <c r="E1115" s="52" t="s">
        <v>25</v>
      </c>
      <c r="F1115" s="52" t="s">
        <v>26</v>
      </c>
      <c r="G1115" s="53"/>
    </row>
    <row r="1116">
      <c r="A1116" s="49">
        <v>44496.200660625</v>
      </c>
      <c r="B1116" s="50">
        <v>44496.3256290046</v>
      </c>
      <c r="C1116" s="51">
        <v>1.016</v>
      </c>
      <c r="D1116" s="51">
        <v>65.0</v>
      </c>
      <c r="E1116" s="52" t="s">
        <v>25</v>
      </c>
      <c r="F1116" s="52" t="s">
        <v>26</v>
      </c>
      <c r="G1116" s="53"/>
    </row>
    <row r="1117">
      <c r="A1117" s="49">
        <v>44496.2110828125</v>
      </c>
      <c r="B1117" s="50">
        <v>44496.3360494328</v>
      </c>
      <c r="C1117" s="51">
        <v>1.017</v>
      </c>
      <c r="D1117" s="51">
        <v>65.0</v>
      </c>
      <c r="E1117" s="52" t="s">
        <v>25</v>
      </c>
      <c r="F1117" s="52" t="s">
        <v>26</v>
      </c>
      <c r="G1117" s="53"/>
    </row>
    <row r="1118">
      <c r="A1118" s="49">
        <v>44496.22151125</v>
      </c>
      <c r="B1118" s="50">
        <v>44496.3464819213</v>
      </c>
      <c r="C1118" s="51">
        <v>1.018</v>
      </c>
      <c r="D1118" s="51">
        <v>65.0</v>
      </c>
      <c r="E1118" s="52" t="s">
        <v>25</v>
      </c>
      <c r="F1118" s="52" t="s">
        <v>26</v>
      </c>
      <c r="G1118" s="53"/>
    </row>
    <row r="1119">
      <c r="A1119" s="49">
        <v>44496.23193780093</v>
      </c>
      <c r="B1119" s="50">
        <v>44496.3569054861</v>
      </c>
      <c r="C1119" s="51">
        <v>1.018</v>
      </c>
      <c r="D1119" s="51">
        <v>65.0</v>
      </c>
      <c r="E1119" s="52" t="s">
        <v>25</v>
      </c>
      <c r="F1119" s="52" t="s">
        <v>26</v>
      </c>
      <c r="G1119" s="53"/>
    </row>
    <row r="1120">
      <c r="A1120" s="49">
        <v>44496.24235756944</v>
      </c>
      <c r="B1120" s="50">
        <v>44496.3673268518</v>
      </c>
      <c r="C1120" s="51">
        <v>1.017</v>
      </c>
      <c r="D1120" s="51">
        <v>65.0</v>
      </c>
      <c r="E1120" s="52" t="s">
        <v>25</v>
      </c>
      <c r="F1120" s="52" t="s">
        <v>26</v>
      </c>
      <c r="G1120" s="53"/>
    </row>
    <row r="1121">
      <c r="A1121" s="49">
        <v>44496.25277708333</v>
      </c>
      <c r="B1121" s="50">
        <v>44496.3777476273</v>
      </c>
      <c r="C1121" s="51">
        <v>1.017</v>
      </c>
      <c r="D1121" s="51">
        <v>65.0</v>
      </c>
      <c r="E1121" s="52" t="s">
        <v>25</v>
      </c>
      <c r="F1121" s="52" t="s">
        <v>26</v>
      </c>
      <c r="G1121" s="53"/>
    </row>
    <row r="1122">
      <c r="A1122" s="49">
        <v>44496.26318721064</v>
      </c>
      <c r="B1122" s="50">
        <v>44496.3881691782</v>
      </c>
      <c r="C1122" s="51">
        <v>1.016</v>
      </c>
      <c r="D1122" s="51">
        <v>65.0</v>
      </c>
      <c r="E1122" s="52" t="s">
        <v>25</v>
      </c>
      <c r="F1122" s="52" t="s">
        <v>26</v>
      </c>
      <c r="G1122" s="53"/>
    </row>
    <row r="1123">
      <c r="A1123" s="49">
        <v>44496.27362662037</v>
      </c>
      <c r="B1123" s="50">
        <v>44496.3985910416</v>
      </c>
      <c r="C1123" s="51">
        <v>1.016</v>
      </c>
      <c r="D1123" s="51">
        <v>65.0</v>
      </c>
      <c r="E1123" s="52" t="s">
        <v>25</v>
      </c>
      <c r="F1123" s="52" t="s">
        <v>26</v>
      </c>
      <c r="G1123" s="53"/>
    </row>
    <row r="1124">
      <c r="A1124" s="49">
        <v>44496.284052800926</v>
      </c>
      <c r="B1124" s="50">
        <v>44496.409023449</v>
      </c>
      <c r="C1124" s="51">
        <v>1.016</v>
      </c>
      <c r="D1124" s="51">
        <v>65.0</v>
      </c>
      <c r="E1124" s="52" t="s">
        <v>25</v>
      </c>
      <c r="F1124" s="52" t="s">
        <v>26</v>
      </c>
      <c r="G1124" s="53"/>
    </row>
    <row r="1125">
      <c r="A1125" s="49">
        <v>44496.29446916666</v>
      </c>
      <c r="B1125" s="50">
        <v>44496.4194449305</v>
      </c>
      <c r="C1125" s="51">
        <v>1.017</v>
      </c>
      <c r="D1125" s="51">
        <v>65.0</v>
      </c>
      <c r="E1125" s="52" t="s">
        <v>25</v>
      </c>
      <c r="F1125" s="52" t="s">
        <v>26</v>
      </c>
      <c r="G1125" s="53"/>
    </row>
    <row r="1126">
      <c r="A1126" s="49">
        <v>44496.30490037037</v>
      </c>
      <c r="B1126" s="50">
        <v>44496.4298649884</v>
      </c>
      <c r="C1126" s="51">
        <v>1.016</v>
      </c>
      <c r="D1126" s="51">
        <v>65.0</v>
      </c>
      <c r="E1126" s="52" t="s">
        <v>25</v>
      </c>
      <c r="F1126" s="52" t="s">
        <v>26</v>
      </c>
      <c r="G1126" s="53"/>
    </row>
    <row r="1127">
      <c r="A1127" s="49">
        <v>44496.31532707176</v>
      </c>
      <c r="B1127" s="50">
        <v>44496.440286493</v>
      </c>
      <c r="C1127" s="51">
        <v>1.017</v>
      </c>
      <c r="D1127" s="51">
        <v>65.0</v>
      </c>
      <c r="E1127" s="52" t="s">
        <v>25</v>
      </c>
      <c r="F1127" s="52" t="s">
        <v>26</v>
      </c>
      <c r="G1127" s="53"/>
    </row>
    <row r="1128">
      <c r="A1128" s="49">
        <v>44496.325744421294</v>
      </c>
      <c r="B1128" s="50">
        <v>44496.4507196759</v>
      </c>
      <c r="C1128" s="51">
        <v>1.017</v>
      </c>
      <c r="D1128" s="51">
        <v>65.0</v>
      </c>
      <c r="E1128" s="52" t="s">
        <v>25</v>
      </c>
      <c r="F1128" s="52" t="s">
        <v>26</v>
      </c>
      <c r="G1128" s="53"/>
    </row>
    <row r="1129">
      <c r="A1129" s="49">
        <v>44496.33616303241</v>
      </c>
      <c r="B1129" s="50">
        <v>44496.4611409259</v>
      </c>
      <c r="C1129" s="51">
        <v>1.018</v>
      </c>
      <c r="D1129" s="51">
        <v>65.0</v>
      </c>
      <c r="E1129" s="52" t="s">
        <v>25</v>
      </c>
      <c r="F1129" s="52" t="s">
        <v>26</v>
      </c>
      <c r="G1129" s="53"/>
    </row>
    <row r="1130">
      <c r="A1130" s="49">
        <v>44496.34658546296</v>
      </c>
      <c r="B1130" s="50">
        <v>44496.4715618981</v>
      </c>
      <c r="C1130" s="51">
        <v>1.018</v>
      </c>
      <c r="D1130" s="51">
        <v>65.0</v>
      </c>
      <c r="E1130" s="52" t="s">
        <v>25</v>
      </c>
      <c r="F1130" s="52" t="s">
        <v>26</v>
      </c>
      <c r="G1130" s="53"/>
    </row>
    <row r="1131">
      <c r="A1131" s="49">
        <v>44496.35701703704</v>
      </c>
      <c r="B1131" s="50">
        <v>44496.481983125</v>
      </c>
      <c r="C1131" s="51">
        <v>1.017</v>
      </c>
      <c r="D1131" s="51">
        <v>65.0</v>
      </c>
      <c r="E1131" s="52" t="s">
        <v>25</v>
      </c>
      <c r="F1131" s="52" t="s">
        <v>26</v>
      </c>
      <c r="G1131" s="53"/>
    </row>
    <row r="1132">
      <c r="A1132" s="49">
        <v>44496.36743238426</v>
      </c>
      <c r="B1132" s="50">
        <v>44496.4924039236</v>
      </c>
      <c r="C1132" s="51">
        <v>1.018</v>
      </c>
      <c r="D1132" s="51">
        <v>65.0</v>
      </c>
      <c r="E1132" s="52" t="s">
        <v>25</v>
      </c>
      <c r="F1132" s="52" t="s">
        <v>26</v>
      </c>
      <c r="G1132" s="53"/>
    </row>
    <row r="1133">
      <c r="A1133" s="49">
        <v>44496.37787090278</v>
      </c>
      <c r="B1133" s="50">
        <v>44496.5028374884</v>
      </c>
      <c r="C1133" s="51">
        <v>1.018</v>
      </c>
      <c r="D1133" s="51">
        <v>65.0</v>
      </c>
      <c r="E1133" s="52" t="s">
        <v>25</v>
      </c>
      <c r="F1133" s="52" t="s">
        <v>26</v>
      </c>
      <c r="G1133" s="53"/>
    </row>
    <row r="1134">
      <c r="A1134" s="49">
        <v>44496.3882965625</v>
      </c>
      <c r="B1134" s="50">
        <v>44496.5132575347</v>
      </c>
      <c r="C1134" s="51">
        <v>1.018</v>
      </c>
      <c r="D1134" s="51">
        <v>65.0</v>
      </c>
      <c r="E1134" s="52" t="s">
        <v>25</v>
      </c>
      <c r="F1134" s="52" t="s">
        <v>26</v>
      </c>
      <c r="G1134" s="53"/>
    </row>
    <row r="1135">
      <c r="A1135" s="49">
        <v>44496.39871929398</v>
      </c>
      <c r="B1135" s="50">
        <v>44496.5236904398</v>
      </c>
      <c r="C1135" s="51">
        <v>1.015</v>
      </c>
      <c r="D1135" s="51">
        <v>65.0</v>
      </c>
      <c r="E1135" s="52" t="s">
        <v>25</v>
      </c>
      <c r="F1135" s="52" t="s">
        <v>26</v>
      </c>
      <c r="G1135" s="53"/>
    </row>
    <row r="1136">
      <c r="A1136" s="49">
        <v>44496.40914310185</v>
      </c>
      <c r="B1136" s="50">
        <v>44496.5341121759</v>
      </c>
      <c r="C1136" s="51">
        <v>1.016</v>
      </c>
      <c r="D1136" s="51">
        <v>65.0</v>
      </c>
      <c r="E1136" s="52" t="s">
        <v>25</v>
      </c>
      <c r="F1136" s="52" t="s">
        <v>26</v>
      </c>
      <c r="G1136" s="53"/>
    </row>
    <row r="1137">
      <c r="A1137" s="49">
        <v>44496.41955115741</v>
      </c>
      <c r="B1137" s="50">
        <v>44496.5445322338</v>
      </c>
      <c r="C1137" s="51">
        <v>1.017</v>
      </c>
      <c r="D1137" s="51">
        <v>65.0</v>
      </c>
      <c r="E1137" s="52" t="s">
        <v>25</v>
      </c>
      <c r="F1137" s="52" t="s">
        <v>26</v>
      </c>
      <c r="G1137" s="53"/>
    </row>
    <row r="1138">
      <c r="A1138" s="49">
        <v>44496.42998405093</v>
      </c>
      <c r="B1138" s="50">
        <v>44496.5549523958</v>
      </c>
      <c r="C1138" s="51">
        <v>1.017</v>
      </c>
      <c r="D1138" s="51">
        <v>65.0</v>
      </c>
      <c r="E1138" s="52" t="s">
        <v>25</v>
      </c>
      <c r="F1138" s="52" t="s">
        <v>26</v>
      </c>
      <c r="G1138" s="53"/>
    </row>
    <row r="1139">
      <c r="A1139" s="49">
        <v>44496.44041627315</v>
      </c>
      <c r="B1139" s="50">
        <v>44496.565386574</v>
      </c>
      <c r="C1139" s="51">
        <v>1.017</v>
      </c>
      <c r="D1139" s="51">
        <v>65.0</v>
      </c>
      <c r="E1139" s="52" t="s">
        <v>25</v>
      </c>
      <c r="F1139" s="52" t="s">
        <v>26</v>
      </c>
      <c r="G1139" s="53"/>
    </row>
    <row r="1140">
      <c r="A1140" s="49">
        <v>44496.45083509259</v>
      </c>
      <c r="B1140" s="50">
        <v>44496.575808449</v>
      </c>
      <c r="C1140" s="51">
        <v>1.017</v>
      </c>
      <c r="D1140" s="51">
        <v>65.0</v>
      </c>
      <c r="E1140" s="52" t="s">
        <v>25</v>
      </c>
      <c r="F1140" s="52" t="s">
        <v>26</v>
      </c>
      <c r="G1140" s="53"/>
    </row>
    <row r="1141">
      <c r="A1141" s="49">
        <v>44496.461259375</v>
      </c>
      <c r="B1141" s="50">
        <v>44496.5862311689</v>
      </c>
      <c r="C1141" s="51">
        <v>1.017</v>
      </c>
      <c r="D1141" s="51">
        <v>65.0</v>
      </c>
      <c r="E1141" s="52" t="s">
        <v>25</v>
      </c>
      <c r="F1141" s="52" t="s">
        <v>26</v>
      </c>
      <c r="G1141" s="53"/>
    </row>
    <row r="1142">
      <c r="A1142" s="49">
        <v>44496.47171568287</v>
      </c>
      <c r="B1142" s="50">
        <v>44496.5966874537</v>
      </c>
      <c r="C1142" s="51">
        <v>1.016</v>
      </c>
      <c r="D1142" s="51">
        <v>65.0</v>
      </c>
      <c r="E1142" s="52" t="s">
        <v>25</v>
      </c>
      <c r="F1142" s="52" t="s">
        <v>26</v>
      </c>
      <c r="G1142" s="53"/>
    </row>
    <row r="1143">
      <c r="A1143" s="49">
        <v>44496.4821571412</v>
      </c>
      <c r="B1143" s="50">
        <v>44496.6071315393</v>
      </c>
      <c r="C1143" s="51">
        <v>1.017</v>
      </c>
      <c r="D1143" s="51">
        <v>65.0</v>
      </c>
      <c r="E1143" s="52" t="s">
        <v>25</v>
      </c>
      <c r="F1143" s="52" t="s">
        <v>26</v>
      </c>
      <c r="G1143" s="53"/>
    </row>
    <row r="1144">
      <c r="A1144" s="49">
        <v>44496.49259100694</v>
      </c>
      <c r="B1144" s="50">
        <v>44496.6175638888</v>
      </c>
      <c r="C1144" s="51">
        <v>1.017</v>
      </c>
      <c r="D1144" s="51">
        <v>65.0</v>
      </c>
      <c r="E1144" s="52" t="s">
        <v>25</v>
      </c>
      <c r="F1144" s="52" t="s">
        <v>26</v>
      </c>
      <c r="G1144" s="53"/>
    </row>
    <row r="1145">
      <c r="A1145" s="49">
        <v>44496.50301138889</v>
      </c>
      <c r="B1145" s="50">
        <v>44496.6279856828</v>
      </c>
      <c r="C1145" s="51">
        <v>1.017</v>
      </c>
      <c r="D1145" s="51">
        <v>65.0</v>
      </c>
      <c r="E1145" s="52" t="s">
        <v>25</v>
      </c>
      <c r="F1145" s="52" t="s">
        <v>26</v>
      </c>
      <c r="G1145" s="53"/>
    </row>
    <row r="1146">
      <c r="A1146" s="49">
        <v>44496.51342740741</v>
      </c>
      <c r="B1146" s="50">
        <v>44496.6384079513</v>
      </c>
      <c r="C1146" s="51">
        <v>1.017</v>
      </c>
      <c r="D1146" s="51">
        <v>65.0</v>
      </c>
      <c r="E1146" s="52" t="s">
        <v>25</v>
      </c>
      <c r="F1146" s="52" t="s">
        <v>26</v>
      </c>
      <c r="G1146" s="53"/>
    </row>
    <row r="1147">
      <c r="A1147" s="49">
        <v>44496.523859918976</v>
      </c>
      <c r="B1147" s="50">
        <v>44496.648830081</v>
      </c>
      <c r="C1147" s="51">
        <v>1.017</v>
      </c>
      <c r="D1147" s="51">
        <v>65.0</v>
      </c>
      <c r="E1147" s="52" t="s">
        <v>25</v>
      </c>
      <c r="F1147" s="52" t="s">
        <v>26</v>
      </c>
      <c r="G1147" s="53"/>
    </row>
    <row r="1148">
      <c r="A1148" s="49">
        <v>44496.534273495374</v>
      </c>
      <c r="B1148" s="50">
        <v>44496.6592504513</v>
      </c>
      <c r="C1148" s="51">
        <v>1.017</v>
      </c>
      <c r="D1148" s="51">
        <v>65.0</v>
      </c>
      <c r="E1148" s="52" t="s">
        <v>25</v>
      </c>
      <c r="F1148" s="52" t="s">
        <v>26</v>
      </c>
      <c r="G1148" s="53"/>
    </row>
    <row r="1149">
      <c r="A1149" s="49">
        <v>44496.54470229166</v>
      </c>
      <c r="B1149" s="50">
        <v>44496.6696840856</v>
      </c>
      <c r="C1149" s="51">
        <v>1.018</v>
      </c>
      <c r="D1149" s="51">
        <v>65.0</v>
      </c>
      <c r="E1149" s="52" t="s">
        <v>25</v>
      </c>
      <c r="F1149" s="52" t="s">
        <v>26</v>
      </c>
      <c r="G1149" s="53"/>
    </row>
    <row r="1150">
      <c r="A1150" s="49">
        <v>44496.55512612269</v>
      </c>
      <c r="B1150" s="50">
        <v>44496.680103993</v>
      </c>
      <c r="C1150" s="51">
        <v>1.018</v>
      </c>
      <c r="D1150" s="51">
        <v>65.0</v>
      </c>
      <c r="E1150" s="52" t="s">
        <v>25</v>
      </c>
      <c r="F1150" s="52" t="s">
        <v>26</v>
      </c>
      <c r="G1150" s="53"/>
    </row>
    <row r="1151">
      <c r="A1151" s="49">
        <v>44496.56557979167</v>
      </c>
      <c r="B1151" s="50">
        <v>44496.6905501388</v>
      </c>
      <c r="C1151" s="51">
        <v>1.018</v>
      </c>
      <c r="D1151" s="51">
        <v>65.0</v>
      </c>
      <c r="E1151" s="52" t="s">
        <v>25</v>
      </c>
      <c r="F1151" s="52" t="s">
        <v>26</v>
      </c>
      <c r="G1151" s="53"/>
    </row>
    <row r="1152">
      <c r="A1152" s="49">
        <v>44496.57599799769</v>
      </c>
      <c r="B1152" s="50">
        <v>44496.7009717361</v>
      </c>
      <c r="C1152" s="51">
        <v>1.017</v>
      </c>
      <c r="D1152" s="51">
        <v>65.0</v>
      </c>
      <c r="E1152" s="52" t="s">
        <v>25</v>
      </c>
      <c r="F1152" s="52" t="s">
        <v>26</v>
      </c>
      <c r="G1152" s="53"/>
    </row>
    <row r="1153">
      <c r="A1153" s="49">
        <v>44496.58641171297</v>
      </c>
      <c r="B1153" s="50">
        <v>44496.7113926041</v>
      </c>
      <c r="C1153" s="51">
        <v>1.018</v>
      </c>
      <c r="D1153" s="51">
        <v>65.0</v>
      </c>
      <c r="E1153" s="52" t="s">
        <v>25</v>
      </c>
      <c r="F1153" s="52" t="s">
        <v>26</v>
      </c>
      <c r="G1153" s="53"/>
    </row>
    <row r="1154">
      <c r="A1154" s="49">
        <v>44496.59684373843</v>
      </c>
      <c r="B1154" s="50">
        <v>44496.7218161921</v>
      </c>
      <c r="C1154" s="51">
        <v>1.018</v>
      </c>
      <c r="D1154" s="51">
        <v>65.0</v>
      </c>
      <c r="E1154" s="52" t="s">
        <v>25</v>
      </c>
      <c r="F1154" s="52" t="s">
        <v>26</v>
      </c>
      <c r="G1154" s="53"/>
    </row>
    <row r="1155">
      <c r="A1155" s="49">
        <v>44496.607256828705</v>
      </c>
      <c r="B1155" s="50">
        <v>44496.7322392013</v>
      </c>
      <c r="C1155" s="51">
        <v>1.018</v>
      </c>
      <c r="D1155" s="51">
        <v>65.0</v>
      </c>
      <c r="E1155" s="52" t="s">
        <v>25</v>
      </c>
      <c r="F1155" s="52" t="s">
        <v>26</v>
      </c>
      <c r="G1155" s="53"/>
    </row>
    <row r="1156">
      <c r="A1156" s="49">
        <v>44496.61768622685</v>
      </c>
      <c r="B1156" s="50">
        <v>44496.7426605787</v>
      </c>
      <c r="C1156" s="51">
        <v>1.018</v>
      </c>
      <c r="D1156" s="51">
        <v>65.0</v>
      </c>
      <c r="E1156" s="52" t="s">
        <v>25</v>
      </c>
      <c r="F1156" s="52" t="s">
        <v>26</v>
      </c>
      <c r="G1156" s="53"/>
    </row>
    <row r="1157">
      <c r="A1157" s="49">
        <v>44496.628104247684</v>
      </c>
      <c r="B1157" s="50">
        <v>44496.7530809722</v>
      </c>
      <c r="C1157" s="51">
        <v>1.018</v>
      </c>
      <c r="D1157" s="51">
        <v>65.0</v>
      </c>
      <c r="E1157" s="52" t="s">
        <v>25</v>
      </c>
      <c r="F1157" s="52" t="s">
        <v>26</v>
      </c>
      <c r="G1157" s="53"/>
    </row>
    <row r="1158">
      <c r="A1158" s="49">
        <v>44496.63852217593</v>
      </c>
      <c r="B1158" s="50">
        <v>44496.7635031481</v>
      </c>
      <c r="C1158" s="51">
        <v>1.018</v>
      </c>
      <c r="D1158" s="51">
        <v>65.0</v>
      </c>
      <c r="E1158" s="52" t="s">
        <v>25</v>
      </c>
      <c r="F1158" s="52" t="s">
        <v>26</v>
      </c>
      <c r="G1158" s="53"/>
    </row>
    <row r="1159">
      <c r="A1159" s="49">
        <v>44496.64895271991</v>
      </c>
      <c r="B1159" s="50">
        <v>44496.7739245717</v>
      </c>
      <c r="C1159" s="51">
        <v>1.016</v>
      </c>
      <c r="D1159" s="51">
        <v>65.0</v>
      </c>
      <c r="E1159" s="52" t="s">
        <v>25</v>
      </c>
      <c r="F1159" s="52" t="s">
        <v>26</v>
      </c>
      <c r="G1159" s="53"/>
    </row>
    <row r="1160">
      <c r="A1160" s="49">
        <v>44496.65937219908</v>
      </c>
      <c r="B1160" s="50">
        <v>44496.784344537</v>
      </c>
      <c r="C1160" s="51">
        <v>1.017</v>
      </c>
      <c r="D1160" s="51">
        <v>65.0</v>
      </c>
      <c r="E1160" s="52" t="s">
        <v>25</v>
      </c>
      <c r="F1160" s="52" t="s">
        <v>26</v>
      </c>
      <c r="G1160" s="53"/>
    </row>
    <row r="1161">
      <c r="A1161" s="49">
        <v>44496.66979509259</v>
      </c>
      <c r="B1161" s="50">
        <v>44496.7947639583</v>
      </c>
      <c r="C1161" s="51">
        <v>1.017</v>
      </c>
      <c r="D1161" s="51">
        <v>65.0</v>
      </c>
      <c r="E1161" s="52" t="s">
        <v>25</v>
      </c>
      <c r="F1161" s="52" t="s">
        <v>26</v>
      </c>
      <c r="G1161" s="53"/>
    </row>
    <row r="1162">
      <c r="A1162" s="49">
        <v>44496.68021170139</v>
      </c>
      <c r="B1162" s="50">
        <v>44496.8051844097</v>
      </c>
      <c r="C1162" s="51">
        <v>1.017</v>
      </c>
      <c r="D1162" s="51">
        <v>65.0</v>
      </c>
      <c r="E1162" s="52" t="s">
        <v>25</v>
      </c>
      <c r="F1162" s="52" t="s">
        <v>26</v>
      </c>
      <c r="G1162" s="53"/>
    </row>
    <row r="1163">
      <c r="A1163" s="49">
        <v>44496.69064252314</v>
      </c>
      <c r="B1163" s="50">
        <v>44496.815619375</v>
      </c>
      <c r="C1163" s="51">
        <v>1.017</v>
      </c>
      <c r="D1163" s="51">
        <v>65.0</v>
      </c>
      <c r="E1163" s="52" t="s">
        <v>25</v>
      </c>
      <c r="F1163" s="52" t="s">
        <v>26</v>
      </c>
      <c r="G1163" s="53"/>
    </row>
    <row r="1164">
      <c r="A1164" s="49">
        <v>44496.70105894676</v>
      </c>
      <c r="B1164" s="50">
        <v>44496.8260420023</v>
      </c>
      <c r="C1164" s="51">
        <v>1.017</v>
      </c>
      <c r="D1164" s="51">
        <v>65.0</v>
      </c>
      <c r="E1164" s="52" t="s">
        <v>25</v>
      </c>
      <c r="F1164" s="52" t="s">
        <v>26</v>
      </c>
      <c r="G1164" s="53"/>
    </row>
    <row r="1165">
      <c r="A1165" s="49">
        <v>44496.71149960648</v>
      </c>
      <c r="B1165" s="50">
        <v>44496.8364641898</v>
      </c>
      <c r="C1165" s="51">
        <v>1.017</v>
      </c>
      <c r="D1165" s="51">
        <v>65.0</v>
      </c>
      <c r="E1165" s="52" t="s">
        <v>25</v>
      </c>
      <c r="F1165" s="52" t="s">
        <v>26</v>
      </c>
      <c r="G1165" s="53"/>
    </row>
    <row r="1166">
      <c r="A1166" s="49">
        <v>44496.721908368054</v>
      </c>
      <c r="B1166" s="50">
        <v>44496.8468843171</v>
      </c>
      <c r="C1166" s="51">
        <v>1.017</v>
      </c>
      <c r="D1166" s="51">
        <v>65.0</v>
      </c>
      <c r="E1166" s="52" t="s">
        <v>25</v>
      </c>
      <c r="F1166" s="52" t="s">
        <v>26</v>
      </c>
      <c r="G1166" s="53"/>
    </row>
    <row r="1167">
      <c r="A1167" s="49">
        <v>44496.73232456019</v>
      </c>
      <c r="B1167" s="50">
        <v>44496.8573066088</v>
      </c>
      <c r="C1167" s="51">
        <v>1.017</v>
      </c>
      <c r="D1167" s="51">
        <v>65.0</v>
      </c>
      <c r="E1167" s="52" t="s">
        <v>25</v>
      </c>
      <c r="F1167" s="52" t="s">
        <v>26</v>
      </c>
      <c r="G1167" s="53"/>
    </row>
    <row r="1168">
      <c r="A1168" s="49">
        <v>44496.74275695602</v>
      </c>
      <c r="B1168" s="50">
        <v>44496.8677281944</v>
      </c>
      <c r="C1168" s="51">
        <v>1.017</v>
      </c>
      <c r="D1168" s="51">
        <v>65.0</v>
      </c>
      <c r="E1168" s="52" t="s">
        <v>25</v>
      </c>
      <c r="F1168" s="52" t="s">
        <v>26</v>
      </c>
      <c r="G1168" s="53"/>
    </row>
    <row r="1169">
      <c r="A1169" s="49">
        <v>44496.753181921296</v>
      </c>
      <c r="B1169" s="50">
        <v>44496.8781497916</v>
      </c>
      <c r="C1169" s="51">
        <v>1.019</v>
      </c>
      <c r="D1169" s="51">
        <v>65.0</v>
      </c>
      <c r="E1169" s="52" t="s">
        <v>25</v>
      </c>
      <c r="F1169" s="52" t="s">
        <v>26</v>
      </c>
      <c r="G1169" s="53"/>
    </row>
    <row r="1170">
      <c r="A1170" s="49">
        <v>44496.763602499996</v>
      </c>
      <c r="B1170" s="50">
        <v>44496.8885702314</v>
      </c>
      <c r="C1170" s="51">
        <v>1.017</v>
      </c>
      <c r="D1170" s="51">
        <v>65.0</v>
      </c>
      <c r="E1170" s="52" t="s">
        <v>25</v>
      </c>
      <c r="F1170" s="52" t="s">
        <v>26</v>
      </c>
      <c r="G1170" s="53"/>
    </row>
    <row r="1171">
      <c r="A1171" s="49">
        <v>44496.774015891206</v>
      </c>
      <c r="B1171" s="50">
        <v>44496.8989906597</v>
      </c>
      <c r="C1171" s="51">
        <v>1.017</v>
      </c>
      <c r="D1171" s="51">
        <v>65.0</v>
      </c>
      <c r="E1171" s="52" t="s">
        <v>25</v>
      </c>
      <c r="F1171" s="52" t="s">
        <v>26</v>
      </c>
      <c r="G1171" s="53"/>
    </row>
    <row r="1172">
      <c r="A1172" s="49">
        <v>44496.784435532405</v>
      </c>
      <c r="B1172" s="50">
        <v>44496.9094103472</v>
      </c>
      <c r="C1172" s="51">
        <v>1.017</v>
      </c>
      <c r="D1172" s="51">
        <v>65.0</v>
      </c>
      <c r="E1172" s="52" t="s">
        <v>25</v>
      </c>
      <c r="F1172" s="52" t="s">
        <v>26</v>
      </c>
      <c r="G1172" s="53"/>
    </row>
    <row r="1173">
      <c r="A1173" s="49">
        <v>44496.794858333335</v>
      </c>
      <c r="B1173" s="50">
        <v>44496.919830787</v>
      </c>
      <c r="C1173" s="51">
        <v>1.017</v>
      </c>
      <c r="D1173" s="51">
        <v>65.0</v>
      </c>
      <c r="E1173" s="52" t="s">
        <v>25</v>
      </c>
      <c r="F1173" s="52" t="s">
        <v>26</v>
      </c>
      <c r="G1173" s="53"/>
    </row>
    <row r="1174">
      <c r="A1174" s="49">
        <v>44496.80527107639</v>
      </c>
      <c r="B1174" s="50">
        <v>44496.9302509953</v>
      </c>
      <c r="C1174" s="51">
        <v>1.017</v>
      </c>
      <c r="D1174" s="51">
        <v>65.0</v>
      </c>
      <c r="E1174" s="52" t="s">
        <v>25</v>
      </c>
      <c r="F1174" s="52" t="s">
        <v>26</v>
      </c>
      <c r="G1174" s="53"/>
    </row>
    <row r="1175">
      <c r="A1175" s="49">
        <v>44496.815695509256</v>
      </c>
      <c r="B1175" s="50">
        <v>44496.9406721875</v>
      </c>
      <c r="C1175" s="51">
        <v>1.018</v>
      </c>
      <c r="D1175" s="51">
        <v>65.0</v>
      </c>
      <c r="E1175" s="52" t="s">
        <v>25</v>
      </c>
      <c r="F1175" s="52" t="s">
        <v>26</v>
      </c>
      <c r="G1175" s="53"/>
    </row>
    <row r="1176">
      <c r="A1176" s="49">
        <v>44496.826126851854</v>
      </c>
      <c r="B1176" s="50">
        <v>44496.9510944791</v>
      </c>
      <c r="C1176" s="51">
        <v>1.018</v>
      </c>
      <c r="D1176" s="51">
        <v>65.0</v>
      </c>
      <c r="E1176" s="52" t="s">
        <v>25</v>
      </c>
      <c r="F1176" s="52" t="s">
        <v>26</v>
      </c>
      <c r="G1176" s="53"/>
    </row>
    <row r="1177">
      <c r="A1177" s="49">
        <v>44496.83654568287</v>
      </c>
      <c r="B1177" s="50">
        <v>44496.9615153125</v>
      </c>
      <c r="C1177" s="51">
        <v>1.017</v>
      </c>
      <c r="D1177" s="51">
        <v>65.0</v>
      </c>
      <c r="E1177" s="52" t="s">
        <v>25</v>
      </c>
      <c r="F1177" s="52" t="s">
        <v>26</v>
      </c>
      <c r="G1177" s="53"/>
    </row>
    <row r="1178">
      <c r="A1178" s="49">
        <v>44496.8469625</v>
      </c>
      <c r="B1178" s="50">
        <v>44496.9719365046</v>
      </c>
      <c r="C1178" s="51">
        <v>1.018</v>
      </c>
      <c r="D1178" s="51">
        <v>65.0</v>
      </c>
      <c r="E1178" s="52" t="s">
        <v>25</v>
      </c>
      <c r="F1178" s="52" t="s">
        <v>26</v>
      </c>
      <c r="G1178" s="53"/>
    </row>
    <row r="1179">
      <c r="A1179" s="49">
        <v>44496.8573850463</v>
      </c>
      <c r="B1179" s="50">
        <v>44496.9823591088</v>
      </c>
      <c r="C1179" s="51">
        <v>1.017</v>
      </c>
      <c r="D1179" s="51">
        <v>65.0</v>
      </c>
      <c r="E1179" s="52" t="s">
        <v>25</v>
      </c>
      <c r="F1179" s="52" t="s">
        <v>26</v>
      </c>
      <c r="G1179" s="53"/>
    </row>
    <row r="1180">
      <c r="A1180" s="49">
        <v>44496.86780739583</v>
      </c>
      <c r="B1180" s="50">
        <v>44496.992779456</v>
      </c>
      <c r="C1180" s="51">
        <v>1.017</v>
      </c>
      <c r="D1180" s="51">
        <v>65.0</v>
      </c>
      <c r="E1180" s="52" t="s">
        <v>25</v>
      </c>
      <c r="F1180" s="52" t="s">
        <v>26</v>
      </c>
      <c r="G1180" s="53"/>
    </row>
    <row r="1181">
      <c r="A1181" s="49">
        <v>44496.878229236114</v>
      </c>
      <c r="B1181" s="50">
        <v>44497.003200625</v>
      </c>
      <c r="C1181" s="51">
        <v>1.018</v>
      </c>
      <c r="D1181" s="51">
        <v>65.0</v>
      </c>
      <c r="E1181" s="52" t="s">
        <v>25</v>
      </c>
      <c r="F1181" s="52" t="s">
        <v>26</v>
      </c>
      <c r="G1181" s="53"/>
    </row>
    <row r="1182">
      <c r="A1182" s="49">
        <v>44496.888641770835</v>
      </c>
      <c r="B1182" s="50">
        <v>44497.0136224305</v>
      </c>
      <c r="C1182" s="51">
        <v>1.015</v>
      </c>
      <c r="D1182" s="51">
        <v>65.0</v>
      </c>
      <c r="E1182" s="52" t="s">
        <v>25</v>
      </c>
      <c r="F1182" s="52" t="s">
        <v>26</v>
      </c>
      <c r="G1182" s="53"/>
    </row>
    <row r="1183">
      <c r="A1183" s="49">
        <v>44496.899065185185</v>
      </c>
      <c r="B1183" s="50">
        <v>44497.0240438541</v>
      </c>
      <c r="C1183" s="51">
        <v>1.014</v>
      </c>
      <c r="D1183" s="51">
        <v>65.0</v>
      </c>
      <c r="E1183" s="52" t="s">
        <v>25</v>
      </c>
      <c r="F1183" s="52" t="s">
        <v>26</v>
      </c>
      <c r="G1183" s="53"/>
    </row>
    <row r="1184">
      <c r="A1184" s="49">
        <v>44496.90949633102</v>
      </c>
      <c r="B1184" s="50">
        <v>44497.0344649884</v>
      </c>
      <c r="C1184" s="51">
        <v>1.015</v>
      </c>
      <c r="D1184" s="51">
        <v>65.0</v>
      </c>
      <c r="E1184" s="52" t="s">
        <v>25</v>
      </c>
      <c r="F1184" s="52" t="s">
        <v>26</v>
      </c>
      <c r="G1184" s="53"/>
    </row>
    <row r="1185">
      <c r="A1185" s="49">
        <v>44496.91992005787</v>
      </c>
      <c r="B1185" s="50">
        <v>44497.0448980902</v>
      </c>
      <c r="C1185" s="51">
        <v>1.014</v>
      </c>
      <c r="D1185" s="51">
        <v>65.0</v>
      </c>
      <c r="E1185" s="52" t="s">
        <v>25</v>
      </c>
      <c r="F1185" s="52" t="s">
        <v>26</v>
      </c>
      <c r="G1185" s="53"/>
    </row>
    <row r="1186">
      <c r="A1186" s="49">
        <v>44496.930341597224</v>
      </c>
      <c r="B1186" s="50">
        <v>44497.055318831</v>
      </c>
      <c r="C1186" s="51">
        <v>1.014</v>
      </c>
      <c r="D1186" s="51">
        <v>65.0</v>
      </c>
      <c r="E1186" s="52" t="s">
        <v>25</v>
      </c>
      <c r="F1186" s="52" t="s">
        <v>26</v>
      </c>
      <c r="G1186" s="53"/>
    </row>
    <row r="1187">
      <c r="A1187" s="49">
        <v>44496.94077107639</v>
      </c>
      <c r="B1187" s="50">
        <v>44497.0657395717</v>
      </c>
      <c r="C1187" s="51">
        <v>1.016</v>
      </c>
      <c r="D1187" s="51">
        <v>65.0</v>
      </c>
      <c r="E1187" s="52" t="s">
        <v>25</v>
      </c>
      <c r="F1187" s="52" t="s">
        <v>26</v>
      </c>
      <c r="G1187" s="53"/>
    </row>
    <row r="1188">
      <c r="A1188" s="49">
        <v>44496.95118909722</v>
      </c>
      <c r="B1188" s="50">
        <v>44497.0761616435</v>
      </c>
      <c r="C1188" s="51">
        <v>1.016</v>
      </c>
      <c r="D1188" s="51">
        <v>65.0</v>
      </c>
      <c r="E1188" s="52" t="s">
        <v>25</v>
      </c>
      <c r="F1188" s="52" t="s">
        <v>26</v>
      </c>
      <c r="G1188" s="53"/>
    </row>
    <row r="1189">
      <c r="A1189" s="49">
        <v>44496.96161209491</v>
      </c>
      <c r="B1189" s="50">
        <v>44497.0865812384</v>
      </c>
      <c r="C1189" s="51">
        <v>1.015</v>
      </c>
      <c r="D1189" s="51">
        <v>66.0</v>
      </c>
      <c r="E1189" s="52" t="s">
        <v>25</v>
      </c>
      <c r="F1189" s="52" t="s">
        <v>26</v>
      </c>
      <c r="G1189" s="53"/>
    </row>
    <row r="1190">
      <c r="A1190" s="49">
        <v>44496.97203347222</v>
      </c>
      <c r="B1190" s="50">
        <v>44497.097001574</v>
      </c>
      <c r="C1190" s="51">
        <v>1.015</v>
      </c>
      <c r="D1190" s="51">
        <v>66.0</v>
      </c>
      <c r="E1190" s="52" t="s">
        <v>25</v>
      </c>
      <c r="F1190" s="52" t="s">
        <v>26</v>
      </c>
      <c r="G1190" s="53"/>
    </row>
    <row r="1191">
      <c r="A1191" s="49">
        <v>44496.982456550926</v>
      </c>
      <c r="B1191" s="50">
        <v>44497.1074329398</v>
      </c>
      <c r="C1191" s="51">
        <v>1.016</v>
      </c>
      <c r="D1191" s="51">
        <v>66.0</v>
      </c>
      <c r="E1191" s="52" t="s">
        <v>25</v>
      </c>
      <c r="F1191" s="52" t="s">
        <v>26</v>
      </c>
      <c r="G1191" s="53"/>
    </row>
    <row r="1192">
      <c r="A1192" s="49">
        <v>44496.99287354166</v>
      </c>
      <c r="B1192" s="50">
        <v>44497.1178553125</v>
      </c>
      <c r="C1192" s="51">
        <v>1.017</v>
      </c>
      <c r="D1192" s="51">
        <v>65.0</v>
      </c>
      <c r="E1192" s="52" t="s">
        <v>25</v>
      </c>
      <c r="F1192" s="52" t="s">
        <v>26</v>
      </c>
      <c r="G1192" s="53"/>
    </row>
    <row r="1193">
      <c r="A1193" s="49">
        <v>44497.00330549768</v>
      </c>
      <c r="B1193" s="50">
        <v>44497.1282776967</v>
      </c>
      <c r="C1193" s="51">
        <v>1.016</v>
      </c>
      <c r="D1193" s="51">
        <v>66.0</v>
      </c>
      <c r="E1193" s="52" t="s">
        <v>25</v>
      </c>
      <c r="F1193" s="52" t="s">
        <v>26</v>
      </c>
      <c r="G1193" s="53"/>
    </row>
    <row r="1194">
      <c r="A1194" s="49">
        <v>44497.01373349537</v>
      </c>
      <c r="B1194" s="50">
        <v>44497.1387108564</v>
      </c>
      <c r="C1194" s="51">
        <v>1.015</v>
      </c>
      <c r="D1194" s="51">
        <v>66.0</v>
      </c>
      <c r="E1194" s="52" t="s">
        <v>25</v>
      </c>
      <c r="F1194" s="52" t="s">
        <v>26</v>
      </c>
      <c r="G1194" s="53"/>
    </row>
    <row r="1195">
      <c r="A1195" s="49">
        <v>44497.024153252314</v>
      </c>
      <c r="B1195" s="50">
        <v>44497.1491319213</v>
      </c>
      <c r="C1195" s="51">
        <v>1.015</v>
      </c>
      <c r="D1195" s="51">
        <v>66.0</v>
      </c>
      <c r="E1195" s="52" t="s">
        <v>25</v>
      </c>
      <c r="F1195" s="52" t="s">
        <v>26</v>
      </c>
      <c r="G1195" s="53"/>
    </row>
    <row r="1196">
      <c r="A1196" s="49">
        <v>44497.0345800463</v>
      </c>
      <c r="B1196" s="50">
        <v>44497.1595524074</v>
      </c>
      <c r="C1196" s="51">
        <v>1.015</v>
      </c>
      <c r="D1196" s="51">
        <v>66.0</v>
      </c>
      <c r="E1196" s="52" t="s">
        <v>25</v>
      </c>
      <c r="F1196" s="52" t="s">
        <v>26</v>
      </c>
      <c r="G1196" s="53"/>
    </row>
    <row r="1197">
      <c r="A1197" s="49">
        <v>44497.04499804398</v>
      </c>
      <c r="B1197" s="50">
        <v>44497.1699711111</v>
      </c>
      <c r="C1197" s="51">
        <v>1.016</v>
      </c>
      <c r="D1197" s="51">
        <v>66.0</v>
      </c>
      <c r="E1197" s="52" t="s">
        <v>25</v>
      </c>
      <c r="F1197" s="52" t="s">
        <v>26</v>
      </c>
      <c r="G1197" s="53"/>
    </row>
    <row r="1198">
      <c r="A1198" s="49">
        <v>44497.05542071759</v>
      </c>
      <c r="B1198" s="50">
        <v>44497.1803930208</v>
      </c>
      <c r="C1198" s="51">
        <v>1.017</v>
      </c>
      <c r="D1198" s="51">
        <v>66.0</v>
      </c>
      <c r="E1198" s="52" t="s">
        <v>25</v>
      </c>
      <c r="F1198" s="52" t="s">
        <v>26</v>
      </c>
      <c r="G1198" s="53"/>
    </row>
    <row r="1199">
      <c r="A1199" s="49">
        <v>44497.06583923611</v>
      </c>
      <c r="B1199" s="50">
        <v>44497.1908158217</v>
      </c>
      <c r="C1199" s="51">
        <v>1.016</v>
      </c>
      <c r="D1199" s="51">
        <v>66.0</v>
      </c>
      <c r="E1199" s="52" t="s">
        <v>25</v>
      </c>
      <c r="F1199" s="52" t="s">
        <v>26</v>
      </c>
      <c r="G1199" s="53"/>
    </row>
    <row r="1200">
      <c r="A1200" s="49">
        <v>44497.07625550926</v>
      </c>
      <c r="B1200" s="50">
        <v>44497.2012376967</v>
      </c>
      <c r="C1200" s="51">
        <v>1.016</v>
      </c>
      <c r="D1200" s="51">
        <v>66.0</v>
      </c>
      <c r="E1200" s="52" t="s">
        <v>25</v>
      </c>
      <c r="F1200" s="52" t="s">
        <v>26</v>
      </c>
      <c r="G1200" s="53"/>
    </row>
    <row r="1201">
      <c r="A1201" s="49">
        <v>44497.08667766204</v>
      </c>
      <c r="B1201" s="50">
        <v>44497.2116580555</v>
      </c>
      <c r="C1201" s="51">
        <v>1.016</v>
      </c>
      <c r="D1201" s="51">
        <v>66.0</v>
      </c>
      <c r="E1201" s="52" t="s">
        <v>25</v>
      </c>
      <c r="F1201" s="52" t="s">
        <v>26</v>
      </c>
      <c r="G1201" s="53"/>
    </row>
    <row r="1202">
      <c r="A1202" s="49">
        <v>44497.097114317134</v>
      </c>
      <c r="B1202" s="50">
        <v>44497.2220794907</v>
      </c>
      <c r="C1202" s="51">
        <v>1.017</v>
      </c>
      <c r="D1202" s="51">
        <v>66.0</v>
      </c>
      <c r="E1202" s="52" t="s">
        <v>25</v>
      </c>
      <c r="F1202" s="52" t="s">
        <v>26</v>
      </c>
      <c r="G1202" s="53"/>
    </row>
    <row r="1203">
      <c r="A1203" s="49">
        <v>44497.10754087963</v>
      </c>
      <c r="B1203" s="50">
        <v>44497.2325126041</v>
      </c>
      <c r="C1203" s="51">
        <v>1.017</v>
      </c>
      <c r="D1203" s="51">
        <v>66.0</v>
      </c>
      <c r="E1203" s="52" t="s">
        <v>25</v>
      </c>
      <c r="F1203" s="52" t="s">
        <v>26</v>
      </c>
      <c r="G1203" s="53"/>
    </row>
    <row r="1204">
      <c r="A1204" s="49">
        <v>44497.117962222226</v>
      </c>
      <c r="B1204" s="50">
        <v>44497.2429330902</v>
      </c>
      <c r="C1204" s="51">
        <v>1.017</v>
      </c>
      <c r="D1204" s="51">
        <v>66.0</v>
      </c>
      <c r="E1204" s="52" t="s">
        <v>25</v>
      </c>
      <c r="F1204" s="52" t="s">
        <v>26</v>
      </c>
      <c r="G1204" s="53"/>
    </row>
    <row r="1205">
      <c r="A1205" s="49">
        <v>44497.12838204861</v>
      </c>
      <c r="B1205" s="50">
        <v>44497.2533549189</v>
      </c>
      <c r="C1205" s="51">
        <v>1.014</v>
      </c>
      <c r="D1205" s="51">
        <v>66.0</v>
      </c>
      <c r="E1205" s="52" t="s">
        <v>25</v>
      </c>
      <c r="F1205" s="52" t="s">
        <v>26</v>
      </c>
      <c r="G1205" s="53"/>
    </row>
    <row r="1206">
      <c r="A1206" s="49">
        <v>44497.13880763889</v>
      </c>
      <c r="B1206" s="50">
        <v>44497.26377625</v>
      </c>
      <c r="C1206" s="51">
        <v>1.014</v>
      </c>
      <c r="D1206" s="51">
        <v>66.0</v>
      </c>
      <c r="E1206" s="52" t="s">
        <v>25</v>
      </c>
      <c r="F1206" s="52" t="s">
        <v>26</v>
      </c>
      <c r="G1206" s="53"/>
    </row>
    <row r="1207">
      <c r="A1207" s="49">
        <v>44497.14922359954</v>
      </c>
      <c r="B1207" s="50">
        <v>44497.2741957638</v>
      </c>
      <c r="C1207" s="51">
        <v>1.014</v>
      </c>
      <c r="D1207" s="51">
        <v>66.0</v>
      </c>
      <c r="E1207" s="52" t="s">
        <v>25</v>
      </c>
      <c r="F1207" s="52" t="s">
        <v>26</v>
      </c>
      <c r="G1207" s="53"/>
    </row>
    <row r="1208">
      <c r="A1208" s="49">
        <v>44497.15964168981</v>
      </c>
      <c r="B1208" s="50">
        <v>44497.2846174189</v>
      </c>
      <c r="C1208" s="51">
        <v>1.015</v>
      </c>
      <c r="D1208" s="51">
        <v>66.0</v>
      </c>
      <c r="E1208" s="52" t="s">
        <v>25</v>
      </c>
      <c r="F1208" s="52" t="s">
        <v>26</v>
      </c>
      <c r="G1208" s="53"/>
    </row>
    <row r="1209">
      <c r="A1209" s="49">
        <v>44497.17006060186</v>
      </c>
      <c r="B1209" s="50">
        <v>44497.2950389236</v>
      </c>
      <c r="C1209" s="51">
        <v>1.015</v>
      </c>
      <c r="D1209" s="51">
        <v>66.0</v>
      </c>
      <c r="E1209" s="52" t="s">
        <v>25</v>
      </c>
      <c r="F1209" s="52" t="s">
        <v>26</v>
      </c>
      <c r="G1209" s="53"/>
    </row>
    <row r="1210">
      <c r="A1210" s="49">
        <v>44497.18049403935</v>
      </c>
      <c r="B1210" s="50">
        <v>44497.3054724537</v>
      </c>
      <c r="C1210" s="51">
        <v>1.015</v>
      </c>
      <c r="D1210" s="51">
        <v>66.0</v>
      </c>
      <c r="E1210" s="52" t="s">
        <v>25</v>
      </c>
      <c r="F1210" s="52" t="s">
        <v>26</v>
      </c>
      <c r="G1210" s="53"/>
    </row>
    <row r="1211">
      <c r="A1211" s="49">
        <v>44497.1909166088</v>
      </c>
      <c r="B1211" s="50">
        <v>44497.3158921064</v>
      </c>
      <c r="C1211" s="51">
        <v>1.016</v>
      </c>
      <c r="D1211" s="51">
        <v>66.0</v>
      </c>
      <c r="E1211" s="52" t="s">
        <v>25</v>
      </c>
      <c r="F1211" s="52" t="s">
        <v>26</v>
      </c>
      <c r="G1211" s="53"/>
    </row>
    <row r="1212">
      <c r="A1212" s="49">
        <v>44497.20134489583</v>
      </c>
      <c r="B1212" s="50">
        <v>44497.3263257638</v>
      </c>
      <c r="C1212" s="51">
        <v>1.015</v>
      </c>
      <c r="D1212" s="51">
        <v>66.0</v>
      </c>
      <c r="E1212" s="52" t="s">
        <v>25</v>
      </c>
      <c r="F1212" s="52" t="s">
        <v>26</v>
      </c>
      <c r="G1212" s="53"/>
    </row>
    <row r="1213">
      <c r="A1213" s="49">
        <v>44497.21176947917</v>
      </c>
      <c r="B1213" s="50">
        <v>44497.3367458217</v>
      </c>
      <c r="C1213" s="51">
        <v>1.015</v>
      </c>
      <c r="D1213" s="51">
        <v>66.0</v>
      </c>
      <c r="E1213" s="52" t="s">
        <v>25</v>
      </c>
      <c r="F1213" s="52" t="s">
        <v>26</v>
      </c>
      <c r="G1213" s="53"/>
    </row>
    <row r="1214">
      <c r="A1214" s="49">
        <v>44497.222190659726</v>
      </c>
      <c r="B1214" s="50">
        <v>44497.3471665972</v>
      </c>
      <c r="C1214" s="51">
        <v>1.015</v>
      </c>
      <c r="D1214" s="51">
        <v>66.0</v>
      </c>
      <c r="E1214" s="52" t="s">
        <v>25</v>
      </c>
      <c r="F1214" s="52" t="s">
        <v>26</v>
      </c>
      <c r="G1214" s="53"/>
    </row>
    <row r="1215">
      <c r="A1215" s="49">
        <v>44497.232615057874</v>
      </c>
      <c r="B1215" s="50">
        <v>44497.3575883796</v>
      </c>
      <c r="C1215" s="51">
        <v>1.015</v>
      </c>
      <c r="D1215" s="51">
        <v>66.0</v>
      </c>
      <c r="E1215" s="52" t="s">
        <v>25</v>
      </c>
      <c r="F1215" s="52" t="s">
        <v>26</v>
      </c>
      <c r="G1215" s="53"/>
    </row>
    <row r="1216">
      <c r="A1216" s="49">
        <v>44497.24306929398</v>
      </c>
      <c r="B1216" s="50">
        <v>44497.3680326504</v>
      </c>
      <c r="C1216" s="51">
        <v>1.015</v>
      </c>
      <c r="D1216" s="51">
        <v>66.0</v>
      </c>
      <c r="E1216" s="52" t="s">
        <v>25</v>
      </c>
      <c r="F1216" s="52" t="s">
        <v>26</v>
      </c>
      <c r="G1216" s="53"/>
    </row>
    <row r="1217">
      <c r="A1217" s="49">
        <v>44497.25347673611</v>
      </c>
      <c r="B1217" s="50">
        <v>44497.3784549652</v>
      </c>
      <c r="C1217" s="51">
        <v>1.015</v>
      </c>
      <c r="D1217" s="51">
        <v>66.0</v>
      </c>
      <c r="E1217" s="52" t="s">
        <v>25</v>
      </c>
      <c r="F1217" s="52" t="s">
        <v>26</v>
      </c>
      <c r="G1217" s="53"/>
    </row>
    <row r="1218">
      <c r="A1218" s="49">
        <v>44497.26391243056</v>
      </c>
      <c r="B1218" s="50">
        <v>44497.3888771875</v>
      </c>
      <c r="C1218" s="51">
        <v>1.016</v>
      </c>
      <c r="D1218" s="51">
        <v>66.0</v>
      </c>
      <c r="E1218" s="52" t="s">
        <v>25</v>
      </c>
      <c r="F1218" s="52" t="s">
        <v>26</v>
      </c>
      <c r="G1218" s="53"/>
    </row>
    <row r="1219">
      <c r="A1219" s="49">
        <v>44497.27433034722</v>
      </c>
      <c r="B1219" s="50">
        <v>44497.3992978703</v>
      </c>
      <c r="C1219" s="51">
        <v>1.016</v>
      </c>
      <c r="D1219" s="51">
        <v>66.0</v>
      </c>
      <c r="E1219" s="52" t="s">
        <v>25</v>
      </c>
      <c r="F1219" s="52" t="s">
        <v>26</v>
      </c>
      <c r="G1219" s="53"/>
    </row>
    <row r="1220">
      <c r="A1220" s="49">
        <v>44497.28475111111</v>
      </c>
      <c r="B1220" s="50">
        <v>44497.4097192361</v>
      </c>
      <c r="C1220" s="51">
        <v>1.016</v>
      </c>
      <c r="D1220" s="51">
        <v>66.0</v>
      </c>
      <c r="E1220" s="52" t="s">
        <v>25</v>
      </c>
      <c r="F1220" s="52" t="s">
        <v>26</v>
      </c>
      <c r="G1220" s="53"/>
    </row>
    <row r="1221">
      <c r="A1221" s="49">
        <v>44497.295170937505</v>
      </c>
      <c r="B1221" s="50">
        <v>44497.4201417129</v>
      </c>
      <c r="C1221" s="51">
        <v>1.016</v>
      </c>
      <c r="D1221" s="51">
        <v>66.0</v>
      </c>
      <c r="E1221" s="52" t="s">
        <v>25</v>
      </c>
      <c r="F1221" s="52" t="s">
        <v>26</v>
      </c>
      <c r="G1221" s="53"/>
    </row>
    <row r="1222">
      <c r="A1222" s="49">
        <v>44497.30559751157</v>
      </c>
      <c r="B1222" s="50">
        <v>44497.4305629282</v>
      </c>
      <c r="C1222" s="51">
        <v>1.016</v>
      </c>
      <c r="D1222" s="51">
        <v>66.0</v>
      </c>
      <c r="E1222" s="52" t="s">
        <v>25</v>
      </c>
      <c r="F1222" s="52" t="s">
        <v>26</v>
      </c>
      <c r="G1222" s="53"/>
    </row>
    <row r="1223">
      <c r="A1223" s="49">
        <v>44497.3160224537</v>
      </c>
      <c r="B1223" s="50">
        <v>44497.4409973958</v>
      </c>
      <c r="C1223" s="51">
        <v>1.017</v>
      </c>
      <c r="D1223" s="51">
        <v>66.0</v>
      </c>
      <c r="E1223" s="52" t="s">
        <v>25</v>
      </c>
      <c r="F1223" s="52" t="s">
        <v>26</v>
      </c>
      <c r="G1223" s="53"/>
    </row>
    <row r="1224">
      <c r="A1224" s="49">
        <v>44497.32647196759</v>
      </c>
      <c r="B1224" s="50">
        <v>44497.4514418865</v>
      </c>
      <c r="C1224" s="51">
        <v>1.016</v>
      </c>
      <c r="D1224" s="51">
        <v>66.0</v>
      </c>
      <c r="E1224" s="52" t="s">
        <v>25</v>
      </c>
      <c r="F1224" s="52" t="s">
        <v>26</v>
      </c>
      <c r="G1224" s="53"/>
    </row>
    <row r="1225">
      <c r="A1225" s="49">
        <v>44497.33688940972</v>
      </c>
      <c r="B1225" s="50">
        <v>44497.4618621064</v>
      </c>
      <c r="C1225" s="51">
        <v>1.015</v>
      </c>
      <c r="D1225" s="51">
        <v>66.0</v>
      </c>
      <c r="E1225" s="52" t="s">
        <v>25</v>
      </c>
      <c r="F1225" s="52" t="s">
        <v>26</v>
      </c>
      <c r="G1225" s="53"/>
    </row>
    <row r="1226">
      <c r="A1226" s="49">
        <v>44497.34731001157</v>
      </c>
      <c r="B1226" s="50">
        <v>44497.4722828009</v>
      </c>
      <c r="C1226" s="51">
        <v>1.015</v>
      </c>
      <c r="D1226" s="51">
        <v>66.0</v>
      </c>
      <c r="E1226" s="52" t="s">
        <v>25</v>
      </c>
      <c r="F1226" s="52" t="s">
        <v>26</v>
      </c>
      <c r="G1226" s="53"/>
    </row>
    <row r="1227">
      <c r="A1227" s="49">
        <v>44497.357737025464</v>
      </c>
      <c r="B1227" s="50">
        <v>44497.4827152777</v>
      </c>
      <c r="C1227" s="51">
        <v>1.014</v>
      </c>
      <c r="D1227" s="51">
        <v>66.0</v>
      </c>
      <c r="E1227" s="52" t="s">
        <v>25</v>
      </c>
      <c r="F1227" s="52" t="s">
        <v>26</v>
      </c>
      <c r="G1227" s="53"/>
    </row>
    <row r="1228">
      <c r="A1228" s="49">
        <v>44497.36816834491</v>
      </c>
      <c r="B1228" s="50">
        <v>44497.4931364351</v>
      </c>
      <c r="C1228" s="51">
        <v>1.013</v>
      </c>
      <c r="D1228" s="51">
        <v>66.0</v>
      </c>
      <c r="E1228" s="52" t="s">
        <v>25</v>
      </c>
      <c r="F1228" s="52" t="s">
        <v>26</v>
      </c>
      <c r="G1228" s="53"/>
    </row>
    <row r="1229">
      <c r="A1229" s="49">
        <v>44497.37858916666</v>
      </c>
      <c r="B1229" s="50">
        <v>44497.5035576851</v>
      </c>
      <c r="C1229" s="51">
        <v>1.013</v>
      </c>
      <c r="D1229" s="51">
        <v>66.0</v>
      </c>
      <c r="E1229" s="52" t="s">
        <v>25</v>
      </c>
      <c r="F1229" s="52" t="s">
        <v>26</v>
      </c>
      <c r="G1229" s="53"/>
    </row>
    <row r="1230">
      <c r="A1230" s="49">
        <v>44497.3890315162</v>
      </c>
      <c r="B1230" s="50">
        <v>44497.5139909027</v>
      </c>
      <c r="C1230" s="51">
        <v>1.013</v>
      </c>
      <c r="D1230" s="51">
        <v>66.0</v>
      </c>
      <c r="E1230" s="52" t="s">
        <v>25</v>
      </c>
      <c r="F1230" s="52" t="s">
        <v>26</v>
      </c>
      <c r="G1230" s="53"/>
    </row>
    <row r="1231">
      <c r="A1231" s="49">
        <v>44497.39943413195</v>
      </c>
      <c r="B1231" s="50">
        <v>44497.5244128009</v>
      </c>
      <c r="C1231" s="51">
        <v>1.013</v>
      </c>
      <c r="D1231" s="51">
        <v>66.0</v>
      </c>
      <c r="E1231" s="52" t="s">
        <v>25</v>
      </c>
      <c r="F1231" s="52" t="s">
        <v>26</v>
      </c>
      <c r="G1231" s="53"/>
    </row>
    <row r="1232">
      <c r="A1232" s="49">
        <v>44497.409863125</v>
      </c>
      <c r="B1232" s="50">
        <v>44497.5348344675</v>
      </c>
      <c r="C1232" s="51">
        <v>1.013</v>
      </c>
      <c r="D1232" s="51">
        <v>65.0</v>
      </c>
      <c r="E1232" s="52" t="s">
        <v>25</v>
      </c>
      <c r="F1232" s="52" t="s">
        <v>26</v>
      </c>
      <c r="G1232" s="53"/>
    </row>
    <row r="1233">
      <c r="A1233" s="49">
        <v>44497.42028627315</v>
      </c>
      <c r="B1233" s="50">
        <v>44497.5452558564</v>
      </c>
      <c r="C1233" s="51">
        <v>1.013</v>
      </c>
      <c r="D1233" s="51">
        <v>65.0</v>
      </c>
      <c r="E1233" s="52" t="s">
        <v>25</v>
      </c>
      <c r="F1233" s="52" t="s">
        <v>26</v>
      </c>
      <c r="G1233" s="53"/>
    </row>
    <row r="1234">
      <c r="A1234" s="49">
        <v>44497.430694814815</v>
      </c>
      <c r="B1234" s="50">
        <v>44497.5556769907</v>
      </c>
      <c r="C1234" s="51">
        <v>1.013</v>
      </c>
      <c r="D1234" s="51">
        <v>64.0</v>
      </c>
      <c r="E1234" s="52" t="s">
        <v>25</v>
      </c>
      <c r="F1234" s="52" t="s">
        <v>26</v>
      </c>
      <c r="G1234" s="53"/>
    </row>
    <row r="1235">
      <c r="A1235" s="49">
        <v>44497.44113234954</v>
      </c>
      <c r="B1235" s="50">
        <v>44497.5660982638</v>
      </c>
      <c r="C1235" s="51">
        <v>1.013</v>
      </c>
      <c r="D1235" s="51">
        <v>63.0</v>
      </c>
      <c r="E1235" s="52" t="s">
        <v>25</v>
      </c>
      <c r="F1235" s="52" t="s">
        <v>26</v>
      </c>
      <c r="G1235" s="53"/>
    </row>
    <row r="1236">
      <c r="A1236" s="49">
        <v>44497.45154928241</v>
      </c>
      <c r="B1236" s="50">
        <v>44497.5765195254</v>
      </c>
      <c r="C1236" s="51">
        <v>1.013</v>
      </c>
      <c r="D1236" s="51">
        <v>62.0</v>
      </c>
      <c r="E1236" s="52" t="s">
        <v>25</v>
      </c>
      <c r="F1236" s="52" t="s">
        <v>26</v>
      </c>
      <c r="G1236" s="53"/>
    </row>
    <row r="1237">
      <c r="A1237" s="49">
        <v>44497.46196645833</v>
      </c>
      <c r="B1237" s="50">
        <v>44497.5869410879</v>
      </c>
      <c r="C1237" s="51">
        <v>1.013</v>
      </c>
      <c r="D1237" s="51">
        <v>62.0</v>
      </c>
      <c r="E1237" s="52" t="s">
        <v>25</v>
      </c>
      <c r="F1237" s="52" t="s">
        <v>26</v>
      </c>
      <c r="G1237" s="53"/>
    </row>
    <row r="1238">
      <c r="A1238" s="49">
        <v>44497.47239189815</v>
      </c>
      <c r="B1238" s="50">
        <v>44497.5973630208</v>
      </c>
      <c r="C1238" s="51">
        <v>1.013</v>
      </c>
      <c r="D1238" s="51">
        <v>62.0</v>
      </c>
      <c r="E1238" s="52" t="s">
        <v>25</v>
      </c>
      <c r="F1238" s="52" t="s">
        <v>26</v>
      </c>
      <c r="G1238" s="53"/>
    </row>
    <row r="1239">
      <c r="A1239" s="49">
        <v>44497.482815497686</v>
      </c>
      <c r="B1239" s="50">
        <v>44497.6077837731</v>
      </c>
      <c r="C1239" s="51">
        <v>1.013</v>
      </c>
      <c r="D1239" s="51">
        <v>62.0</v>
      </c>
      <c r="E1239" s="52" t="s">
        <v>25</v>
      </c>
      <c r="F1239" s="52" t="s">
        <v>26</v>
      </c>
      <c r="G1239" s="53"/>
    </row>
    <row r="1240">
      <c r="A1240" s="49">
        <v>44497.49323388889</v>
      </c>
      <c r="B1240" s="50">
        <v>44497.6182059837</v>
      </c>
      <c r="C1240" s="51">
        <v>1.013</v>
      </c>
      <c r="D1240" s="51">
        <v>62.0</v>
      </c>
      <c r="E1240" s="52" t="s">
        <v>25</v>
      </c>
      <c r="F1240" s="52" t="s">
        <v>26</v>
      </c>
      <c r="G1240" s="53"/>
    </row>
    <row r="1241">
      <c r="A1241" s="49">
        <v>44497.503664398144</v>
      </c>
      <c r="B1241" s="50">
        <v>44497.6286382754</v>
      </c>
      <c r="C1241" s="51">
        <v>1.014</v>
      </c>
      <c r="D1241" s="51">
        <v>62.0</v>
      </c>
      <c r="E1241" s="52" t="s">
        <v>25</v>
      </c>
      <c r="F1241" s="52" t="s">
        <v>26</v>
      </c>
      <c r="G1241" s="53"/>
    </row>
    <row r="1242">
      <c r="A1242" s="49">
        <v>44497.5140881713</v>
      </c>
      <c r="B1242" s="50">
        <v>44497.6390595949</v>
      </c>
      <c r="C1242" s="51">
        <v>1.014</v>
      </c>
      <c r="D1242" s="51">
        <v>62.0</v>
      </c>
      <c r="E1242" s="52" t="s">
        <v>25</v>
      </c>
      <c r="F1242" s="52" t="s">
        <v>26</v>
      </c>
      <c r="G1242" s="53"/>
    </row>
    <row r="1243">
      <c r="A1243" s="49">
        <v>44497.52450847223</v>
      </c>
      <c r="B1243" s="50">
        <v>44497.6494797685</v>
      </c>
      <c r="C1243" s="51">
        <v>1.013</v>
      </c>
      <c r="D1243" s="51">
        <v>62.0</v>
      </c>
      <c r="E1243" s="52" t="s">
        <v>25</v>
      </c>
      <c r="F1243" s="52" t="s">
        <v>26</v>
      </c>
      <c r="G1243" s="53"/>
    </row>
    <row r="1244">
      <c r="A1244" s="49">
        <v>44497.53492899306</v>
      </c>
      <c r="B1244" s="50">
        <v>44497.6599010764</v>
      </c>
      <c r="C1244" s="51">
        <v>1.014</v>
      </c>
      <c r="D1244" s="51">
        <v>62.0</v>
      </c>
      <c r="E1244" s="52" t="s">
        <v>25</v>
      </c>
      <c r="F1244" s="52" t="s">
        <v>26</v>
      </c>
      <c r="G1244" s="53"/>
    </row>
    <row r="1245">
      <c r="A1245" s="49">
        <v>44497.545342638885</v>
      </c>
      <c r="B1245" s="50">
        <v>44497.6703215972</v>
      </c>
      <c r="C1245" s="51">
        <v>1.014</v>
      </c>
      <c r="D1245" s="51">
        <v>62.0</v>
      </c>
      <c r="E1245" s="52" t="s">
        <v>25</v>
      </c>
      <c r="F1245" s="52" t="s">
        <v>26</v>
      </c>
      <c r="G1245" s="53"/>
    </row>
    <row r="1246">
      <c r="A1246" s="49">
        <v>44497.55577219908</v>
      </c>
      <c r="B1246" s="50">
        <v>44497.6807411921</v>
      </c>
      <c r="C1246" s="51">
        <v>1.014</v>
      </c>
      <c r="D1246" s="51">
        <v>62.0</v>
      </c>
      <c r="E1246" s="52" t="s">
        <v>25</v>
      </c>
      <c r="F1246" s="52" t="s">
        <v>26</v>
      </c>
      <c r="G1246" s="53"/>
    </row>
    <row r="1247">
      <c r="A1247" s="49">
        <v>44497.56618760417</v>
      </c>
      <c r="B1247" s="50">
        <v>44497.6911616203</v>
      </c>
      <c r="C1247" s="51">
        <v>1.014</v>
      </c>
      <c r="D1247" s="51">
        <v>62.0</v>
      </c>
      <c r="E1247" s="52" t="s">
        <v>25</v>
      </c>
      <c r="F1247" s="52" t="s">
        <v>26</v>
      </c>
      <c r="G1247" s="53"/>
    </row>
    <row r="1248">
      <c r="A1248" s="49">
        <v>44497.576611111115</v>
      </c>
      <c r="B1248" s="50">
        <v>44497.7015836921</v>
      </c>
      <c r="C1248" s="51">
        <v>1.014</v>
      </c>
      <c r="D1248" s="51">
        <v>62.0</v>
      </c>
      <c r="E1248" s="52" t="s">
        <v>25</v>
      </c>
      <c r="F1248" s="52" t="s">
        <v>26</v>
      </c>
      <c r="G1248" s="53"/>
    </row>
    <row r="1249">
      <c r="A1249" s="49">
        <v>44497.58703476852</v>
      </c>
      <c r="B1249" s="50">
        <v>44497.7120051967</v>
      </c>
      <c r="C1249" s="51">
        <v>1.014</v>
      </c>
      <c r="D1249" s="51">
        <v>62.0</v>
      </c>
      <c r="E1249" s="52" t="s">
        <v>25</v>
      </c>
      <c r="F1249" s="52" t="s">
        <v>26</v>
      </c>
      <c r="G1249" s="53"/>
    </row>
    <row r="1250">
      <c r="A1250" s="49">
        <v>44497.59745574074</v>
      </c>
      <c r="B1250" s="50">
        <v>44497.7224282291</v>
      </c>
      <c r="C1250" s="51">
        <v>1.014</v>
      </c>
      <c r="D1250" s="51">
        <v>62.0</v>
      </c>
      <c r="E1250" s="52" t="s">
        <v>25</v>
      </c>
      <c r="F1250" s="52" t="s">
        <v>26</v>
      </c>
      <c r="G1250" s="53"/>
    </row>
    <row r="1251">
      <c r="A1251" s="49">
        <v>44497.60787184028</v>
      </c>
      <c r="B1251" s="50">
        <v>44497.7328492129</v>
      </c>
      <c r="C1251" s="51">
        <v>1.014</v>
      </c>
      <c r="D1251" s="51">
        <v>62.0</v>
      </c>
      <c r="E1251" s="52" t="s">
        <v>25</v>
      </c>
      <c r="F1251" s="52" t="s">
        <v>26</v>
      </c>
      <c r="G1251" s="53"/>
    </row>
    <row r="1252">
      <c r="A1252" s="49">
        <v>44497.61832233796</v>
      </c>
      <c r="B1252" s="50">
        <v>44497.7432701851</v>
      </c>
      <c r="C1252" s="51">
        <v>1.014</v>
      </c>
      <c r="D1252" s="51">
        <v>62.0</v>
      </c>
      <c r="E1252" s="52" t="s">
        <v>25</v>
      </c>
      <c r="F1252" s="52" t="s">
        <v>26</v>
      </c>
      <c r="G1252" s="53"/>
    </row>
    <row r="1253">
      <c r="A1253" s="49">
        <v>44497.62874478009</v>
      </c>
      <c r="B1253" s="50">
        <v>44497.7537255787</v>
      </c>
      <c r="C1253" s="51">
        <v>1.014</v>
      </c>
      <c r="D1253" s="51">
        <v>62.0</v>
      </c>
      <c r="E1253" s="52" t="s">
        <v>25</v>
      </c>
      <c r="F1253" s="52" t="s">
        <v>26</v>
      </c>
      <c r="G1253" s="53"/>
    </row>
    <row r="1254">
      <c r="A1254" s="49">
        <v>44497.639197349534</v>
      </c>
      <c r="B1254" s="50">
        <v>44497.7641703356</v>
      </c>
      <c r="C1254" s="51">
        <v>1.014</v>
      </c>
      <c r="D1254" s="51">
        <v>62.0</v>
      </c>
      <c r="E1254" s="52" t="s">
        <v>25</v>
      </c>
      <c r="F1254" s="52" t="s">
        <v>26</v>
      </c>
      <c r="G1254" s="53"/>
    </row>
    <row r="1255">
      <c r="A1255" s="49">
        <v>44497.64961758102</v>
      </c>
      <c r="B1255" s="50">
        <v>44497.7745916203</v>
      </c>
      <c r="C1255" s="51">
        <v>1.014</v>
      </c>
      <c r="D1255" s="51">
        <v>62.0</v>
      </c>
      <c r="E1255" s="52" t="s">
        <v>25</v>
      </c>
      <c r="F1255" s="52" t="s">
        <v>26</v>
      </c>
      <c r="G1255" s="53"/>
    </row>
    <row r="1256">
      <c r="A1256" s="49">
        <v>44497.66005215277</v>
      </c>
      <c r="B1256" s="50">
        <v>44497.7850255787</v>
      </c>
      <c r="C1256" s="51">
        <v>1.014</v>
      </c>
      <c r="D1256" s="51">
        <v>62.0</v>
      </c>
      <c r="E1256" s="52" t="s">
        <v>25</v>
      </c>
      <c r="F1256" s="52" t="s">
        <v>26</v>
      </c>
      <c r="G1256" s="53"/>
    </row>
    <row r="1257">
      <c r="A1257" s="49">
        <v>44497.670465601856</v>
      </c>
      <c r="B1257" s="50">
        <v>44497.7954473958</v>
      </c>
      <c r="C1257" s="51">
        <v>1.015</v>
      </c>
      <c r="D1257" s="51">
        <v>62.0</v>
      </c>
      <c r="E1257" s="52" t="s">
        <v>25</v>
      </c>
      <c r="F1257" s="52" t="s">
        <v>26</v>
      </c>
      <c r="G1257" s="53"/>
    </row>
    <row r="1258">
      <c r="A1258" s="49">
        <v>44497.68089640046</v>
      </c>
      <c r="B1258" s="50">
        <v>44497.80586875</v>
      </c>
      <c r="C1258" s="51">
        <v>1.015</v>
      </c>
      <c r="D1258" s="51">
        <v>62.0</v>
      </c>
      <c r="E1258" s="52" t="s">
        <v>25</v>
      </c>
      <c r="F1258" s="52" t="s">
        <v>26</v>
      </c>
      <c r="G1258" s="53"/>
    </row>
    <row r="1259">
      <c r="A1259" s="49">
        <v>44497.691317696765</v>
      </c>
      <c r="B1259" s="50">
        <v>44497.8162907523</v>
      </c>
      <c r="C1259" s="51">
        <v>1.015</v>
      </c>
      <c r="D1259" s="51">
        <v>62.0</v>
      </c>
      <c r="E1259" s="52" t="s">
        <v>25</v>
      </c>
      <c r="F1259" s="52" t="s">
        <v>26</v>
      </c>
      <c r="G1259" s="53"/>
    </row>
    <row r="1260">
      <c r="A1260" s="49">
        <v>44497.70174841435</v>
      </c>
      <c r="B1260" s="50">
        <v>44497.8267126157</v>
      </c>
      <c r="C1260" s="51">
        <v>1.015</v>
      </c>
      <c r="D1260" s="51">
        <v>61.0</v>
      </c>
      <c r="E1260" s="52" t="s">
        <v>25</v>
      </c>
      <c r="F1260" s="52" t="s">
        <v>26</v>
      </c>
      <c r="G1260" s="53"/>
    </row>
    <row r="1261">
      <c r="A1261" s="49">
        <v>44497.712163344906</v>
      </c>
      <c r="B1261" s="50">
        <v>44497.8371360879</v>
      </c>
      <c r="C1261" s="51">
        <v>1.015</v>
      </c>
      <c r="D1261" s="51">
        <v>62.0</v>
      </c>
      <c r="E1261" s="52" t="s">
        <v>25</v>
      </c>
      <c r="F1261" s="52" t="s">
        <v>26</v>
      </c>
      <c r="G1261" s="53"/>
    </row>
    <row r="1262">
      <c r="A1262" s="49">
        <v>44497.72258149306</v>
      </c>
      <c r="B1262" s="50">
        <v>44497.84755603</v>
      </c>
      <c r="C1262" s="51">
        <v>1.016</v>
      </c>
      <c r="D1262" s="51">
        <v>62.0</v>
      </c>
      <c r="E1262" s="52" t="s">
        <v>25</v>
      </c>
      <c r="F1262" s="52" t="s">
        <v>26</v>
      </c>
      <c r="G1262" s="53"/>
    </row>
    <row r="1263">
      <c r="A1263" s="49">
        <v>44497.732994976854</v>
      </c>
      <c r="B1263" s="50">
        <v>44497.8579772453</v>
      </c>
      <c r="C1263" s="51">
        <v>1.016</v>
      </c>
      <c r="D1263" s="51">
        <v>62.0</v>
      </c>
      <c r="E1263" s="52" t="s">
        <v>25</v>
      </c>
      <c r="F1263" s="52" t="s">
        <v>26</v>
      </c>
      <c r="G1263" s="53"/>
    </row>
    <row r="1264">
      <c r="A1264" s="49">
        <v>44497.74342915509</v>
      </c>
      <c r="B1264" s="50">
        <v>44497.8683985416</v>
      </c>
      <c r="C1264" s="51">
        <v>1.016</v>
      </c>
      <c r="D1264" s="51">
        <v>61.0</v>
      </c>
      <c r="E1264" s="52" t="s">
        <v>25</v>
      </c>
      <c r="F1264" s="52" t="s">
        <v>26</v>
      </c>
      <c r="G1264" s="53"/>
    </row>
    <row r="1265">
      <c r="A1265" s="49">
        <v>44497.75384832176</v>
      </c>
      <c r="B1265" s="50">
        <v>44497.8788194907</v>
      </c>
      <c r="C1265" s="51">
        <v>1.016</v>
      </c>
      <c r="D1265" s="51">
        <v>61.0</v>
      </c>
      <c r="E1265" s="52" t="s">
        <v>25</v>
      </c>
      <c r="F1265" s="52" t="s">
        <v>26</v>
      </c>
      <c r="G1265" s="53"/>
    </row>
    <row r="1266">
      <c r="A1266" s="49">
        <v>44497.76426444444</v>
      </c>
      <c r="B1266" s="50">
        <v>44497.8892418402</v>
      </c>
      <c r="C1266" s="51">
        <v>1.016</v>
      </c>
      <c r="D1266" s="51">
        <v>61.0</v>
      </c>
      <c r="E1266" s="52" t="s">
        <v>25</v>
      </c>
      <c r="F1266" s="52" t="s">
        <v>26</v>
      </c>
      <c r="G1266" s="53"/>
    </row>
    <row r="1267">
      <c r="A1267" s="49">
        <v>44497.77469527778</v>
      </c>
      <c r="B1267" s="50">
        <v>44497.8996616088</v>
      </c>
      <c r="C1267" s="51">
        <v>1.016</v>
      </c>
      <c r="D1267" s="51">
        <v>61.0</v>
      </c>
      <c r="E1267" s="52" t="s">
        <v>25</v>
      </c>
      <c r="F1267" s="52" t="s">
        <v>26</v>
      </c>
      <c r="G1267" s="53"/>
    </row>
    <row r="1268">
      <c r="A1268" s="49">
        <v>44497.785112199075</v>
      </c>
      <c r="B1268" s="50">
        <v>44497.9100829282</v>
      </c>
      <c r="C1268" s="51">
        <v>1.016</v>
      </c>
      <c r="D1268" s="51">
        <v>61.0</v>
      </c>
      <c r="E1268" s="52" t="s">
        <v>25</v>
      </c>
      <c r="F1268" s="52" t="s">
        <v>26</v>
      </c>
      <c r="G1268" s="53"/>
    </row>
    <row r="1269">
      <c r="A1269" s="49">
        <v>44497.795536805555</v>
      </c>
      <c r="B1269" s="50">
        <v>44497.9205034722</v>
      </c>
      <c r="C1269" s="51">
        <v>1.016</v>
      </c>
      <c r="D1269" s="51">
        <v>61.0</v>
      </c>
      <c r="E1269" s="52" t="s">
        <v>25</v>
      </c>
      <c r="F1269" s="52" t="s">
        <v>26</v>
      </c>
      <c r="G1269" s="53"/>
    </row>
    <row r="1270">
      <c r="A1270" s="49">
        <v>44497.80596524305</v>
      </c>
      <c r="B1270" s="50">
        <v>44497.9309373379</v>
      </c>
      <c r="C1270" s="51">
        <v>1.016</v>
      </c>
      <c r="D1270" s="51">
        <v>61.0</v>
      </c>
      <c r="E1270" s="52" t="s">
        <v>25</v>
      </c>
      <c r="F1270" s="52" t="s">
        <v>26</v>
      </c>
      <c r="G1270" s="53"/>
    </row>
    <row r="1271">
      <c r="A1271" s="49">
        <v>44497.81638965278</v>
      </c>
      <c r="B1271" s="50">
        <v>44497.9413595949</v>
      </c>
      <c r="C1271" s="51">
        <v>1.016</v>
      </c>
      <c r="D1271" s="51">
        <v>61.0</v>
      </c>
      <c r="E1271" s="52" t="s">
        <v>25</v>
      </c>
      <c r="F1271" s="52" t="s">
        <v>26</v>
      </c>
      <c r="G1271" s="53"/>
    </row>
    <row r="1272">
      <c r="A1272" s="49">
        <v>44497.82681039352</v>
      </c>
      <c r="B1272" s="50">
        <v>44497.9517798495</v>
      </c>
      <c r="C1272" s="51">
        <v>1.017</v>
      </c>
      <c r="D1272" s="51">
        <v>62.0</v>
      </c>
      <c r="E1272" s="52" t="s">
        <v>25</v>
      </c>
      <c r="F1272" s="52" t="s">
        <v>26</v>
      </c>
      <c r="G1272" s="53"/>
    </row>
    <row r="1273">
      <c r="A1273" s="49">
        <v>44497.837231261576</v>
      </c>
      <c r="B1273" s="50">
        <v>44497.9622012731</v>
      </c>
      <c r="C1273" s="51">
        <v>1.016</v>
      </c>
      <c r="D1273" s="51">
        <v>62.0</v>
      </c>
      <c r="E1273" s="52" t="s">
        <v>25</v>
      </c>
      <c r="F1273" s="52" t="s">
        <v>26</v>
      </c>
      <c r="G1273" s="53"/>
    </row>
    <row r="1274">
      <c r="A1274" s="49">
        <v>44497.84765001158</v>
      </c>
      <c r="B1274" s="50">
        <v>44497.972620324</v>
      </c>
      <c r="C1274" s="51">
        <v>1.016</v>
      </c>
      <c r="D1274" s="51">
        <v>62.0</v>
      </c>
      <c r="E1274" s="52" t="s">
        <v>25</v>
      </c>
      <c r="F1274" s="52" t="s">
        <v>26</v>
      </c>
      <c r="G1274" s="53"/>
    </row>
    <row r="1275">
      <c r="A1275" s="49">
        <v>44497.85807494213</v>
      </c>
      <c r="B1275" s="50">
        <v>44497.9830412847</v>
      </c>
      <c r="C1275" s="51">
        <v>1.016</v>
      </c>
      <c r="D1275" s="51">
        <v>62.0</v>
      </c>
      <c r="E1275" s="52" t="s">
        <v>25</v>
      </c>
      <c r="F1275" s="52" t="s">
        <v>26</v>
      </c>
      <c r="G1275" s="53"/>
    </row>
    <row r="1276">
      <c r="A1276" s="49">
        <v>44497.86849047454</v>
      </c>
      <c r="B1276" s="50">
        <v>44497.9934617708</v>
      </c>
      <c r="C1276" s="51">
        <v>1.016</v>
      </c>
      <c r="D1276" s="51">
        <v>62.0</v>
      </c>
      <c r="E1276" s="52" t="s">
        <v>25</v>
      </c>
      <c r="F1276" s="52" t="s">
        <v>26</v>
      </c>
      <c r="G1276" s="53"/>
    </row>
    <row r="1277">
      <c r="A1277" s="49">
        <v>44497.87890836806</v>
      </c>
      <c r="B1277" s="50">
        <v>44498.0038841435</v>
      </c>
      <c r="C1277" s="51">
        <v>1.016</v>
      </c>
      <c r="D1277" s="51">
        <v>62.0</v>
      </c>
      <c r="E1277" s="52" t="s">
        <v>25</v>
      </c>
      <c r="F1277" s="52" t="s">
        <v>26</v>
      </c>
      <c r="G1277" s="53"/>
    </row>
    <row r="1278">
      <c r="A1278" s="49">
        <v>44497.88933604167</v>
      </c>
      <c r="B1278" s="50">
        <v>44498.014305</v>
      </c>
      <c r="C1278" s="51">
        <v>1.016</v>
      </c>
      <c r="D1278" s="51">
        <v>62.0</v>
      </c>
      <c r="E1278" s="52" t="s">
        <v>25</v>
      </c>
      <c r="F1278" s="52" t="s">
        <v>26</v>
      </c>
      <c r="G1278" s="53"/>
    </row>
    <row r="1279">
      <c r="A1279" s="49">
        <v>44497.89975678241</v>
      </c>
      <c r="B1279" s="50">
        <v>44498.0247233449</v>
      </c>
      <c r="C1279" s="51">
        <v>1.016</v>
      </c>
      <c r="D1279" s="51">
        <v>62.0</v>
      </c>
      <c r="E1279" s="52" t="s">
        <v>25</v>
      </c>
      <c r="F1279" s="52" t="s">
        <v>26</v>
      </c>
      <c r="G1279" s="53"/>
    </row>
    <row r="1280">
      <c r="A1280" s="49">
        <v>44497.91017679399</v>
      </c>
      <c r="B1280" s="50">
        <v>44498.0351453472</v>
      </c>
      <c r="C1280" s="51">
        <v>1.016</v>
      </c>
      <c r="D1280" s="51">
        <v>62.0</v>
      </c>
      <c r="E1280" s="52" t="s">
        <v>25</v>
      </c>
      <c r="F1280" s="52" t="s">
        <v>26</v>
      </c>
      <c r="G1280" s="53"/>
    </row>
    <row r="1281">
      <c r="A1281" s="49">
        <v>44497.92061028935</v>
      </c>
      <c r="B1281" s="50">
        <v>44498.0455782291</v>
      </c>
      <c r="C1281" s="51">
        <v>1.016</v>
      </c>
      <c r="D1281" s="51">
        <v>62.0</v>
      </c>
      <c r="E1281" s="52" t="s">
        <v>25</v>
      </c>
      <c r="F1281" s="52" t="s">
        <v>26</v>
      </c>
      <c r="G1281" s="53"/>
    </row>
    <row r="1282">
      <c r="A1282" s="49">
        <v>44497.93103299769</v>
      </c>
      <c r="B1282" s="50">
        <v>44498.0559992824</v>
      </c>
      <c r="C1282" s="51">
        <v>1.016</v>
      </c>
      <c r="D1282" s="51">
        <v>62.0</v>
      </c>
      <c r="E1282" s="52" t="s">
        <v>25</v>
      </c>
      <c r="F1282" s="52" t="s">
        <v>26</v>
      </c>
      <c r="G1282" s="53"/>
    </row>
    <row r="1283">
      <c r="A1283" s="49">
        <v>44497.94145575231</v>
      </c>
      <c r="B1283" s="50">
        <v>44498.066420081</v>
      </c>
      <c r="C1283" s="51">
        <v>1.016</v>
      </c>
      <c r="D1283" s="51">
        <v>62.0</v>
      </c>
      <c r="E1283" s="52" t="s">
        <v>25</v>
      </c>
      <c r="F1283" s="52" t="s">
        <v>26</v>
      </c>
      <c r="G1283" s="53"/>
    </row>
    <row r="1284">
      <c r="A1284" s="49">
        <v>44497.95188209491</v>
      </c>
      <c r="B1284" s="50">
        <v>44498.0768508101</v>
      </c>
      <c r="C1284" s="51">
        <v>1.015</v>
      </c>
      <c r="D1284" s="51">
        <v>62.0</v>
      </c>
      <c r="E1284" s="52" t="s">
        <v>25</v>
      </c>
      <c r="F1284" s="52" t="s">
        <v>26</v>
      </c>
      <c r="G1284" s="53"/>
    </row>
    <row r="1285">
      <c r="A1285" s="49">
        <v>44497.96229915509</v>
      </c>
      <c r="B1285" s="50">
        <v>44498.0872724652</v>
      </c>
      <c r="C1285" s="51">
        <v>1.016</v>
      </c>
      <c r="D1285" s="51">
        <v>62.0</v>
      </c>
      <c r="E1285" s="52" t="s">
        <v>25</v>
      </c>
      <c r="F1285" s="52" t="s">
        <v>26</v>
      </c>
      <c r="G1285" s="53"/>
    </row>
    <row r="1286">
      <c r="A1286" s="49">
        <v>44497.97272476852</v>
      </c>
      <c r="B1286" s="50">
        <v>44498.0976943865</v>
      </c>
      <c r="C1286" s="51">
        <v>1.016</v>
      </c>
      <c r="D1286" s="51">
        <v>62.0</v>
      </c>
      <c r="E1286" s="52" t="s">
        <v>25</v>
      </c>
      <c r="F1286" s="52" t="s">
        <v>26</v>
      </c>
      <c r="G1286" s="53"/>
    </row>
    <row r="1287">
      <c r="A1287" s="49">
        <v>44497.983143310186</v>
      </c>
      <c r="B1287" s="50">
        <v>44498.1081162963</v>
      </c>
      <c r="C1287" s="51">
        <v>1.016</v>
      </c>
      <c r="D1287" s="51">
        <v>62.0</v>
      </c>
      <c r="E1287" s="52" t="s">
        <v>25</v>
      </c>
      <c r="F1287" s="52" t="s">
        <v>26</v>
      </c>
      <c r="G1287" s="53"/>
    </row>
    <row r="1288">
      <c r="A1288" s="49">
        <v>44497.993582627314</v>
      </c>
      <c r="B1288" s="50">
        <v>44498.1185473495</v>
      </c>
      <c r="C1288" s="51">
        <v>1.016</v>
      </c>
      <c r="D1288" s="51">
        <v>62.0</v>
      </c>
      <c r="E1288" s="52" t="s">
        <v>25</v>
      </c>
      <c r="F1288" s="52" t="s">
        <v>26</v>
      </c>
      <c r="G1288" s="53"/>
    </row>
    <row r="1289">
      <c r="A1289" s="49">
        <v>44498.00401458333</v>
      </c>
      <c r="B1289" s="50">
        <v>44498.1289799537</v>
      </c>
      <c r="C1289" s="51">
        <v>1.016</v>
      </c>
      <c r="D1289" s="51">
        <v>62.0</v>
      </c>
      <c r="E1289" s="52" t="s">
        <v>25</v>
      </c>
      <c r="F1289" s="52" t="s">
        <v>26</v>
      </c>
      <c r="G1289" s="53"/>
    </row>
    <row r="1290">
      <c r="A1290" s="49">
        <v>44498.01443458333</v>
      </c>
      <c r="B1290" s="50">
        <v>44498.1394016087</v>
      </c>
      <c r="C1290" s="51">
        <v>1.016</v>
      </c>
      <c r="D1290" s="51">
        <v>62.0</v>
      </c>
      <c r="E1290" s="52" t="s">
        <v>25</v>
      </c>
      <c r="F1290" s="52" t="s">
        <v>26</v>
      </c>
      <c r="G1290" s="53"/>
    </row>
    <row r="1291">
      <c r="A1291" s="49">
        <v>44498.024858634264</v>
      </c>
      <c r="B1291" s="50">
        <v>44498.1498206713</v>
      </c>
      <c r="C1291" s="51">
        <v>1.016</v>
      </c>
      <c r="D1291" s="51">
        <v>62.0</v>
      </c>
      <c r="E1291" s="52" t="s">
        <v>25</v>
      </c>
      <c r="F1291" s="52" t="s">
        <v>26</v>
      </c>
      <c r="G1291" s="53"/>
    </row>
    <row r="1292">
      <c r="A1292" s="49">
        <v>44498.03528329861</v>
      </c>
      <c r="B1292" s="50">
        <v>44498.1602530555</v>
      </c>
      <c r="C1292" s="51">
        <v>1.015</v>
      </c>
      <c r="D1292" s="51">
        <v>62.0</v>
      </c>
      <c r="E1292" s="52" t="s">
        <v>25</v>
      </c>
      <c r="F1292" s="52" t="s">
        <v>26</v>
      </c>
      <c r="G1292" s="53"/>
    </row>
    <row r="1293">
      <c r="A1293" s="49">
        <v>44498.04570549769</v>
      </c>
      <c r="B1293" s="50">
        <v>44498.1706743402</v>
      </c>
      <c r="C1293" s="51">
        <v>1.015</v>
      </c>
      <c r="D1293" s="51">
        <v>62.0</v>
      </c>
      <c r="E1293" s="52" t="s">
        <v>25</v>
      </c>
      <c r="F1293" s="52" t="s">
        <v>26</v>
      </c>
      <c r="G1293" s="53"/>
    </row>
    <row r="1294">
      <c r="A1294" s="49">
        <v>44498.056155150465</v>
      </c>
      <c r="B1294" s="50">
        <v>44498.1810968055</v>
      </c>
      <c r="C1294" s="51">
        <v>1.016</v>
      </c>
      <c r="D1294" s="51">
        <v>62.0</v>
      </c>
      <c r="E1294" s="52" t="s">
        <v>25</v>
      </c>
      <c r="F1294" s="52" t="s">
        <v>26</v>
      </c>
      <c r="G1294" s="53"/>
    </row>
    <row r="1295">
      <c r="A1295" s="49">
        <v>44498.06653784722</v>
      </c>
      <c r="B1295" s="50">
        <v>44498.1915147685</v>
      </c>
      <c r="C1295" s="51">
        <v>1.016</v>
      </c>
      <c r="D1295" s="51">
        <v>62.0</v>
      </c>
      <c r="E1295" s="52" t="s">
        <v>25</v>
      </c>
      <c r="F1295" s="52" t="s">
        <v>26</v>
      </c>
      <c r="G1295" s="53"/>
    </row>
    <row r="1296">
      <c r="A1296" s="49">
        <v>44498.076970277776</v>
      </c>
      <c r="B1296" s="50">
        <v>44498.2019343634</v>
      </c>
      <c r="C1296" s="51">
        <v>1.016</v>
      </c>
      <c r="D1296" s="51">
        <v>62.0</v>
      </c>
      <c r="E1296" s="52" t="s">
        <v>25</v>
      </c>
      <c r="F1296" s="52" t="s">
        <v>26</v>
      </c>
      <c r="G1296" s="53"/>
    </row>
    <row r="1297">
      <c r="A1297" s="49">
        <v>44498.08740038195</v>
      </c>
      <c r="B1297" s="50">
        <v>44498.212367905</v>
      </c>
      <c r="C1297" s="51">
        <v>1.016</v>
      </c>
      <c r="D1297" s="51">
        <v>62.0</v>
      </c>
      <c r="E1297" s="52" t="s">
        <v>25</v>
      </c>
      <c r="F1297" s="52" t="s">
        <v>26</v>
      </c>
      <c r="G1297" s="53"/>
    </row>
    <row r="1298">
      <c r="A1298" s="49">
        <v>44498.09781743056</v>
      </c>
      <c r="B1298" s="50">
        <v>44498.2227892361</v>
      </c>
      <c r="C1298" s="51">
        <v>1.016</v>
      </c>
      <c r="D1298" s="51">
        <v>62.0</v>
      </c>
      <c r="E1298" s="52" t="s">
        <v>25</v>
      </c>
      <c r="F1298" s="52" t="s">
        <v>26</v>
      </c>
      <c r="G1298" s="53"/>
    </row>
    <row r="1299">
      <c r="A1299" s="49">
        <v>44498.10870815972</v>
      </c>
      <c r="B1299" s="50">
        <v>44498.2332099074</v>
      </c>
      <c r="C1299" s="51">
        <v>1.016</v>
      </c>
      <c r="D1299" s="51">
        <v>62.0</v>
      </c>
      <c r="E1299" s="52" t="s">
        <v>25</v>
      </c>
      <c r="F1299" s="52" t="s">
        <v>26</v>
      </c>
      <c r="G1299" s="53"/>
    </row>
    <row r="1300">
      <c r="A1300" s="49">
        <v>44498.11866018518</v>
      </c>
      <c r="B1300" s="50">
        <v>44498.2436298032</v>
      </c>
      <c r="C1300" s="51">
        <v>1.016</v>
      </c>
      <c r="D1300" s="51">
        <v>62.0</v>
      </c>
      <c r="E1300" s="52" t="s">
        <v>25</v>
      </c>
      <c r="F1300" s="52" t="s">
        <v>26</v>
      </c>
      <c r="G1300" s="53"/>
    </row>
    <row r="1301">
      <c r="A1301" s="49">
        <v>44498.1290771875</v>
      </c>
      <c r="B1301" s="50">
        <v>44498.2540508564</v>
      </c>
      <c r="C1301" s="51">
        <v>1.016</v>
      </c>
      <c r="D1301" s="51">
        <v>62.0</v>
      </c>
      <c r="E1301" s="52" t="s">
        <v>25</v>
      </c>
      <c r="F1301" s="52" t="s">
        <v>26</v>
      </c>
      <c r="G1301" s="53"/>
    </row>
    <row r="1302">
      <c r="A1302" s="49">
        <v>44498.13953552084</v>
      </c>
      <c r="B1302" s="50">
        <v>44498.2644717939</v>
      </c>
      <c r="C1302" s="51">
        <v>1.016</v>
      </c>
      <c r="D1302" s="51">
        <v>62.0</v>
      </c>
      <c r="E1302" s="52" t="s">
        <v>25</v>
      </c>
      <c r="F1302" s="52" t="s">
        <v>26</v>
      </c>
      <c r="G1302" s="53"/>
    </row>
    <row r="1303">
      <c r="A1303" s="49">
        <v>44498.1499346875</v>
      </c>
      <c r="B1303" s="50">
        <v>44498.2748920023</v>
      </c>
      <c r="C1303" s="51">
        <v>1.017</v>
      </c>
      <c r="D1303" s="51">
        <v>62.0</v>
      </c>
      <c r="E1303" s="52" t="s">
        <v>25</v>
      </c>
      <c r="F1303" s="52" t="s">
        <v>26</v>
      </c>
      <c r="G1303" s="53"/>
    </row>
    <row r="1304">
      <c r="A1304" s="49">
        <v>44498.16035399305</v>
      </c>
      <c r="B1304" s="50">
        <v>44498.2853231944</v>
      </c>
      <c r="C1304" s="51">
        <v>1.017</v>
      </c>
      <c r="D1304" s="51">
        <v>62.0</v>
      </c>
      <c r="E1304" s="52" t="s">
        <v>25</v>
      </c>
      <c r="F1304" s="52" t="s">
        <v>26</v>
      </c>
      <c r="G1304" s="53"/>
    </row>
    <row r="1305">
      <c r="A1305" s="49">
        <v>44498.170772453705</v>
      </c>
      <c r="B1305" s="50">
        <v>44498.2957451157</v>
      </c>
      <c r="C1305" s="51">
        <v>1.016</v>
      </c>
      <c r="D1305" s="51">
        <v>62.0</v>
      </c>
      <c r="E1305" s="52" t="s">
        <v>25</v>
      </c>
      <c r="F1305" s="52" t="s">
        <v>26</v>
      </c>
      <c r="G1305" s="53"/>
    </row>
    <row r="1306">
      <c r="A1306" s="49">
        <v>44498.18120171296</v>
      </c>
      <c r="B1306" s="50">
        <v>44498.3061688541</v>
      </c>
      <c r="C1306" s="51">
        <v>1.016</v>
      </c>
      <c r="D1306" s="51">
        <v>62.0</v>
      </c>
      <c r="E1306" s="52" t="s">
        <v>25</v>
      </c>
      <c r="F1306" s="52" t="s">
        <v>26</v>
      </c>
      <c r="G1306" s="53"/>
    </row>
    <row r="1307">
      <c r="A1307" s="49">
        <v>44498.19163685185</v>
      </c>
      <c r="B1307" s="50">
        <v>44498.3165906018</v>
      </c>
      <c r="C1307" s="51">
        <v>1.016</v>
      </c>
      <c r="D1307" s="51">
        <v>62.0</v>
      </c>
      <c r="E1307" s="52" t="s">
        <v>25</v>
      </c>
      <c r="F1307" s="52" t="s">
        <v>26</v>
      </c>
      <c r="G1307" s="53"/>
    </row>
    <row r="1308">
      <c r="A1308" s="49">
        <v>44498.20203717593</v>
      </c>
      <c r="B1308" s="50">
        <v>44498.3270110648</v>
      </c>
      <c r="C1308" s="51">
        <v>1.016</v>
      </c>
      <c r="D1308" s="51">
        <v>62.0</v>
      </c>
      <c r="E1308" s="52" t="s">
        <v>25</v>
      </c>
      <c r="F1308" s="52" t="s">
        <v>26</v>
      </c>
      <c r="G1308" s="53"/>
    </row>
    <row r="1309">
      <c r="A1309" s="49">
        <v>44498.21248265046</v>
      </c>
      <c r="B1309" s="50">
        <v>44498.337444699</v>
      </c>
      <c r="C1309" s="51">
        <v>1.016</v>
      </c>
      <c r="D1309" s="51">
        <v>62.0</v>
      </c>
      <c r="E1309" s="52" t="s">
        <v>25</v>
      </c>
      <c r="F1309" s="52" t="s">
        <v>26</v>
      </c>
      <c r="G1309" s="53"/>
    </row>
    <row r="1310">
      <c r="A1310" s="49">
        <v>44498.22289686343</v>
      </c>
      <c r="B1310" s="50">
        <v>44498.3478639583</v>
      </c>
      <c r="C1310" s="51">
        <v>1.015</v>
      </c>
      <c r="D1310" s="51">
        <v>62.0</v>
      </c>
      <c r="E1310" s="52" t="s">
        <v>25</v>
      </c>
      <c r="F1310" s="52" t="s">
        <v>26</v>
      </c>
      <c r="G1310" s="53"/>
    </row>
    <row r="1311">
      <c r="A1311" s="49">
        <v>44498.233323252316</v>
      </c>
      <c r="B1311" s="50">
        <v>44498.3582831134</v>
      </c>
      <c r="C1311" s="51">
        <v>1.016</v>
      </c>
      <c r="D1311" s="51">
        <v>62.0</v>
      </c>
      <c r="E1311" s="52" t="s">
        <v>25</v>
      </c>
      <c r="F1311" s="52" t="s">
        <v>26</v>
      </c>
      <c r="G1311" s="53"/>
    </row>
    <row r="1312">
      <c r="A1312" s="49">
        <v>44498.24374158565</v>
      </c>
      <c r="B1312" s="50">
        <v>44498.3687053009</v>
      </c>
      <c r="C1312" s="51">
        <v>1.015</v>
      </c>
      <c r="D1312" s="51">
        <v>63.0</v>
      </c>
      <c r="E1312" s="52" t="s">
        <v>25</v>
      </c>
      <c r="F1312" s="52" t="s">
        <v>26</v>
      </c>
      <c r="G1312" s="53"/>
    </row>
    <row r="1313">
      <c r="A1313" s="49">
        <v>44498.25415658565</v>
      </c>
      <c r="B1313" s="50">
        <v>44498.3791271064</v>
      </c>
      <c r="C1313" s="51">
        <v>1.013</v>
      </c>
      <c r="D1313" s="51">
        <v>63.0</v>
      </c>
      <c r="E1313" s="52" t="s">
        <v>25</v>
      </c>
      <c r="F1313" s="52" t="s">
        <v>26</v>
      </c>
      <c r="G1313" s="53"/>
    </row>
    <row r="1314">
      <c r="A1314" s="49">
        <v>44498.26459239583</v>
      </c>
      <c r="B1314" s="50">
        <v>44498.3895601967</v>
      </c>
      <c r="C1314" s="51">
        <v>1.013</v>
      </c>
      <c r="D1314" s="51">
        <v>63.0</v>
      </c>
      <c r="E1314" s="52" t="s">
        <v>25</v>
      </c>
      <c r="F1314" s="52" t="s">
        <v>26</v>
      </c>
      <c r="G1314" s="53"/>
    </row>
    <row r="1315">
      <c r="A1315" s="49">
        <v>44498.275035810184</v>
      </c>
      <c r="B1315" s="50">
        <v>44498.3999916898</v>
      </c>
      <c r="C1315" s="51">
        <v>1.013</v>
      </c>
      <c r="D1315" s="51">
        <v>63.0</v>
      </c>
      <c r="E1315" s="52" t="s">
        <v>25</v>
      </c>
      <c r="F1315" s="52" t="s">
        <v>26</v>
      </c>
      <c r="G1315" s="53"/>
    </row>
    <row r="1316">
      <c r="A1316" s="49">
        <v>44498.28545065972</v>
      </c>
      <c r="B1316" s="50">
        <v>44498.4104133796</v>
      </c>
      <c r="C1316" s="51">
        <v>1.013</v>
      </c>
      <c r="D1316" s="51">
        <v>63.0</v>
      </c>
      <c r="E1316" s="52" t="s">
        <v>25</v>
      </c>
      <c r="F1316" s="52" t="s">
        <v>26</v>
      </c>
      <c r="G1316" s="53"/>
    </row>
    <row r="1317">
      <c r="A1317" s="49">
        <v>44498.29587350694</v>
      </c>
      <c r="B1317" s="50">
        <v>44498.4208344791</v>
      </c>
      <c r="C1317" s="51">
        <v>1.013</v>
      </c>
      <c r="D1317" s="51">
        <v>63.0</v>
      </c>
      <c r="E1317" s="52" t="s">
        <v>25</v>
      </c>
      <c r="F1317" s="52" t="s">
        <v>26</v>
      </c>
      <c r="G1317" s="53"/>
    </row>
    <row r="1318">
      <c r="A1318" s="49">
        <v>44498.3063053125</v>
      </c>
      <c r="B1318" s="50">
        <v>44498.4312657176</v>
      </c>
      <c r="C1318" s="51">
        <v>1.014</v>
      </c>
      <c r="D1318" s="51">
        <v>63.0</v>
      </c>
      <c r="E1318" s="52" t="s">
        <v>25</v>
      </c>
      <c r="F1318" s="52" t="s">
        <v>26</v>
      </c>
      <c r="G1318" s="53"/>
    </row>
    <row r="1319">
      <c r="A1319" s="49">
        <v>44498.316720243056</v>
      </c>
      <c r="B1319" s="50">
        <v>44498.4416868171</v>
      </c>
      <c r="C1319" s="51">
        <v>1.015</v>
      </c>
      <c r="D1319" s="51">
        <v>63.0</v>
      </c>
      <c r="E1319" s="52" t="s">
        <v>25</v>
      </c>
      <c r="F1319" s="52" t="s">
        <v>26</v>
      </c>
      <c r="G1319" s="53"/>
    </row>
    <row r="1320">
      <c r="A1320" s="49">
        <v>44498.32713693287</v>
      </c>
      <c r="B1320" s="50">
        <v>44498.4521067708</v>
      </c>
      <c r="C1320" s="51">
        <v>1.015</v>
      </c>
      <c r="D1320" s="51">
        <v>63.0</v>
      </c>
      <c r="E1320" s="52" t="s">
        <v>25</v>
      </c>
      <c r="F1320" s="52" t="s">
        <v>26</v>
      </c>
      <c r="G1320" s="53"/>
    </row>
    <row r="1321">
      <c r="A1321" s="49">
        <v>44498.33759185185</v>
      </c>
      <c r="B1321" s="50">
        <v>44498.4625648264</v>
      </c>
      <c r="C1321" s="51">
        <v>1.016</v>
      </c>
      <c r="D1321" s="51">
        <v>63.0</v>
      </c>
      <c r="E1321" s="52" t="s">
        <v>25</v>
      </c>
      <c r="F1321" s="52" t="s">
        <v>26</v>
      </c>
      <c r="G1321" s="53"/>
    </row>
    <row r="1322">
      <c r="A1322" s="49">
        <v>44498.348018136574</v>
      </c>
      <c r="B1322" s="50">
        <v>44498.4729859143</v>
      </c>
      <c r="C1322" s="51">
        <v>1.016</v>
      </c>
      <c r="D1322" s="51">
        <v>63.0</v>
      </c>
      <c r="E1322" s="52" t="s">
        <v>25</v>
      </c>
      <c r="F1322" s="52" t="s">
        <v>26</v>
      </c>
      <c r="G1322" s="53"/>
    </row>
    <row r="1323">
      <c r="A1323" s="49">
        <v>44498.35844150463</v>
      </c>
      <c r="B1323" s="50">
        <v>44498.483406875</v>
      </c>
      <c r="C1323" s="51">
        <v>1.015</v>
      </c>
      <c r="D1323" s="51">
        <v>63.0</v>
      </c>
      <c r="E1323" s="52" t="s">
        <v>25</v>
      </c>
      <c r="F1323" s="52" t="s">
        <v>26</v>
      </c>
      <c r="G1323" s="53"/>
    </row>
    <row r="1324">
      <c r="A1324" s="49">
        <v>44498.36886362269</v>
      </c>
      <c r="B1324" s="50">
        <v>44498.4938292361</v>
      </c>
      <c r="C1324" s="51">
        <v>1.015</v>
      </c>
      <c r="D1324" s="51">
        <v>63.0</v>
      </c>
      <c r="E1324" s="52" t="s">
        <v>25</v>
      </c>
      <c r="F1324" s="52" t="s">
        <v>26</v>
      </c>
      <c r="G1324" s="53"/>
    </row>
    <row r="1325">
      <c r="A1325" s="49">
        <v>44498.379297604166</v>
      </c>
      <c r="B1325" s="50">
        <v>44498.5042631018</v>
      </c>
      <c r="C1325" s="51">
        <v>1.015</v>
      </c>
      <c r="D1325" s="51">
        <v>63.0</v>
      </c>
      <c r="E1325" s="52" t="s">
        <v>25</v>
      </c>
      <c r="F1325" s="52" t="s">
        <v>26</v>
      </c>
      <c r="G1325" s="53"/>
    </row>
    <row r="1326">
      <c r="A1326" s="49">
        <v>44498.38972178241</v>
      </c>
      <c r="B1326" s="50">
        <v>44498.5146858217</v>
      </c>
      <c r="C1326" s="51">
        <v>1.015</v>
      </c>
      <c r="D1326" s="51">
        <v>63.0</v>
      </c>
      <c r="E1326" s="52" t="s">
        <v>25</v>
      </c>
      <c r="F1326" s="52" t="s">
        <v>26</v>
      </c>
      <c r="G1326" s="53"/>
    </row>
    <row r="1327">
      <c r="A1327" s="49">
        <v>44498.40015560185</v>
      </c>
      <c r="B1327" s="50">
        <v>44498.5251188888</v>
      </c>
      <c r="C1327" s="51">
        <v>1.014</v>
      </c>
      <c r="D1327" s="51">
        <v>63.0</v>
      </c>
      <c r="E1327" s="52" t="s">
        <v>25</v>
      </c>
      <c r="F1327" s="52" t="s">
        <v>26</v>
      </c>
      <c r="G1327" s="53"/>
    </row>
    <row r="1328">
      <c r="A1328" s="49">
        <v>44498.41056766204</v>
      </c>
      <c r="B1328" s="50">
        <v>44498.53554125</v>
      </c>
      <c r="C1328" s="51">
        <v>1.015</v>
      </c>
      <c r="D1328" s="51">
        <v>63.0</v>
      </c>
      <c r="E1328" s="52" t="s">
        <v>25</v>
      </c>
      <c r="F1328" s="52" t="s">
        <v>26</v>
      </c>
      <c r="G1328" s="53"/>
    </row>
    <row r="1329">
      <c r="A1329" s="49">
        <v>44498.4210012963</v>
      </c>
      <c r="B1329" s="50">
        <v>44498.5459632407</v>
      </c>
      <c r="C1329" s="51">
        <v>1.015</v>
      </c>
      <c r="D1329" s="51">
        <v>63.0</v>
      </c>
      <c r="E1329" s="52" t="s">
        <v>25</v>
      </c>
      <c r="F1329" s="52" t="s">
        <v>26</v>
      </c>
      <c r="G1329" s="53"/>
    </row>
    <row r="1330">
      <c r="A1330" s="49">
        <v>44498.43142324074</v>
      </c>
      <c r="B1330" s="50">
        <v>44498.5563842129</v>
      </c>
      <c r="C1330" s="51">
        <v>1.015</v>
      </c>
      <c r="D1330" s="51">
        <v>63.0</v>
      </c>
      <c r="E1330" s="52" t="s">
        <v>25</v>
      </c>
      <c r="F1330" s="52" t="s">
        <v>26</v>
      </c>
      <c r="G1330" s="53"/>
    </row>
    <row r="1331">
      <c r="A1331" s="49">
        <v>44498.44183604167</v>
      </c>
      <c r="B1331" s="50">
        <v>44498.5668026157</v>
      </c>
      <c r="C1331" s="51">
        <v>1.014</v>
      </c>
      <c r="D1331" s="51">
        <v>63.0</v>
      </c>
      <c r="E1331" s="52" t="s">
        <v>25</v>
      </c>
      <c r="F1331" s="52" t="s">
        <v>26</v>
      </c>
      <c r="G1331" s="53"/>
    </row>
    <row r="1332">
      <c r="A1332" s="49">
        <v>44498.45224837963</v>
      </c>
      <c r="B1332" s="50">
        <v>44498.5772239583</v>
      </c>
      <c r="C1332" s="51">
        <v>1.014</v>
      </c>
      <c r="D1332" s="51">
        <v>63.0</v>
      </c>
      <c r="E1332" s="52" t="s">
        <v>25</v>
      </c>
      <c r="F1332" s="52" t="s">
        <v>26</v>
      </c>
      <c r="G1332" s="53"/>
    </row>
    <row r="1333">
      <c r="A1333" s="49">
        <v>44498.46268328704</v>
      </c>
      <c r="B1333" s="50">
        <v>44498.5876454861</v>
      </c>
      <c r="C1333" s="51">
        <v>1.014</v>
      </c>
      <c r="D1333" s="51">
        <v>63.0</v>
      </c>
      <c r="E1333" s="52" t="s">
        <v>25</v>
      </c>
      <c r="F1333" s="52" t="s">
        <v>26</v>
      </c>
      <c r="G1333" s="53"/>
    </row>
    <row r="1334">
      <c r="A1334" s="49">
        <v>44498.4730999537</v>
      </c>
      <c r="B1334" s="50">
        <v>44498.5980677199</v>
      </c>
      <c r="C1334" s="51">
        <v>1.015</v>
      </c>
      <c r="D1334" s="51">
        <v>63.0</v>
      </c>
      <c r="E1334" s="52" t="s">
        <v>25</v>
      </c>
      <c r="F1334" s="52" t="s">
        <v>26</v>
      </c>
      <c r="G1334" s="53"/>
    </row>
    <row r="1335">
      <c r="A1335" s="49">
        <v>44498.48351902778</v>
      </c>
      <c r="B1335" s="50">
        <v>44498.6084898032</v>
      </c>
      <c r="C1335" s="51">
        <v>1.015</v>
      </c>
      <c r="D1335" s="51">
        <v>63.0</v>
      </c>
      <c r="E1335" s="52" t="s">
        <v>25</v>
      </c>
      <c r="F1335" s="52" t="s">
        <v>26</v>
      </c>
      <c r="G1335" s="53"/>
    </row>
    <row r="1336">
      <c r="A1336" s="49">
        <v>44498.49393560185</v>
      </c>
      <c r="B1336" s="50">
        <v>44498.6189100694</v>
      </c>
      <c r="C1336" s="51">
        <v>1.016</v>
      </c>
      <c r="D1336" s="51">
        <v>63.0</v>
      </c>
      <c r="E1336" s="52" t="s">
        <v>25</v>
      </c>
      <c r="F1336" s="52" t="s">
        <v>26</v>
      </c>
      <c r="G1336" s="53"/>
    </row>
    <row r="1337">
      <c r="A1337" s="49">
        <v>44498.50436648148</v>
      </c>
      <c r="B1337" s="50">
        <v>44498.6293301157</v>
      </c>
      <c r="C1337" s="51">
        <v>1.015</v>
      </c>
      <c r="D1337" s="51">
        <v>63.0</v>
      </c>
      <c r="E1337" s="52" t="s">
        <v>25</v>
      </c>
      <c r="F1337" s="52" t="s">
        <v>26</v>
      </c>
      <c r="G1337" s="53"/>
    </row>
    <row r="1338">
      <c r="A1338" s="49">
        <v>44498.51478440972</v>
      </c>
      <c r="B1338" s="50">
        <v>44498.6397519213</v>
      </c>
      <c r="C1338" s="51">
        <v>1.015</v>
      </c>
      <c r="D1338" s="51">
        <v>63.0</v>
      </c>
      <c r="E1338" s="52" t="s">
        <v>25</v>
      </c>
      <c r="F1338" s="52" t="s">
        <v>26</v>
      </c>
      <c r="G1338" s="53"/>
    </row>
    <row r="1339">
      <c r="A1339" s="49">
        <v>44498.525203425925</v>
      </c>
      <c r="B1339" s="50">
        <v>44498.6501733101</v>
      </c>
      <c r="C1339" s="51">
        <v>1.016</v>
      </c>
      <c r="D1339" s="51">
        <v>63.0</v>
      </c>
      <c r="E1339" s="52" t="s">
        <v>25</v>
      </c>
      <c r="F1339" s="52" t="s">
        <v>26</v>
      </c>
      <c r="G1339" s="53"/>
    </row>
    <row r="1340">
      <c r="A1340" s="49">
        <v>44498.535625069446</v>
      </c>
      <c r="B1340" s="50">
        <v>44498.6605953009</v>
      </c>
      <c r="C1340" s="51">
        <v>1.016</v>
      </c>
      <c r="D1340" s="51">
        <v>63.0</v>
      </c>
      <c r="E1340" s="52" t="s">
        <v>25</v>
      </c>
      <c r="F1340" s="52" t="s">
        <v>26</v>
      </c>
      <c r="G1340" s="53"/>
    </row>
    <row r="1341">
      <c r="A1341" s="49">
        <v>44498.546044999996</v>
      </c>
      <c r="B1341" s="50">
        <v>44498.6710161805</v>
      </c>
      <c r="C1341" s="51">
        <v>1.016</v>
      </c>
      <c r="D1341" s="51">
        <v>63.0</v>
      </c>
      <c r="E1341" s="52" t="s">
        <v>25</v>
      </c>
      <c r="F1341" s="52" t="s">
        <v>26</v>
      </c>
      <c r="G1341" s="53"/>
    </row>
    <row r="1342">
      <c r="A1342" s="49">
        <v>44498.556469953706</v>
      </c>
      <c r="B1342" s="50">
        <v>44498.6814372453</v>
      </c>
      <c r="C1342" s="51">
        <v>1.016</v>
      </c>
      <c r="D1342" s="51">
        <v>63.0</v>
      </c>
      <c r="E1342" s="52" t="s">
        <v>25</v>
      </c>
      <c r="F1342" s="52" t="s">
        <v>26</v>
      </c>
      <c r="G1342" s="53"/>
    </row>
    <row r="1343">
      <c r="A1343" s="49">
        <v>44498.56689152778</v>
      </c>
      <c r="B1343" s="50">
        <v>44498.69185875</v>
      </c>
      <c r="C1343" s="51">
        <v>1.016</v>
      </c>
      <c r="D1343" s="51">
        <v>63.0</v>
      </c>
      <c r="E1343" s="52" t="s">
        <v>25</v>
      </c>
      <c r="F1343" s="52" t="s">
        <v>26</v>
      </c>
      <c r="G1343" s="53"/>
    </row>
    <row r="1344">
      <c r="A1344" s="49">
        <v>44498.577312106485</v>
      </c>
      <c r="B1344" s="50">
        <v>44498.7022783564</v>
      </c>
      <c r="C1344" s="51">
        <v>1.015</v>
      </c>
      <c r="D1344" s="51">
        <v>63.0</v>
      </c>
      <c r="E1344" s="52" t="s">
        <v>25</v>
      </c>
      <c r="F1344" s="52" t="s">
        <v>26</v>
      </c>
      <c r="G1344" s="53"/>
    </row>
    <row r="1345">
      <c r="A1345" s="49">
        <v>44498.58773053241</v>
      </c>
      <c r="B1345" s="50">
        <v>44498.7126971296</v>
      </c>
      <c r="C1345" s="51">
        <v>1.016</v>
      </c>
      <c r="D1345" s="51">
        <v>63.0</v>
      </c>
      <c r="E1345" s="52" t="s">
        <v>25</v>
      </c>
      <c r="F1345" s="52" t="s">
        <v>26</v>
      </c>
      <c r="G1345" s="53"/>
    </row>
    <row r="1346">
      <c r="A1346" s="49">
        <v>44498.598150300924</v>
      </c>
      <c r="B1346" s="50">
        <v>44498.7231182523</v>
      </c>
      <c r="C1346" s="51">
        <v>1.015</v>
      </c>
      <c r="D1346" s="51">
        <v>63.0</v>
      </c>
      <c r="E1346" s="52" t="s">
        <v>25</v>
      </c>
      <c r="F1346" s="52" t="s">
        <v>26</v>
      </c>
      <c r="G1346" s="53"/>
    </row>
    <row r="1347">
      <c r="A1347" s="49">
        <v>44498.60856148148</v>
      </c>
      <c r="B1347" s="50">
        <v>44498.7335398032</v>
      </c>
      <c r="C1347" s="51">
        <v>1.015</v>
      </c>
      <c r="D1347" s="51">
        <v>63.0</v>
      </c>
      <c r="E1347" s="52" t="s">
        <v>25</v>
      </c>
      <c r="F1347" s="52" t="s">
        <v>26</v>
      </c>
      <c r="G1347" s="53"/>
    </row>
    <row r="1348">
      <c r="A1348" s="49">
        <v>44498.618996840276</v>
      </c>
      <c r="B1348" s="50">
        <v>44498.7439584838</v>
      </c>
      <c r="C1348" s="51">
        <v>1.016</v>
      </c>
      <c r="D1348" s="51">
        <v>63.0</v>
      </c>
      <c r="E1348" s="52" t="s">
        <v>25</v>
      </c>
      <c r="F1348" s="52" t="s">
        <v>26</v>
      </c>
      <c r="G1348" s="53"/>
    </row>
    <row r="1349">
      <c r="A1349" s="49">
        <v>44498.62942074074</v>
      </c>
      <c r="B1349" s="50">
        <v>44498.7543899074</v>
      </c>
      <c r="C1349" s="51">
        <v>1.016</v>
      </c>
      <c r="D1349" s="51">
        <v>63.0</v>
      </c>
      <c r="E1349" s="52" t="s">
        <v>25</v>
      </c>
      <c r="F1349" s="52" t="s">
        <v>26</v>
      </c>
      <c r="G1349" s="53"/>
    </row>
    <row r="1350">
      <c r="A1350" s="49">
        <v>44498.63983829861</v>
      </c>
      <c r="B1350" s="50">
        <v>44498.764808912</v>
      </c>
      <c r="C1350" s="51">
        <v>1.016</v>
      </c>
      <c r="D1350" s="51">
        <v>63.0</v>
      </c>
      <c r="E1350" s="52" t="s">
        <v>25</v>
      </c>
      <c r="F1350" s="52" t="s">
        <v>26</v>
      </c>
      <c r="G1350" s="53"/>
    </row>
    <row r="1351">
      <c r="A1351" s="49">
        <v>44498.65027539352</v>
      </c>
      <c r="B1351" s="50">
        <v>44498.7752431944</v>
      </c>
      <c r="C1351" s="51">
        <v>1.016</v>
      </c>
      <c r="D1351" s="51">
        <v>63.0</v>
      </c>
      <c r="E1351" s="52" t="s">
        <v>25</v>
      </c>
      <c r="F1351" s="52" t="s">
        <v>26</v>
      </c>
      <c r="G1351" s="53"/>
    </row>
    <row r="1352">
      <c r="A1352" s="49">
        <v>44498.660708738425</v>
      </c>
      <c r="B1352" s="50">
        <v>44498.7856761805</v>
      </c>
      <c r="C1352" s="51">
        <v>1.016</v>
      </c>
      <c r="D1352" s="51">
        <v>63.0</v>
      </c>
      <c r="E1352" s="52" t="s">
        <v>25</v>
      </c>
      <c r="F1352" s="52" t="s">
        <v>26</v>
      </c>
      <c r="G1352" s="53"/>
    </row>
    <row r="1353">
      <c r="A1353" s="49">
        <v>44498.67113052083</v>
      </c>
      <c r="B1353" s="50">
        <v>44498.7960965625</v>
      </c>
      <c r="C1353" s="51">
        <v>1.016</v>
      </c>
      <c r="D1353" s="51">
        <v>63.0</v>
      </c>
      <c r="E1353" s="52" t="s">
        <v>25</v>
      </c>
      <c r="F1353" s="52" t="s">
        <v>26</v>
      </c>
      <c r="G1353" s="53"/>
    </row>
    <row r="1354">
      <c r="A1354" s="49">
        <v>44498.681542210645</v>
      </c>
      <c r="B1354" s="50">
        <v>44498.8065169097</v>
      </c>
      <c r="C1354" s="51">
        <v>1.016</v>
      </c>
      <c r="D1354" s="51">
        <v>63.0</v>
      </c>
      <c r="E1354" s="52" t="s">
        <v>25</v>
      </c>
      <c r="F1354" s="52" t="s">
        <v>26</v>
      </c>
      <c r="G1354" s="53"/>
    </row>
    <row r="1355">
      <c r="A1355" s="49">
        <v>44498.69196458333</v>
      </c>
      <c r="B1355" s="50">
        <v>44498.8169388541</v>
      </c>
      <c r="C1355" s="51">
        <v>1.016</v>
      </c>
      <c r="D1355" s="51">
        <v>63.0</v>
      </c>
      <c r="E1355" s="52" t="s">
        <v>25</v>
      </c>
      <c r="F1355" s="52" t="s">
        <v>26</v>
      </c>
      <c r="G1355" s="53"/>
    </row>
    <row r="1356">
      <c r="A1356" s="49">
        <v>44498.70239380787</v>
      </c>
      <c r="B1356" s="50">
        <v>44498.8273600694</v>
      </c>
      <c r="C1356" s="51">
        <v>1.016</v>
      </c>
      <c r="D1356" s="51">
        <v>63.0</v>
      </c>
      <c r="E1356" s="52" t="s">
        <v>25</v>
      </c>
      <c r="F1356" s="52" t="s">
        <v>26</v>
      </c>
      <c r="G1356" s="53"/>
    </row>
    <row r="1357">
      <c r="A1357" s="49">
        <v>44498.71281229166</v>
      </c>
      <c r="B1357" s="50">
        <v>44498.8377803009</v>
      </c>
      <c r="C1357" s="51">
        <v>1.015</v>
      </c>
      <c r="D1357" s="51">
        <v>63.0</v>
      </c>
      <c r="E1357" s="52" t="s">
        <v>25</v>
      </c>
      <c r="F1357" s="52" t="s">
        <v>26</v>
      </c>
      <c r="G1357" s="53"/>
    </row>
    <row r="1358">
      <c r="A1358" s="49">
        <v>44498.723236018515</v>
      </c>
      <c r="B1358" s="50">
        <v>44498.8482004051</v>
      </c>
      <c r="C1358" s="51">
        <v>1.015</v>
      </c>
      <c r="D1358" s="51">
        <v>63.0</v>
      </c>
      <c r="E1358" s="52" t="s">
        <v>25</v>
      </c>
      <c r="F1358" s="52" t="s">
        <v>26</v>
      </c>
      <c r="G1358" s="53"/>
    </row>
    <row r="1359">
      <c r="A1359" s="49">
        <v>44498.73364550926</v>
      </c>
      <c r="B1359" s="50">
        <v>44498.8586209259</v>
      </c>
      <c r="C1359" s="51">
        <v>1.016</v>
      </c>
      <c r="D1359" s="51">
        <v>63.0</v>
      </c>
      <c r="E1359" s="52" t="s">
        <v>25</v>
      </c>
      <c r="F1359" s="52" t="s">
        <v>26</v>
      </c>
      <c r="G1359" s="53"/>
    </row>
    <row r="1360">
      <c r="A1360" s="49">
        <v>44498.74406809028</v>
      </c>
      <c r="B1360" s="50">
        <v>44498.8690431481</v>
      </c>
      <c r="C1360" s="51">
        <v>1.016</v>
      </c>
      <c r="D1360" s="51">
        <v>63.0</v>
      </c>
      <c r="E1360" s="52" t="s">
        <v>25</v>
      </c>
      <c r="F1360" s="52" t="s">
        <v>26</v>
      </c>
      <c r="G1360" s="53"/>
    </row>
    <row r="1361">
      <c r="A1361" s="49">
        <v>44498.75449721065</v>
      </c>
      <c r="B1361" s="50">
        <v>44498.8794640046</v>
      </c>
      <c r="C1361" s="51">
        <v>1.016</v>
      </c>
      <c r="D1361" s="51">
        <v>63.0</v>
      </c>
      <c r="E1361" s="52" t="s">
        <v>25</v>
      </c>
      <c r="F1361" s="52" t="s">
        <v>26</v>
      </c>
      <c r="G1361" s="53"/>
    </row>
    <row r="1362">
      <c r="A1362" s="49">
        <v>44498.76492103009</v>
      </c>
      <c r="B1362" s="50">
        <v>44498.8898857291</v>
      </c>
      <c r="C1362" s="51">
        <v>1.016</v>
      </c>
      <c r="D1362" s="51">
        <v>63.0</v>
      </c>
      <c r="E1362" s="52" t="s">
        <v>25</v>
      </c>
      <c r="F1362" s="52" t="s">
        <v>26</v>
      </c>
      <c r="G1362" s="53"/>
    </row>
    <row r="1363">
      <c r="A1363" s="49">
        <v>44498.77538770833</v>
      </c>
      <c r="B1363" s="50">
        <v>44498.9003061921</v>
      </c>
      <c r="C1363" s="51">
        <v>1.015</v>
      </c>
      <c r="D1363" s="51">
        <v>63.0</v>
      </c>
      <c r="E1363" s="52" t="s">
        <v>25</v>
      </c>
      <c r="F1363" s="52" t="s">
        <v>26</v>
      </c>
      <c r="G1363" s="53"/>
    </row>
    <row r="1364">
      <c r="A1364" s="49">
        <v>44498.78578114584</v>
      </c>
      <c r="B1364" s="50">
        <v>44498.9107495486</v>
      </c>
      <c r="C1364" s="51">
        <v>1.015</v>
      </c>
      <c r="D1364" s="51">
        <v>63.0</v>
      </c>
      <c r="E1364" s="52" t="s">
        <v>25</v>
      </c>
      <c r="F1364" s="52" t="s">
        <v>26</v>
      </c>
      <c r="G1364" s="53"/>
    </row>
    <row r="1365">
      <c r="A1365" s="49">
        <v>44498.796199965276</v>
      </c>
      <c r="B1365" s="50">
        <v>44498.9211692129</v>
      </c>
      <c r="C1365" s="51">
        <v>1.015</v>
      </c>
      <c r="D1365" s="51">
        <v>63.0</v>
      </c>
      <c r="E1365" s="52" t="s">
        <v>25</v>
      </c>
      <c r="F1365" s="52" t="s">
        <v>26</v>
      </c>
      <c r="G1365" s="53"/>
    </row>
    <row r="1366">
      <c r="A1366" s="49">
        <v>44498.80662700231</v>
      </c>
      <c r="B1366" s="50">
        <v>44498.9316032523</v>
      </c>
      <c r="C1366" s="51">
        <v>1.015</v>
      </c>
      <c r="D1366" s="51">
        <v>63.0</v>
      </c>
      <c r="E1366" s="52" t="s">
        <v>25</v>
      </c>
      <c r="F1366" s="52" t="s">
        <v>26</v>
      </c>
      <c r="G1366" s="53"/>
    </row>
    <row r="1367">
      <c r="A1367" s="49">
        <v>44498.81706163194</v>
      </c>
      <c r="B1367" s="50">
        <v>44498.9420226041</v>
      </c>
      <c r="C1367" s="51">
        <v>1.016</v>
      </c>
      <c r="D1367" s="51">
        <v>63.0</v>
      </c>
      <c r="E1367" s="52" t="s">
        <v>25</v>
      </c>
      <c r="F1367" s="52" t="s">
        <v>26</v>
      </c>
      <c r="G1367" s="53"/>
    </row>
    <row r="1368">
      <c r="A1368" s="49">
        <v>44498.82747554398</v>
      </c>
      <c r="B1368" s="50">
        <v>44498.9524423495</v>
      </c>
      <c r="C1368" s="51">
        <v>1.014</v>
      </c>
      <c r="D1368" s="51">
        <v>63.0</v>
      </c>
      <c r="E1368" s="52" t="s">
        <v>25</v>
      </c>
      <c r="F1368" s="52" t="s">
        <v>26</v>
      </c>
      <c r="G1368" s="53"/>
    </row>
    <row r="1369">
      <c r="A1369" s="49">
        <v>44498.8378994213</v>
      </c>
      <c r="B1369" s="50">
        <v>44498.9628633333</v>
      </c>
      <c r="C1369" s="51">
        <v>1.014</v>
      </c>
      <c r="D1369" s="51">
        <v>63.0</v>
      </c>
      <c r="E1369" s="52" t="s">
        <v>25</v>
      </c>
      <c r="F1369" s="52" t="s">
        <v>26</v>
      </c>
      <c r="G1369" s="53"/>
    </row>
    <row r="1370">
      <c r="A1370" s="49">
        <v>44498.848317627315</v>
      </c>
      <c r="B1370" s="50">
        <v>44498.9732837268</v>
      </c>
      <c r="C1370" s="51">
        <v>1.015</v>
      </c>
      <c r="D1370" s="51">
        <v>63.0</v>
      </c>
      <c r="E1370" s="52" t="s">
        <v>25</v>
      </c>
      <c r="F1370" s="52" t="s">
        <v>26</v>
      </c>
      <c r="G1370" s="53"/>
    </row>
    <row r="1371">
      <c r="A1371" s="49">
        <v>44498.858734548616</v>
      </c>
      <c r="B1371" s="50">
        <v>44498.9837052314</v>
      </c>
      <c r="C1371" s="51">
        <v>1.015</v>
      </c>
      <c r="D1371" s="51">
        <v>63.0</v>
      </c>
      <c r="E1371" s="52" t="s">
        <v>25</v>
      </c>
      <c r="F1371" s="52" t="s">
        <v>26</v>
      </c>
      <c r="G1371" s="53"/>
    </row>
    <row r="1372">
      <c r="A1372" s="49">
        <v>44498.86915278935</v>
      </c>
      <c r="B1372" s="50">
        <v>44498.9941266435</v>
      </c>
      <c r="C1372" s="51">
        <v>1.015</v>
      </c>
      <c r="D1372" s="51">
        <v>63.0</v>
      </c>
      <c r="E1372" s="52" t="s">
        <v>25</v>
      </c>
      <c r="F1372" s="52" t="s">
        <v>26</v>
      </c>
      <c r="G1372" s="53"/>
    </row>
    <row r="1373">
      <c r="A1373" s="49">
        <v>44498.87958170139</v>
      </c>
      <c r="B1373" s="50">
        <v>44499.004549074</v>
      </c>
      <c r="C1373" s="51">
        <v>1.015</v>
      </c>
      <c r="D1373" s="51">
        <v>64.0</v>
      </c>
      <c r="E1373" s="52" t="s">
        <v>25</v>
      </c>
      <c r="F1373" s="52" t="s">
        <v>26</v>
      </c>
      <c r="G1373" s="53"/>
    </row>
    <row r="1374">
      <c r="A1374" s="49">
        <v>44498.88999556713</v>
      </c>
      <c r="B1374" s="50">
        <v>44499.0149695601</v>
      </c>
      <c r="C1374" s="51">
        <v>1.015</v>
      </c>
      <c r="D1374" s="51">
        <v>64.0</v>
      </c>
      <c r="E1374" s="52" t="s">
        <v>25</v>
      </c>
      <c r="F1374" s="52" t="s">
        <v>26</v>
      </c>
      <c r="G1374" s="53"/>
    </row>
    <row r="1375">
      <c r="A1375" s="49">
        <v>44498.90041386574</v>
      </c>
      <c r="B1375" s="50">
        <v>44499.025391493</v>
      </c>
      <c r="C1375" s="51">
        <v>1.015</v>
      </c>
      <c r="D1375" s="51">
        <v>63.0</v>
      </c>
      <c r="E1375" s="52" t="s">
        <v>25</v>
      </c>
      <c r="F1375" s="52" t="s">
        <v>26</v>
      </c>
      <c r="G1375" s="53"/>
    </row>
    <row r="1376">
      <c r="A1376" s="49">
        <v>44498.9108466551</v>
      </c>
      <c r="B1376" s="50">
        <v>44499.0358124305</v>
      </c>
      <c r="C1376" s="51">
        <v>1.015</v>
      </c>
      <c r="D1376" s="51">
        <v>64.0</v>
      </c>
      <c r="E1376" s="52" t="s">
        <v>25</v>
      </c>
      <c r="F1376" s="52" t="s">
        <v>26</v>
      </c>
      <c r="G1376" s="53"/>
    </row>
    <row r="1377">
      <c r="A1377" s="49">
        <v>44498.92126451389</v>
      </c>
      <c r="B1377" s="50">
        <v>44499.0462333217</v>
      </c>
      <c r="C1377" s="51">
        <v>1.016</v>
      </c>
      <c r="D1377" s="51">
        <v>64.0</v>
      </c>
      <c r="E1377" s="52" t="s">
        <v>25</v>
      </c>
      <c r="F1377" s="52" t="s">
        <v>26</v>
      </c>
      <c r="G1377" s="53"/>
    </row>
    <row r="1378">
      <c r="A1378" s="49">
        <v>44498.93168497685</v>
      </c>
      <c r="B1378" s="50">
        <v>44499.0566543287</v>
      </c>
      <c r="C1378" s="51">
        <v>1.016</v>
      </c>
      <c r="D1378" s="51">
        <v>64.0</v>
      </c>
      <c r="E1378" s="52" t="s">
        <v>25</v>
      </c>
      <c r="F1378" s="52" t="s">
        <v>26</v>
      </c>
      <c r="G1378" s="53"/>
    </row>
    <row r="1379">
      <c r="A1379" s="49">
        <v>44498.94210670139</v>
      </c>
      <c r="B1379" s="50">
        <v>44499.0670737037</v>
      </c>
      <c r="C1379" s="51">
        <v>1.016</v>
      </c>
      <c r="D1379" s="51">
        <v>64.0</v>
      </c>
      <c r="E1379" s="52" t="s">
        <v>25</v>
      </c>
      <c r="F1379" s="52" t="s">
        <v>26</v>
      </c>
      <c r="G1379" s="53"/>
    </row>
    <row r="1380">
      <c r="A1380" s="49">
        <v>44498.952536261575</v>
      </c>
      <c r="B1380" s="50">
        <v>44499.0775071064</v>
      </c>
      <c r="C1380" s="51">
        <v>1.016</v>
      </c>
      <c r="D1380" s="51">
        <v>64.0</v>
      </c>
      <c r="E1380" s="52" t="s">
        <v>25</v>
      </c>
      <c r="F1380" s="52" t="s">
        <v>26</v>
      </c>
      <c r="G1380" s="53"/>
    </row>
    <row r="1381">
      <c r="A1381" s="49">
        <v>44498.9629755787</v>
      </c>
      <c r="B1381" s="50">
        <v>44499.0879407291</v>
      </c>
      <c r="C1381" s="51">
        <v>1.016</v>
      </c>
      <c r="D1381" s="51">
        <v>64.0</v>
      </c>
      <c r="E1381" s="52" t="s">
        <v>25</v>
      </c>
      <c r="F1381" s="52" t="s">
        <v>26</v>
      </c>
      <c r="G1381" s="53"/>
    </row>
    <row r="1382">
      <c r="A1382" s="49">
        <v>44498.973395451394</v>
      </c>
      <c r="B1382" s="50">
        <v>44499.0983613078</v>
      </c>
      <c r="C1382" s="51">
        <v>1.016</v>
      </c>
      <c r="D1382" s="51">
        <v>64.0</v>
      </c>
      <c r="E1382" s="52" t="s">
        <v>25</v>
      </c>
      <c r="F1382" s="52" t="s">
        <v>26</v>
      </c>
      <c r="G1382" s="53"/>
    </row>
    <row r="1383">
      <c r="A1383" s="49">
        <v>44498.98381384259</v>
      </c>
      <c r="B1383" s="50">
        <v>44499.1087817708</v>
      </c>
      <c r="C1383" s="51">
        <v>1.015</v>
      </c>
      <c r="D1383" s="51">
        <v>64.0</v>
      </c>
      <c r="E1383" s="52" t="s">
        <v>25</v>
      </c>
      <c r="F1383" s="52" t="s">
        <v>26</v>
      </c>
      <c r="G1383" s="53"/>
    </row>
    <row r="1384">
      <c r="A1384" s="49">
        <v>44498.994226759256</v>
      </c>
      <c r="B1384" s="50">
        <v>44499.1192024074</v>
      </c>
      <c r="C1384" s="51">
        <v>1.015</v>
      </c>
      <c r="D1384" s="51">
        <v>64.0</v>
      </c>
      <c r="E1384" s="52" t="s">
        <v>25</v>
      </c>
      <c r="F1384" s="52" t="s">
        <v>26</v>
      </c>
      <c r="G1384" s="53"/>
    </row>
    <row r="1385">
      <c r="A1385" s="49">
        <v>44499.00465903935</v>
      </c>
      <c r="B1385" s="50">
        <v>44499.1296353588</v>
      </c>
      <c r="C1385" s="51">
        <v>1.015</v>
      </c>
      <c r="D1385" s="51">
        <v>64.0</v>
      </c>
      <c r="E1385" s="52" t="s">
        <v>25</v>
      </c>
      <c r="F1385" s="52" t="s">
        <v>26</v>
      </c>
      <c r="G1385" s="53"/>
    </row>
    <row r="1386">
      <c r="A1386" s="49">
        <v>44499.01509048611</v>
      </c>
      <c r="B1386" s="50">
        <v>44499.1400573726</v>
      </c>
      <c r="C1386" s="51">
        <v>1.015</v>
      </c>
      <c r="D1386" s="51">
        <v>64.0</v>
      </c>
      <c r="E1386" s="52" t="s">
        <v>25</v>
      </c>
      <c r="F1386" s="52" t="s">
        <v>26</v>
      </c>
      <c r="G1386" s="53"/>
    </row>
    <row r="1387">
      <c r="A1387" s="49">
        <v>44499.025522407406</v>
      </c>
      <c r="B1387" s="50">
        <v>44499.1504898842</v>
      </c>
      <c r="C1387" s="51">
        <v>1.016</v>
      </c>
      <c r="D1387" s="51">
        <v>64.0</v>
      </c>
      <c r="E1387" s="52" t="s">
        <v>25</v>
      </c>
      <c r="F1387" s="52" t="s">
        <v>26</v>
      </c>
      <c r="G1387" s="53"/>
    </row>
    <row r="1388">
      <c r="A1388" s="49">
        <v>44499.03593886574</v>
      </c>
      <c r="B1388" s="50">
        <v>44499.1609103588</v>
      </c>
      <c r="C1388" s="51">
        <v>1.016</v>
      </c>
      <c r="D1388" s="51">
        <v>64.0</v>
      </c>
      <c r="E1388" s="52" t="s">
        <v>25</v>
      </c>
      <c r="F1388" s="52" t="s">
        <v>26</v>
      </c>
      <c r="G1388" s="53"/>
    </row>
    <row r="1389">
      <c r="A1389" s="49">
        <v>44499.04636716435</v>
      </c>
      <c r="B1389" s="50">
        <v>44499.1713427777</v>
      </c>
      <c r="C1389" s="51">
        <v>1.015</v>
      </c>
      <c r="D1389" s="51">
        <v>64.0</v>
      </c>
      <c r="E1389" s="52" t="s">
        <v>25</v>
      </c>
      <c r="F1389" s="52" t="s">
        <v>26</v>
      </c>
      <c r="G1389" s="53"/>
    </row>
    <row r="1390">
      <c r="A1390" s="49">
        <v>44499.05679672454</v>
      </c>
      <c r="B1390" s="50">
        <v>44499.1817639583</v>
      </c>
      <c r="C1390" s="51">
        <v>1.015</v>
      </c>
      <c r="D1390" s="51">
        <v>64.0</v>
      </c>
      <c r="E1390" s="52" t="s">
        <v>25</v>
      </c>
      <c r="F1390" s="52" t="s">
        <v>26</v>
      </c>
      <c r="G1390" s="53"/>
    </row>
    <row r="1391">
      <c r="A1391" s="49">
        <v>44499.067244606485</v>
      </c>
      <c r="B1391" s="50">
        <v>44499.1922091203</v>
      </c>
      <c r="C1391" s="51">
        <v>1.014</v>
      </c>
      <c r="D1391" s="51">
        <v>64.0</v>
      </c>
      <c r="E1391" s="52" t="s">
        <v>25</v>
      </c>
      <c r="F1391" s="52" t="s">
        <v>26</v>
      </c>
      <c r="G1391" s="53"/>
    </row>
    <row r="1392">
      <c r="A1392" s="49">
        <v>44499.077665000004</v>
      </c>
      <c r="B1392" s="50">
        <v>44499.2026295254</v>
      </c>
      <c r="C1392" s="51">
        <v>1.014</v>
      </c>
      <c r="D1392" s="51">
        <v>64.0</v>
      </c>
      <c r="E1392" s="52" t="s">
        <v>25</v>
      </c>
      <c r="F1392" s="52" t="s">
        <v>26</v>
      </c>
      <c r="G1392" s="53"/>
    </row>
    <row r="1393">
      <c r="A1393" s="49">
        <v>44499.08808728009</v>
      </c>
      <c r="B1393" s="50">
        <v>44499.2130504166</v>
      </c>
      <c r="C1393" s="51">
        <v>1.014</v>
      </c>
      <c r="D1393" s="51">
        <v>64.0</v>
      </c>
      <c r="E1393" s="52" t="s">
        <v>25</v>
      </c>
      <c r="F1393" s="52" t="s">
        <v>26</v>
      </c>
      <c r="G1393" s="53"/>
    </row>
    <row r="1394">
      <c r="A1394" s="49">
        <v>44499.09850280093</v>
      </c>
      <c r="B1394" s="50">
        <v>44499.2234712963</v>
      </c>
      <c r="C1394" s="51">
        <v>1.015</v>
      </c>
      <c r="D1394" s="51">
        <v>64.0</v>
      </c>
      <c r="E1394" s="52" t="s">
        <v>25</v>
      </c>
      <c r="F1394" s="52" t="s">
        <v>26</v>
      </c>
      <c r="G1394" s="53"/>
    </row>
    <row r="1395">
      <c r="A1395" s="49">
        <v>44499.10892201389</v>
      </c>
      <c r="B1395" s="50">
        <v>44499.2338929051</v>
      </c>
      <c r="C1395" s="51">
        <v>1.015</v>
      </c>
      <c r="D1395" s="51">
        <v>64.0</v>
      </c>
      <c r="E1395" s="52" t="s">
        <v>25</v>
      </c>
      <c r="F1395" s="52" t="s">
        <v>26</v>
      </c>
      <c r="G1395" s="53"/>
    </row>
    <row r="1396">
      <c r="A1396" s="49">
        <v>44499.11934331019</v>
      </c>
      <c r="B1396" s="50">
        <v>44499.2443134722</v>
      </c>
      <c r="C1396" s="51">
        <v>1.013</v>
      </c>
      <c r="D1396" s="51">
        <v>64.0</v>
      </c>
      <c r="E1396" s="52" t="s">
        <v>25</v>
      </c>
      <c r="F1396" s="52" t="s">
        <v>26</v>
      </c>
      <c r="G1396" s="53"/>
    </row>
    <row r="1397">
      <c r="A1397" s="49">
        <v>44499.12975702547</v>
      </c>
      <c r="B1397" s="50">
        <v>44499.2547354051</v>
      </c>
      <c r="C1397" s="51">
        <v>1.014</v>
      </c>
      <c r="D1397" s="51">
        <v>64.0</v>
      </c>
      <c r="E1397" s="52" t="s">
        <v>25</v>
      </c>
      <c r="F1397" s="52" t="s">
        <v>26</v>
      </c>
      <c r="G1397" s="53"/>
    </row>
    <row r="1398">
      <c r="A1398" s="49">
        <v>44499.14018844908</v>
      </c>
      <c r="B1398" s="50">
        <v>44499.2651571296</v>
      </c>
      <c r="C1398" s="51">
        <v>1.014</v>
      </c>
      <c r="D1398" s="51">
        <v>64.0</v>
      </c>
      <c r="E1398" s="52" t="s">
        <v>25</v>
      </c>
      <c r="F1398" s="52" t="s">
        <v>26</v>
      </c>
      <c r="G1398" s="53"/>
    </row>
    <row r="1399">
      <c r="A1399" s="49">
        <v>44499.15061078704</v>
      </c>
      <c r="B1399" s="50">
        <v>44499.2755787731</v>
      </c>
      <c r="C1399" s="51">
        <v>1.014</v>
      </c>
      <c r="D1399" s="51">
        <v>64.0</v>
      </c>
      <c r="E1399" s="52" t="s">
        <v>25</v>
      </c>
      <c r="F1399" s="52" t="s">
        <v>26</v>
      </c>
      <c r="G1399" s="53"/>
    </row>
    <row r="1400">
      <c r="A1400" s="49">
        <v>44499.16102878472</v>
      </c>
      <c r="B1400" s="50">
        <v>44499.285999155</v>
      </c>
      <c r="C1400" s="51">
        <v>1.014</v>
      </c>
      <c r="D1400" s="51">
        <v>64.0</v>
      </c>
      <c r="E1400" s="52" t="s">
        <v>25</v>
      </c>
      <c r="F1400" s="52" t="s">
        <v>26</v>
      </c>
      <c r="G1400" s="53"/>
    </row>
    <row r="1401">
      <c r="A1401" s="49">
        <v>44499.17144701389</v>
      </c>
      <c r="B1401" s="50">
        <v>44499.2964191782</v>
      </c>
      <c r="C1401" s="51">
        <v>1.013</v>
      </c>
      <c r="D1401" s="51">
        <v>64.0</v>
      </c>
      <c r="E1401" s="52" t="s">
        <v>25</v>
      </c>
      <c r="F1401" s="52" t="s">
        <v>26</v>
      </c>
      <c r="G1401" s="53"/>
    </row>
    <row r="1402">
      <c r="A1402" s="49">
        <v>44499.18187226852</v>
      </c>
      <c r="B1402" s="50">
        <v>44499.3068383564</v>
      </c>
      <c r="C1402" s="51">
        <v>1.013</v>
      </c>
      <c r="D1402" s="51">
        <v>64.0</v>
      </c>
      <c r="E1402" s="52" t="s">
        <v>25</v>
      </c>
      <c r="F1402" s="52" t="s">
        <v>26</v>
      </c>
      <c r="G1402" s="53"/>
    </row>
    <row r="1403">
      <c r="A1403" s="49">
        <v>44499.19229460648</v>
      </c>
      <c r="B1403" s="50">
        <v>44499.3172600578</v>
      </c>
      <c r="C1403" s="51">
        <v>1.014</v>
      </c>
      <c r="D1403" s="51">
        <v>64.0</v>
      </c>
      <c r="E1403" s="52" t="s">
        <v>25</v>
      </c>
      <c r="F1403" s="52" t="s">
        <v>26</v>
      </c>
      <c r="G1403" s="53"/>
    </row>
    <row r="1404">
      <c r="A1404" s="49">
        <v>44499.202713136576</v>
      </c>
      <c r="B1404" s="50">
        <v>44499.3276805324</v>
      </c>
      <c r="C1404" s="51">
        <v>1.014</v>
      </c>
      <c r="D1404" s="51">
        <v>64.0</v>
      </c>
      <c r="E1404" s="52" t="s">
        <v>25</v>
      </c>
      <c r="F1404" s="52" t="s">
        <v>26</v>
      </c>
      <c r="G1404" s="53"/>
    </row>
    <row r="1405">
      <c r="A1405" s="49">
        <v>44499.21312876158</v>
      </c>
      <c r="B1405" s="50">
        <v>44499.3381007407</v>
      </c>
      <c r="C1405" s="51">
        <v>1.015</v>
      </c>
      <c r="D1405" s="51">
        <v>64.0</v>
      </c>
      <c r="E1405" s="52" t="s">
        <v>25</v>
      </c>
      <c r="F1405" s="52" t="s">
        <v>26</v>
      </c>
      <c r="G1405" s="53"/>
    </row>
    <row r="1406">
      <c r="A1406" s="49">
        <v>44499.22355737269</v>
      </c>
      <c r="B1406" s="50">
        <v>44499.3485220833</v>
      </c>
      <c r="C1406" s="51">
        <v>1.015</v>
      </c>
      <c r="D1406" s="51">
        <v>64.0</v>
      </c>
      <c r="E1406" s="52" t="s">
        <v>25</v>
      </c>
      <c r="F1406" s="52" t="s">
        <v>26</v>
      </c>
      <c r="G1406" s="53"/>
    </row>
    <row r="1407">
      <c r="A1407" s="49">
        <v>44499.23398269676</v>
      </c>
      <c r="B1407" s="50">
        <v>44499.3589440856</v>
      </c>
      <c r="C1407" s="51">
        <v>1.015</v>
      </c>
      <c r="D1407" s="51">
        <v>64.0</v>
      </c>
      <c r="E1407" s="52" t="s">
        <v>25</v>
      </c>
      <c r="F1407" s="52" t="s">
        <v>26</v>
      </c>
      <c r="G1407" s="53"/>
    </row>
    <row r="1408">
      <c r="A1408" s="49">
        <v>44499.244407175924</v>
      </c>
      <c r="B1408" s="50">
        <v>44499.3693778125</v>
      </c>
      <c r="C1408" s="51">
        <v>1.015</v>
      </c>
      <c r="D1408" s="51">
        <v>64.0</v>
      </c>
      <c r="E1408" s="52" t="s">
        <v>25</v>
      </c>
      <c r="F1408" s="52" t="s">
        <v>26</v>
      </c>
      <c r="G1408" s="53"/>
    </row>
    <row r="1409">
      <c r="A1409" s="49">
        <v>44499.254819050926</v>
      </c>
      <c r="B1409" s="50">
        <v>44499.3797982291</v>
      </c>
      <c r="C1409" s="51">
        <v>1.015</v>
      </c>
      <c r="D1409" s="51">
        <v>64.0</v>
      </c>
      <c r="E1409" s="52" t="s">
        <v>25</v>
      </c>
      <c r="F1409" s="52" t="s">
        <v>26</v>
      </c>
      <c r="G1409" s="53"/>
    </row>
    <row r="1410">
      <c r="A1410" s="49">
        <v>44499.26523909722</v>
      </c>
      <c r="B1410" s="50">
        <v>44499.3902199537</v>
      </c>
      <c r="C1410" s="51">
        <v>1.015</v>
      </c>
      <c r="D1410" s="51">
        <v>64.0</v>
      </c>
      <c r="E1410" s="52" t="s">
        <v>25</v>
      </c>
      <c r="F1410" s="52" t="s">
        <v>26</v>
      </c>
      <c r="G1410" s="53"/>
    </row>
    <row r="1411">
      <c r="A1411" s="49">
        <v>44499.27567229167</v>
      </c>
      <c r="B1411" s="50">
        <v>44499.4006418865</v>
      </c>
      <c r="C1411" s="51">
        <v>1.015</v>
      </c>
      <c r="D1411" s="51">
        <v>64.0</v>
      </c>
      <c r="E1411" s="52" t="s">
        <v>25</v>
      </c>
      <c r="F1411" s="52" t="s">
        <v>26</v>
      </c>
      <c r="G1411" s="53"/>
    </row>
    <row r="1412">
      <c r="A1412" s="49">
        <v>44499.28609098379</v>
      </c>
      <c r="B1412" s="50">
        <v>44499.4110619907</v>
      </c>
      <c r="C1412" s="51">
        <v>1.015</v>
      </c>
      <c r="D1412" s="51">
        <v>64.0</v>
      </c>
      <c r="E1412" s="52" t="s">
        <v>25</v>
      </c>
      <c r="F1412" s="52" t="s">
        <v>26</v>
      </c>
      <c r="G1412" s="53"/>
    </row>
    <row r="1413">
      <c r="A1413" s="49">
        <v>44499.29651410879</v>
      </c>
      <c r="B1413" s="50">
        <v>44499.4214825578</v>
      </c>
      <c r="C1413" s="51">
        <v>1.016</v>
      </c>
      <c r="D1413" s="51">
        <v>64.0</v>
      </c>
      <c r="E1413" s="52" t="s">
        <v>25</v>
      </c>
      <c r="F1413" s="52" t="s">
        <v>26</v>
      </c>
      <c r="G1413" s="53"/>
    </row>
    <row r="1414">
      <c r="A1414" s="49">
        <v>44499.30693144676</v>
      </c>
      <c r="B1414" s="50">
        <v>44499.4319047569</v>
      </c>
      <c r="C1414" s="51">
        <v>1.015</v>
      </c>
      <c r="D1414" s="51">
        <v>64.0</v>
      </c>
      <c r="E1414" s="52" t="s">
        <v>25</v>
      </c>
      <c r="F1414" s="52" t="s">
        <v>26</v>
      </c>
      <c r="G1414" s="53"/>
    </row>
    <row r="1415">
      <c r="A1415" s="49">
        <v>44499.317356597225</v>
      </c>
      <c r="B1415" s="50">
        <v>44499.442325405</v>
      </c>
      <c r="C1415" s="51">
        <v>1.014</v>
      </c>
      <c r="D1415" s="51">
        <v>64.0</v>
      </c>
      <c r="E1415" s="52" t="s">
        <v>25</v>
      </c>
      <c r="F1415" s="52" t="s">
        <v>26</v>
      </c>
      <c r="G1415" s="53"/>
    </row>
    <row r="1416">
      <c r="A1416" s="49">
        <v>44499.327779583335</v>
      </c>
      <c r="B1416" s="50">
        <v>44499.4527454513</v>
      </c>
      <c r="C1416" s="51">
        <v>1.014</v>
      </c>
      <c r="D1416" s="51">
        <v>64.0</v>
      </c>
      <c r="E1416" s="52" t="s">
        <v>25</v>
      </c>
      <c r="F1416" s="52" t="s">
        <v>26</v>
      </c>
      <c r="G1416" s="53"/>
    </row>
    <row r="1417">
      <c r="A1417" s="49">
        <v>44499.33820104167</v>
      </c>
      <c r="B1417" s="50">
        <v>44499.4631665509</v>
      </c>
      <c r="C1417" s="51">
        <v>1.015</v>
      </c>
      <c r="D1417" s="51">
        <v>64.0</v>
      </c>
      <c r="E1417" s="52" t="s">
        <v>25</v>
      </c>
      <c r="F1417" s="52" t="s">
        <v>26</v>
      </c>
      <c r="G1417" s="53"/>
    </row>
    <row r="1418">
      <c r="A1418" s="49">
        <v>44499.34869678241</v>
      </c>
      <c r="B1418" s="50">
        <v>44499.4735865393</v>
      </c>
      <c r="C1418" s="51">
        <v>1.015</v>
      </c>
      <c r="D1418" s="51">
        <v>64.0</v>
      </c>
      <c r="E1418" s="52" t="s">
        <v>25</v>
      </c>
      <c r="F1418" s="52" t="s">
        <v>26</v>
      </c>
      <c r="G1418" s="53"/>
    </row>
    <row r="1419">
      <c r="A1419" s="49">
        <v>44499.35904210648</v>
      </c>
      <c r="B1419" s="50">
        <v>44499.4840073958</v>
      </c>
      <c r="C1419" s="51">
        <v>1.015</v>
      </c>
      <c r="D1419" s="51">
        <v>64.0</v>
      </c>
      <c r="E1419" s="52" t="s">
        <v>25</v>
      </c>
      <c r="F1419" s="52" t="s">
        <v>26</v>
      </c>
      <c r="G1419" s="53"/>
    </row>
    <row r="1420">
      <c r="A1420" s="49">
        <v>44499.36946423611</v>
      </c>
      <c r="B1420" s="50">
        <v>44499.4944281713</v>
      </c>
      <c r="C1420" s="51">
        <v>1.015</v>
      </c>
      <c r="D1420" s="51">
        <v>64.0</v>
      </c>
      <c r="E1420" s="52" t="s">
        <v>25</v>
      </c>
      <c r="F1420" s="52" t="s">
        <v>26</v>
      </c>
      <c r="G1420" s="53"/>
    </row>
    <row r="1421">
      <c r="A1421" s="49">
        <v>44499.37988204861</v>
      </c>
      <c r="B1421" s="50">
        <v>44499.5048492245</v>
      </c>
      <c r="C1421" s="51">
        <v>1.015</v>
      </c>
      <c r="D1421" s="51">
        <v>64.0</v>
      </c>
      <c r="E1421" s="52" t="s">
        <v>25</v>
      </c>
      <c r="F1421" s="52" t="s">
        <v>26</v>
      </c>
      <c r="G1421" s="53"/>
    </row>
    <row r="1422">
      <c r="A1422" s="49">
        <v>44499.390298287035</v>
      </c>
      <c r="B1422" s="50">
        <v>44499.5152713194</v>
      </c>
      <c r="C1422" s="51">
        <v>1.015</v>
      </c>
      <c r="D1422" s="51">
        <v>64.0</v>
      </c>
      <c r="E1422" s="52" t="s">
        <v>25</v>
      </c>
      <c r="F1422" s="52" t="s">
        <v>26</v>
      </c>
      <c r="G1422" s="53"/>
    </row>
    <row r="1423">
      <c r="A1423" s="49">
        <v>44499.400727534725</v>
      </c>
      <c r="B1423" s="50">
        <v>44499.5256928472</v>
      </c>
      <c r="C1423" s="51">
        <v>1.015</v>
      </c>
      <c r="D1423" s="51">
        <v>64.0</v>
      </c>
      <c r="E1423" s="52" t="s">
        <v>25</v>
      </c>
      <c r="F1423" s="52" t="s">
        <v>26</v>
      </c>
      <c r="G1423" s="53"/>
    </row>
    <row r="1424">
      <c r="A1424" s="49">
        <v>44499.41114982639</v>
      </c>
      <c r="B1424" s="50">
        <v>44499.5361141088</v>
      </c>
      <c r="C1424" s="51">
        <v>1.016</v>
      </c>
      <c r="D1424" s="51">
        <v>64.0</v>
      </c>
      <c r="E1424" s="52" t="s">
        <v>25</v>
      </c>
      <c r="F1424" s="52" t="s">
        <v>26</v>
      </c>
      <c r="G1424" s="53"/>
    </row>
    <row r="1425">
      <c r="A1425" s="49">
        <v>44499.42158142361</v>
      </c>
      <c r="B1425" s="50">
        <v>44499.5465462152</v>
      </c>
      <c r="C1425" s="51">
        <v>1.015</v>
      </c>
      <c r="D1425" s="51">
        <v>64.0</v>
      </c>
      <c r="E1425" s="52" t="s">
        <v>25</v>
      </c>
      <c r="F1425" s="52" t="s">
        <v>26</v>
      </c>
      <c r="G1425" s="53"/>
    </row>
    <row r="1426">
      <c r="A1426" s="49">
        <v>44499.43200112268</v>
      </c>
      <c r="B1426" s="50">
        <v>44499.5569679398</v>
      </c>
      <c r="C1426" s="51">
        <v>1.015</v>
      </c>
      <c r="D1426" s="51">
        <v>64.0</v>
      </c>
      <c r="E1426" s="52" t="s">
        <v>25</v>
      </c>
      <c r="F1426" s="52" t="s">
        <v>26</v>
      </c>
      <c r="G1426" s="53"/>
    </row>
    <row r="1427">
      <c r="A1427" s="49">
        <v>44499.442433020835</v>
      </c>
      <c r="B1427" s="50">
        <v>44499.5673892361</v>
      </c>
      <c r="C1427" s="51">
        <v>1.015</v>
      </c>
      <c r="D1427" s="51">
        <v>64.0</v>
      </c>
      <c r="E1427" s="52" t="s">
        <v>25</v>
      </c>
      <c r="F1427" s="52" t="s">
        <v>26</v>
      </c>
      <c r="G1427" s="53"/>
    </row>
    <row r="1428">
      <c r="A1428" s="49">
        <v>44499.45283422453</v>
      </c>
      <c r="B1428" s="50">
        <v>44499.5778104976</v>
      </c>
      <c r="C1428" s="51">
        <v>1.015</v>
      </c>
      <c r="D1428" s="51">
        <v>64.0</v>
      </c>
      <c r="E1428" s="52" t="s">
        <v>25</v>
      </c>
      <c r="F1428" s="52" t="s">
        <v>26</v>
      </c>
      <c r="G1428" s="53"/>
    </row>
    <row r="1429">
      <c r="A1429" s="49">
        <v>44499.46326645833</v>
      </c>
      <c r="B1429" s="50">
        <v>44499.5882316435</v>
      </c>
      <c r="C1429" s="51">
        <v>1.016</v>
      </c>
      <c r="D1429" s="51">
        <v>64.0</v>
      </c>
      <c r="E1429" s="52" t="s">
        <v>25</v>
      </c>
      <c r="F1429" s="52" t="s">
        <v>26</v>
      </c>
      <c r="G1429" s="53"/>
    </row>
    <row r="1430">
      <c r="A1430" s="49">
        <v>44499.473686122685</v>
      </c>
      <c r="B1430" s="50">
        <v>44499.5986532291</v>
      </c>
      <c r="C1430" s="51">
        <v>1.015</v>
      </c>
      <c r="D1430" s="51">
        <v>64.0</v>
      </c>
      <c r="E1430" s="52" t="s">
        <v>25</v>
      </c>
      <c r="F1430" s="52" t="s">
        <v>26</v>
      </c>
      <c r="G1430" s="53"/>
    </row>
    <row r="1431">
      <c r="A1431" s="49">
        <v>44499.48411236111</v>
      </c>
      <c r="B1431" s="50">
        <v>44499.6090748148</v>
      </c>
      <c r="C1431" s="51">
        <v>1.015</v>
      </c>
      <c r="D1431" s="51">
        <v>64.0</v>
      </c>
      <c r="E1431" s="52" t="s">
        <v>25</v>
      </c>
      <c r="F1431" s="52" t="s">
        <v>26</v>
      </c>
      <c r="G1431" s="53"/>
    </row>
    <row r="1432">
      <c r="A1432" s="49">
        <v>44499.49452368055</v>
      </c>
      <c r="B1432" s="50">
        <v>44499.6194967013</v>
      </c>
      <c r="C1432" s="51">
        <v>1.015</v>
      </c>
      <c r="D1432" s="51">
        <v>64.0</v>
      </c>
      <c r="E1432" s="52" t="s">
        <v>25</v>
      </c>
      <c r="F1432" s="52" t="s">
        <v>26</v>
      </c>
      <c r="G1432" s="53"/>
    </row>
    <row r="1433">
      <c r="A1433" s="49">
        <v>44499.504939756946</v>
      </c>
      <c r="B1433" s="50">
        <v>44499.6299168402</v>
      </c>
      <c r="C1433" s="51">
        <v>1.015</v>
      </c>
      <c r="D1433" s="51">
        <v>64.0</v>
      </c>
      <c r="E1433" s="52" t="s">
        <v>25</v>
      </c>
      <c r="F1433" s="52" t="s">
        <v>26</v>
      </c>
      <c r="G1433" s="53"/>
    </row>
    <row r="1434">
      <c r="A1434" s="49">
        <v>44499.51536160879</v>
      </c>
      <c r="B1434" s="50">
        <v>44499.6403367013</v>
      </c>
      <c r="C1434" s="51">
        <v>1.015</v>
      </c>
      <c r="D1434" s="51">
        <v>64.0</v>
      </c>
      <c r="E1434" s="52" t="s">
        <v>25</v>
      </c>
      <c r="F1434" s="52" t="s">
        <v>26</v>
      </c>
      <c r="G1434" s="53"/>
    </row>
    <row r="1435">
      <c r="A1435" s="49">
        <v>44499.52578488426</v>
      </c>
      <c r="B1435" s="50">
        <v>44499.6507569328</v>
      </c>
      <c r="C1435" s="51">
        <v>1.015</v>
      </c>
      <c r="D1435" s="51">
        <v>64.0</v>
      </c>
      <c r="E1435" s="52" t="s">
        <v>25</v>
      </c>
      <c r="F1435" s="52" t="s">
        <v>26</v>
      </c>
      <c r="G1435" s="53"/>
    </row>
    <row r="1436">
      <c r="A1436" s="49">
        <v>44499.53621431713</v>
      </c>
      <c r="B1436" s="50">
        <v>44499.6611780324</v>
      </c>
      <c r="C1436" s="51">
        <v>1.015</v>
      </c>
      <c r="D1436" s="51">
        <v>64.0</v>
      </c>
      <c r="E1436" s="52" t="s">
        <v>25</v>
      </c>
      <c r="F1436" s="52" t="s">
        <v>26</v>
      </c>
      <c r="G1436" s="53"/>
    </row>
    <row r="1437">
      <c r="A1437" s="49">
        <v>44499.54664425926</v>
      </c>
      <c r="B1437" s="50">
        <v>44499.6716127662</v>
      </c>
      <c r="C1437" s="51">
        <v>1.015</v>
      </c>
      <c r="D1437" s="51">
        <v>64.0</v>
      </c>
      <c r="E1437" s="52" t="s">
        <v>25</v>
      </c>
      <c r="F1437" s="52" t="s">
        <v>26</v>
      </c>
      <c r="G1437" s="53"/>
    </row>
    <row r="1438">
      <c r="A1438" s="49">
        <v>44499.55709150463</v>
      </c>
      <c r="B1438" s="50">
        <v>44499.6820567708</v>
      </c>
      <c r="C1438" s="51">
        <v>1.015</v>
      </c>
      <c r="D1438" s="51">
        <v>64.0</v>
      </c>
      <c r="E1438" s="52" t="s">
        <v>25</v>
      </c>
      <c r="F1438" s="52" t="s">
        <v>26</v>
      </c>
      <c r="G1438" s="53"/>
    </row>
    <row r="1439">
      <c r="A1439" s="49">
        <v>44499.567508692126</v>
      </c>
      <c r="B1439" s="50">
        <v>44499.6924791666</v>
      </c>
      <c r="C1439" s="51">
        <v>1.015</v>
      </c>
      <c r="D1439" s="51">
        <v>64.0</v>
      </c>
      <c r="E1439" s="52" t="s">
        <v>25</v>
      </c>
      <c r="F1439" s="52" t="s">
        <v>26</v>
      </c>
      <c r="G1439" s="53"/>
    </row>
    <row r="1440">
      <c r="A1440" s="49">
        <v>44499.57794238426</v>
      </c>
      <c r="B1440" s="50">
        <v>44499.7029014236</v>
      </c>
      <c r="C1440" s="51">
        <v>1.015</v>
      </c>
      <c r="D1440" s="51">
        <v>64.0</v>
      </c>
      <c r="E1440" s="52" t="s">
        <v>25</v>
      </c>
      <c r="F1440" s="52" t="s">
        <v>26</v>
      </c>
      <c r="G1440" s="53"/>
    </row>
    <row r="1441">
      <c r="A1441" s="49">
        <v>44499.5883675</v>
      </c>
      <c r="B1441" s="50">
        <v>44499.7133333217</v>
      </c>
      <c r="C1441" s="51">
        <v>1.015</v>
      </c>
      <c r="D1441" s="51">
        <v>64.0</v>
      </c>
      <c r="E1441" s="52" t="s">
        <v>25</v>
      </c>
      <c r="F1441" s="52" t="s">
        <v>26</v>
      </c>
      <c r="G1441" s="53"/>
    </row>
    <row r="1442">
      <c r="A1442" s="49">
        <v>44499.598786585644</v>
      </c>
      <c r="B1442" s="50">
        <v>44499.7237545023</v>
      </c>
      <c r="C1442" s="51">
        <v>1.015</v>
      </c>
      <c r="D1442" s="51">
        <v>64.0</v>
      </c>
      <c r="E1442" s="52" t="s">
        <v>25</v>
      </c>
      <c r="F1442" s="52" t="s">
        <v>26</v>
      </c>
      <c r="G1442" s="53"/>
    </row>
    <row r="1443">
      <c r="A1443" s="49">
        <v>44499.60920280093</v>
      </c>
      <c r="B1443" s="50">
        <v>44499.7341765393</v>
      </c>
      <c r="C1443" s="51">
        <v>1.015</v>
      </c>
      <c r="D1443" s="51">
        <v>64.0</v>
      </c>
      <c r="E1443" s="52" t="s">
        <v>25</v>
      </c>
      <c r="F1443" s="52" t="s">
        <v>26</v>
      </c>
      <c r="G1443" s="53"/>
    </row>
    <row r="1444">
      <c r="A1444" s="49">
        <v>44499.619633379625</v>
      </c>
      <c r="B1444" s="50">
        <v>44499.7445990162</v>
      </c>
      <c r="C1444" s="51">
        <v>1.015</v>
      </c>
      <c r="D1444" s="51">
        <v>64.0</v>
      </c>
      <c r="E1444" s="52" t="s">
        <v>25</v>
      </c>
      <c r="F1444" s="52" t="s">
        <v>26</v>
      </c>
      <c r="G1444" s="53"/>
    </row>
    <row r="1445">
      <c r="A1445" s="49">
        <v>44499.63005394676</v>
      </c>
      <c r="B1445" s="50">
        <v>44499.755019074</v>
      </c>
      <c r="C1445" s="51">
        <v>1.015</v>
      </c>
      <c r="D1445" s="51">
        <v>64.0</v>
      </c>
      <c r="E1445" s="52" t="s">
        <v>25</v>
      </c>
      <c r="F1445" s="52" t="s">
        <v>26</v>
      </c>
      <c r="G1445" s="53"/>
    </row>
    <row r="1446">
      <c r="A1446" s="49">
        <v>44499.64047591435</v>
      </c>
      <c r="B1446" s="50">
        <v>44499.7654398263</v>
      </c>
      <c r="C1446" s="51">
        <v>1.014</v>
      </c>
      <c r="D1446" s="51">
        <v>64.0</v>
      </c>
      <c r="E1446" s="52" t="s">
        <v>25</v>
      </c>
      <c r="F1446" s="52" t="s">
        <v>26</v>
      </c>
      <c r="G1446" s="53"/>
    </row>
    <row r="1447">
      <c r="A1447" s="49">
        <v>44499.65089189815</v>
      </c>
      <c r="B1447" s="50">
        <v>44499.7758585416</v>
      </c>
      <c r="C1447" s="51">
        <v>1.015</v>
      </c>
      <c r="D1447" s="51">
        <v>64.0</v>
      </c>
      <c r="E1447" s="52" t="s">
        <v>25</v>
      </c>
      <c r="F1447" s="52" t="s">
        <v>26</v>
      </c>
      <c r="G1447" s="53"/>
    </row>
    <row r="1448">
      <c r="A1448" s="49">
        <v>44499.661312916665</v>
      </c>
      <c r="B1448" s="50">
        <v>44499.7862804629</v>
      </c>
      <c r="C1448" s="51">
        <v>1.014</v>
      </c>
      <c r="D1448" s="51">
        <v>64.0</v>
      </c>
      <c r="E1448" s="52" t="s">
        <v>25</v>
      </c>
      <c r="F1448" s="52" t="s">
        <v>26</v>
      </c>
      <c r="G1448" s="53"/>
    </row>
    <row r="1449">
      <c r="A1449" s="49">
        <v>44499.6717468287</v>
      </c>
      <c r="B1449" s="50">
        <v>44499.7967123263</v>
      </c>
      <c r="C1449" s="51">
        <v>1.015</v>
      </c>
      <c r="D1449" s="51">
        <v>64.0</v>
      </c>
      <c r="E1449" s="52" t="s">
        <v>25</v>
      </c>
      <c r="F1449" s="52" t="s">
        <v>26</v>
      </c>
      <c r="G1449" s="53"/>
    </row>
    <row r="1450">
      <c r="A1450" s="49">
        <v>44499.68216008102</v>
      </c>
      <c r="B1450" s="50">
        <v>44499.807132037</v>
      </c>
      <c r="C1450" s="51">
        <v>1.015</v>
      </c>
      <c r="D1450" s="51">
        <v>64.0</v>
      </c>
      <c r="E1450" s="52" t="s">
        <v>25</v>
      </c>
      <c r="F1450" s="52" t="s">
        <v>26</v>
      </c>
      <c r="G1450" s="53"/>
    </row>
    <row r="1451">
      <c r="A1451" s="49">
        <v>44499.692583634256</v>
      </c>
      <c r="B1451" s="50">
        <v>44499.817552199</v>
      </c>
      <c r="C1451" s="51">
        <v>1.015</v>
      </c>
      <c r="D1451" s="51">
        <v>64.0</v>
      </c>
      <c r="E1451" s="52" t="s">
        <v>25</v>
      </c>
      <c r="F1451" s="52" t="s">
        <v>26</v>
      </c>
      <c r="G1451" s="53"/>
    </row>
    <row r="1452">
      <c r="A1452" s="49">
        <v>44499.703014074075</v>
      </c>
      <c r="B1452" s="50">
        <v>44499.8279852893</v>
      </c>
      <c r="C1452" s="51">
        <v>1.015</v>
      </c>
      <c r="D1452" s="51">
        <v>65.0</v>
      </c>
      <c r="E1452" s="52" t="s">
        <v>25</v>
      </c>
      <c r="F1452" s="52" t="s">
        <v>26</v>
      </c>
      <c r="G1452" s="53"/>
    </row>
    <row r="1453">
      <c r="A1453" s="49">
        <v>44499.71343532407</v>
      </c>
      <c r="B1453" s="50">
        <v>44499.8384058796</v>
      </c>
      <c r="C1453" s="51">
        <v>1.015</v>
      </c>
      <c r="D1453" s="51">
        <v>64.0</v>
      </c>
      <c r="E1453" s="52" t="s">
        <v>25</v>
      </c>
      <c r="F1453" s="52" t="s">
        <v>26</v>
      </c>
      <c r="G1453" s="53"/>
    </row>
    <row r="1454">
      <c r="A1454" s="49">
        <v>44499.723862326384</v>
      </c>
      <c r="B1454" s="50">
        <v>44499.8488286921</v>
      </c>
      <c r="C1454" s="51">
        <v>1.015</v>
      </c>
      <c r="D1454" s="51">
        <v>64.0</v>
      </c>
      <c r="E1454" s="52" t="s">
        <v>25</v>
      </c>
      <c r="F1454" s="52" t="s">
        <v>26</v>
      </c>
      <c r="G1454" s="53"/>
    </row>
    <row r="1455">
      <c r="A1455" s="49">
        <v>44499.73427944444</v>
      </c>
      <c r="B1455" s="50">
        <v>44499.8592494213</v>
      </c>
      <c r="C1455" s="51">
        <v>1.015</v>
      </c>
      <c r="D1455" s="51">
        <v>65.0</v>
      </c>
      <c r="E1455" s="52" t="s">
        <v>25</v>
      </c>
      <c r="F1455" s="52" t="s">
        <v>26</v>
      </c>
      <c r="G1455" s="53"/>
    </row>
    <row r="1456">
      <c r="A1456" s="49">
        <v>44499.744720104165</v>
      </c>
      <c r="B1456" s="50">
        <v>44499.869681331</v>
      </c>
      <c r="C1456" s="51">
        <v>1.015</v>
      </c>
      <c r="D1456" s="51">
        <v>65.0</v>
      </c>
      <c r="E1456" s="52" t="s">
        <v>25</v>
      </c>
      <c r="F1456" s="52" t="s">
        <v>26</v>
      </c>
      <c r="G1456" s="53"/>
    </row>
    <row r="1457">
      <c r="A1457" s="49">
        <v>44499.755150902776</v>
      </c>
      <c r="B1457" s="50">
        <v>44499.8801137037</v>
      </c>
      <c r="C1457" s="51">
        <v>1.015</v>
      </c>
      <c r="D1457" s="51">
        <v>65.0</v>
      </c>
      <c r="E1457" s="52" t="s">
        <v>25</v>
      </c>
      <c r="F1457" s="52" t="s">
        <v>26</v>
      </c>
      <c r="G1457" s="53"/>
    </row>
    <row r="1458">
      <c r="A1458" s="49">
        <v>44499.76557253472</v>
      </c>
      <c r="B1458" s="50">
        <v>44499.8905356018</v>
      </c>
      <c r="C1458" s="51">
        <v>1.015</v>
      </c>
      <c r="D1458" s="51">
        <v>65.0</v>
      </c>
      <c r="E1458" s="52" t="s">
        <v>25</v>
      </c>
      <c r="F1458" s="52" t="s">
        <v>26</v>
      </c>
      <c r="G1458" s="53"/>
    </row>
    <row r="1459">
      <c r="A1459" s="49">
        <v>44499.77598770833</v>
      </c>
      <c r="B1459" s="50">
        <v>44499.9009563773</v>
      </c>
      <c r="C1459" s="51">
        <v>1.015</v>
      </c>
      <c r="D1459" s="51">
        <v>65.0</v>
      </c>
      <c r="E1459" s="52" t="s">
        <v>25</v>
      </c>
      <c r="F1459" s="52" t="s">
        <v>26</v>
      </c>
      <c r="G1459" s="53"/>
    </row>
    <row r="1460">
      <c r="A1460" s="49">
        <v>44499.7864030787</v>
      </c>
      <c r="B1460" s="50">
        <v>44499.9113780439</v>
      </c>
      <c r="C1460" s="51">
        <v>1.015</v>
      </c>
      <c r="D1460" s="51">
        <v>65.0</v>
      </c>
      <c r="E1460" s="52" t="s">
        <v>25</v>
      </c>
      <c r="F1460" s="52" t="s">
        <v>26</v>
      </c>
      <c r="G1460" s="53"/>
    </row>
    <row r="1461">
      <c r="A1461" s="49">
        <v>44499.796833796296</v>
      </c>
      <c r="B1461" s="50">
        <v>44499.9218006828</v>
      </c>
      <c r="C1461" s="51">
        <v>1.015</v>
      </c>
      <c r="D1461" s="51">
        <v>65.0</v>
      </c>
      <c r="E1461" s="52" t="s">
        <v>25</v>
      </c>
      <c r="F1461" s="52" t="s">
        <v>26</v>
      </c>
      <c r="G1461" s="53"/>
    </row>
    <row r="1462">
      <c r="A1462" s="49">
        <v>44499.80725164352</v>
      </c>
      <c r="B1462" s="50">
        <v>44499.9322208217</v>
      </c>
      <c r="C1462" s="51">
        <v>1.015</v>
      </c>
      <c r="D1462" s="51">
        <v>65.0</v>
      </c>
      <c r="E1462" s="52" t="s">
        <v>25</v>
      </c>
      <c r="F1462" s="52" t="s">
        <v>26</v>
      </c>
      <c r="G1462" s="53"/>
    </row>
    <row r="1463">
      <c r="A1463" s="49">
        <v>44499.81766552084</v>
      </c>
      <c r="B1463" s="50">
        <v>44499.942640081</v>
      </c>
      <c r="C1463" s="51">
        <v>1.015</v>
      </c>
      <c r="D1463" s="51">
        <v>65.0</v>
      </c>
      <c r="E1463" s="52" t="s">
        <v>25</v>
      </c>
      <c r="F1463" s="52" t="s">
        <v>26</v>
      </c>
      <c r="G1463" s="53"/>
    </row>
    <row r="1464">
      <c r="A1464" s="49">
        <v>44499.828098321756</v>
      </c>
      <c r="B1464" s="50">
        <v>44499.9530605671</v>
      </c>
      <c r="C1464" s="51">
        <v>1.015</v>
      </c>
      <c r="D1464" s="51">
        <v>65.0</v>
      </c>
      <c r="E1464" s="52" t="s">
        <v>25</v>
      </c>
      <c r="F1464" s="52" t="s">
        <v>26</v>
      </c>
      <c r="G1464" s="53"/>
    </row>
    <row r="1465">
      <c r="A1465" s="49">
        <v>44499.838534062495</v>
      </c>
      <c r="B1465" s="50">
        <v>44499.9634941551</v>
      </c>
      <c r="C1465" s="51">
        <v>1.015</v>
      </c>
      <c r="D1465" s="51">
        <v>65.0</v>
      </c>
      <c r="E1465" s="52" t="s">
        <v>25</v>
      </c>
      <c r="F1465" s="52" t="s">
        <v>26</v>
      </c>
      <c r="G1465" s="53"/>
    </row>
    <row r="1466">
      <c r="A1466" s="49">
        <v>44499.84894084491</v>
      </c>
      <c r="B1466" s="50">
        <v>44499.9739168865</v>
      </c>
      <c r="C1466" s="51">
        <v>1.015</v>
      </c>
      <c r="D1466" s="51">
        <v>65.0</v>
      </c>
      <c r="E1466" s="52" t="s">
        <v>25</v>
      </c>
      <c r="F1466" s="52" t="s">
        <v>26</v>
      </c>
      <c r="G1466" s="53"/>
    </row>
    <row r="1467">
      <c r="A1467" s="49">
        <v>44499.859386041666</v>
      </c>
      <c r="B1467" s="50">
        <v>44499.9843510185</v>
      </c>
      <c r="C1467" s="51">
        <v>1.015</v>
      </c>
      <c r="D1467" s="51">
        <v>65.0</v>
      </c>
      <c r="E1467" s="52" t="s">
        <v>25</v>
      </c>
      <c r="F1467" s="52" t="s">
        <v>26</v>
      </c>
      <c r="G1467" s="53"/>
    </row>
    <row r="1468">
      <c r="A1468" s="49">
        <v>44499.86980627315</v>
      </c>
      <c r="B1468" s="50">
        <v>44499.9947711342</v>
      </c>
      <c r="C1468" s="51">
        <v>1.015</v>
      </c>
      <c r="D1468" s="51">
        <v>65.0</v>
      </c>
      <c r="E1468" s="52" t="s">
        <v>25</v>
      </c>
      <c r="F1468" s="52" t="s">
        <v>26</v>
      </c>
      <c r="G1468" s="53"/>
    </row>
    <row r="1469">
      <c r="A1469" s="49">
        <v>44499.88024119213</v>
      </c>
      <c r="B1469" s="50">
        <v>44500.005204537</v>
      </c>
      <c r="C1469" s="51">
        <v>1.016</v>
      </c>
      <c r="D1469" s="51">
        <v>65.0</v>
      </c>
      <c r="E1469" s="52" t="s">
        <v>25</v>
      </c>
      <c r="F1469" s="52" t="s">
        <v>26</v>
      </c>
      <c r="G1469" s="53"/>
    </row>
    <row r="1470">
      <c r="A1470" s="49">
        <v>44499.890656180556</v>
      </c>
      <c r="B1470" s="50">
        <v>44500.0156253009</v>
      </c>
      <c r="C1470" s="51">
        <v>1.016</v>
      </c>
      <c r="D1470" s="51">
        <v>65.0</v>
      </c>
      <c r="E1470" s="52" t="s">
        <v>25</v>
      </c>
      <c r="F1470" s="52" t="s">
        <v>26</v>
      </c>
      <c r="G1470" s="53"/>
    </row>
    <row r="1471">
      <c r="A1471" s="49">
        <v>44499.901075173606</v>
      </c>
      <c r="B1471" s="50">
        <v>44500.026046412</v>
      </c>
      <c r="C1471" s="51">
        <v>1.015</v>
      </c>
      <c r="D1471" s="51">
        <v>65.0</v>
      </c>
      <c r="E1471" s="52" t="s">
        <v>25</v>
      </c>
      <c r="F1471" s="52" t="s">
        <v>26</v>
      </c>
      <c r="G1471" s="53"/>
    </row>
    <row r="1472">
      <c r="A1472" s="49">
        <v>44499.911501319446</v>
      </c>
      <c r="B1472" s="50">
        <v>44500.0364800463</v>
      </c>
      <c r="C1472" s="51">
        <v>1.015</v>
      </c>
      <c r="D1472" s="51">
        <v>65.0</v>
      </c>
      <c r="E1472" s="52" t="s">
        <v>25</v>
      </c>
      <c r="F1472" s="52" t="s">
        <v>26</v>
      </c>
      <c r="G1472" s="53"/>
    </row>
    <row r="1473">
      <c r="A1473" s="49">
        <v>44499.921968634255</v>
      </c>
      <c r="B1473" s="50">
        <v>44500.046901412</v>
      </c>
      <c r="C1473" s="51">
        <v>1.014</v>
      </c>
      <c r="D1473" s="51">
        <v>65.0</v>
      </c>
      <c r="E1473" s="52" t="s">
        <v>25</v>
      </c>
      <c r="F1473" s="52" t="s">
        <v>26</v>
      </c>
      <c r="G1473" s="53"/>
    </row>
    <row r="1474">
      <c r="A1474" s="49">
        <v>44499.93235043982</v>
      </c>
      <c r="B1474" s="50">
        <v>44500.0573239583</v>
      </c>
      <c r="C1474" s="51">
        <v>1.014</v>
      </c>
      <c r="D1474" s="51">
        <v>65.0</v>
      </c>
      <c r="E1474" s="52" t="s">
        <v>25</v>
      </c>
      <c r="F1474" s="52" t="s">
        <v>26</v>
      </c>
      <c r="G1474" s="53"/>
    </row>
    <row r="1475">
      <c r="A1475" s="49">
        <v>44499.942774027775</v>
      </c>
      <c r="B1475" s="50">
        <v>44500.0677441782</v>
      </c>
      <c r="C1475" s="51">
        <v>1.014</v>
      </c>
      <c r="D1475" s="51">
        <v>65.0</v>
      </c>
      <c r="E1475" s="52" t="s">
        <v>25</v>
      </c>
      <c r="F1475" s="52" t="s">
        <v>26</v>
      </c>
      <c r="G1475" s="53"/>
    </row>
    <row r="1476">
      <c r="A1476" s="49">
        <v>44499.953202453704</v>
      </c>
      <c r="B1476" s="50">
        <v>44500.078176574</v>
      </c>
      <c r="C1476" s="51">
        <v>1.014</v>
      </c>
      <c r="D1476" s="51">
        <v>65.0</v>
      </c>
      <c r="E1476" s="52" t="s">
        <v>25</v>
      </c>
      <c r="F1476" s="52" t="s">
        <v>26</v>
      </c>
      <c r="G1476" s="53"/>
    </row>
    <row r="1477">
      <c r="A1477" s="49">
        <v>44499.96362496528</v>
      </c>
      <c r="B1477" s="50">
        <v>44500.0885969791</v>
      </c>
      <c r="C1477" s="51">
        <v>1.014</v>
      </c>
      <c r="D1477" s="51">
        <v>65.0</v>
      </c>
      <c r="E1477" s="52" t="s">
        <v>25</v>
      </c>
      <c r="F1477" s="52" t="s">
        <v>26</v>
      </c>
      <c r="G1477" s="53"/>
    </row>
    <row r="1478">
      <c r="A1478" s="49">
        <v>44499.97405454861</v>
      </c>
      <c r="B1478" s="50">
        <v>44500.0990183564</v>
      </c>
      <c r="C1478" s="51">
        <v>1.015</v>
      </c>
      <c r="D1478" s="51">
        <v>65.0</v>
      </c>
      <c r="E1478" s="52" t="s">
        <v>25</v>
      </c>
      <c r="F1478" s="52" t="s">
        <v>26</v>
      </c>
      <c r="G1478" s="53"/>
    </row>
    <row r="1479">
      <c r="A1479" s="49">
        <v>44499.98447880787</v>
      </c>
      <c r="B1479" s="50">
        <v>44500.1094412268</v>
      </c>
      <c r="C1479" s="51">
        <v>1.014</v>
      </c>
      <c r="D1479" s="51">
        <v>65.0</v>
      </c>
      <c r="E1479" s="52" t="s">
        <v>25</v>
      </c>
      <c r="F1479" s="52" t="s">
        <v>26</v>
      </c>
      <c r="G1479" s="53"/>
    </row>
    <row r="1480">
      <c r="A1480" s="49">
        <v>44499.99490077546</v>
      </c>
      <c r="B1480" s="50">
        <v>44500.1198740162</v>
      </c>
      <c r="C1480" s="51">
        <v>1.014</v>
      </c>
      <c r="D1480" s="51">
        <v>65.0</v>
      </c>
      <c r="E1480" s="52" t="s">
        <v>25</v>
      </c>
      <c r="F1480" s="52" t="s">
        <v>26</v>
      </c>
      <c r="G1480" s="53"/>
    </row>
    <row r="1481">
      <c r="A1481" s="49">
        <v>44500.00532931713</v>
      </c>
      <c r="B1481" s="50">
        <v>44500.1302952083</v>
      </c>
      <c r="C1481" s="51">
        <v>1.014</v>
      </c>
      <c r="D1481" s="51">
        <v>65.0</v>
      </c>
      <c r="E1481" s="52" t="s">
        <v>25</v>
      </c>
      <c r="F1481" s="52" t="s">
        <v>26</v>
      </c>
      <c r="G1481" s="53"/>
    </row>
    <row r="1482">
      <c r="A1482" s="49">
        <v>44500.0157462037</v>
      </c>
      <c r="B1482" s="50">
        <v>44500.1407165393</v>
      </c>
      <c r="C1482" s="51">
        <v>1.015</v>
      </c>
      <c r="D1482" s="51">
        <v>65.0</v>
      </c>
      <c r="E1482" s="52" t="s">
        <v>25</v>
      </c>
      <c r="F1482" s="52" t="s">
        <v>26</v>
      </c>
      <c r="G1482" s="53"/>
    </row>
    <row r="1483">
      <c r="A1483" s="49">
        <v>44500.0261694213</v>
      </c>
      <c r="B1483" s="50">
        <v>44500.1511370023</v>
      </c>
      <c r="C1483" s="51">
        <v>1.015</v>
      </c>
      <c r="D1483" s="51">
        <v>65.0</v>
      </c>
      <c r="E1483" s="52" t="s">
        <v>25</v>
      </c>
      <c r="F1483" s="52" t="s">
        <v>26</v>
      </c>
      <c r="G1483" s="53"/>
    </row>
    <row r="1484">
      <c r="A1484" s="49">
        <v>44500.036587083334</v>
      </c>
      <c r="B1484" s="50">
        <v>44500.161556574</v>
      </c>
      <c r="C1484" s="51">
        <v>1.015</v>
      </c>
      <c r="D1484" s="51">
        <v>65.0</v>
      </c>
      <c r="E1484" s="52" t="s">
        <v>25</v>
      </c>
      <c r="F1484" s="52" t="s">
        <v>26</v>
      </c>
      <c r="G1484" s="53"/>
    </row>
    <row r="1485">
      <c r="A1485" s="49">
        <v>44500.04700605324</v>
      </c>
      <c r="B1485" s="50">
        <v>44500.1719766088</v>
      </c>
      <c r="C1485" s="51">
        <v>1.015</v>
      </c>
      <c r="D1485" s="51">
        <v>65.0</v>
      </c>
      <c r="E1485" s="52" t="s">
        <v>25</v>
      </c>
      <c r="F1485" s="52" t="s">
        <v>26</v>
      </c>
      <c r="G1485" s="53"/>
    </row>
    <row r="1486">
      <c r="A1486" s="49">
        <v>44500.05743540509</v>
      </c>
      <c r="B1486" s="50">
        <v>44500.1824096064</v>
      </c>
      <c r="C1486" s="51">
        <v>1.015</v>
      </c>
      <c r="D1486" s="51">
        <v>65.0</v>
      </c>
      <c r="E1486" s="52" t="s">
        <v>25</v>
      </c>
      <c r="F1486" s="52" t="s">
        <v>26</v>
      </c>
      <c r="G1486" s="53"/>
    </row>
    <row r="1487">
      <c r="A1487" s="49">
        <v>44500.06786487269</v>
      </c>
      <c r="B1487" s="50">
        <v>44500.1928312963</v>
      </c>
      <c r="C1487" s="51">
        <v>1.015</v>
      </c>
      <c r="D1487" s="51">
        <v>65.0</v>
      </c>
      <c r="E1487" s="52" t="s">
        <v>25</v>
      </c>
      <c r="F1487" s="52" t="s">
        <v>26</v>
      </c>
      <c r="G1487" s="53"/>
    </row>
    <row r="1488">
      <c r="A1488" s="49">
        <v>44500.07830013889</v>
      </c>
      <c r="B1488" s="50">
        <v>44500.2032657407</v>
      </c>
      <c r="C1488" s="51">
        <v>1.015</v>
      </c>
      <c r="D1488" s="51">
        <v>65.0</v>
      </c>
      <c r="E1488" s="52" t="s">
        <v>25</v>
      </c>
      <c r="F1488" s="52" t="s">
        <v>26</v>
      </c>
      <c r="G1488" s="53"/>
    </row>
    <row r="1489">
      <c r="A1489" s="49">
        <v>44500.08872090278</v>
      </c>
      <c r="B1489" s="50">
        <v>44500.2136871064</v>
      </c>
      <c r="C1489" s="51">
        <v>1.015</v>
      </c>
      <c r="D1489" s="51">
        <v>65.0</v>
      </c>
      <c r="E1489" s="52" t="s">
        <v>25</v>
      </c>
      <c r="F1489" s="52" t="s">
        <v>26</v>
      </c>
      <c r="G1489" s="53"/>
    </row>
    <row r="1490">
      <c r="A1490" s="49">
        <v>44500.09913847222</v>
      </c>
      <c r="B1490" s="50">
        <v>44500.2241062037</v>
      </c>
      <c r="C1490" s="51">
        <v>1.015</v>
      </c>
      <c r="D1490" s="51">
        <v>65.0</v>
      </c>
      <c r="E1490" s="52" t="s">
        <v>25</v>
      </c>
      <c r="F1490" s="52" t="s">
        <v>26</v>
      </c>
      <c r="G1490" s="53"/>
    </row>
    <row r="1491">
      <c r="A1491" s="49">
        <v>44500.10955916667</v>
      </c>
      <c r="B1491" s="50">
        <v>44500.2345285879</v>
      </c>
      <c r="C1491" s="51">
        <v>1.015</v>
      </c>
      <c r="D1491" s="51">
        <v>65.0</v>
      </c>
      <c r="E1491" s="52" t="s">
        <v>25</v>
      </c>
      <c r="F1491" s="52" t="s">
        <v>26</v>
      </c>
      <c r="G1491" s="53"/>
    </row>
    <row r="1492">
      <c r="A1492" s="49">
        <v>44500.11997516204</v>
      </c>
      <c r="B1492" s="50">
        <v>44500.2449501041</v>
      </c>
      <c r="C1492" s="51">
        <v>1.015</v>
      </c>
      <c r="D1492" s="51">
        <v>65.0</v>
      </c>
      <c r="E1492" s="52" t="s">
        <v>25</v>
      </c>
      <c r="F1492" s="52" t="s">
        <v>26</v>
      </c>
      <c r="G1492" s="53"/>
    </row>
    <row r="1493">
      <c r="A1493" s="49">
        <v>44500.13040746527</v>
      </c>
      <c r="B1493" s="50">
        <v>44500.2553717361</v>
      </c>
      <c r="C1493" s="51">
        <v>1.015</v>
      </c>
      <c r="D1493" s="51">
        <v>65.0</v>
      </c>
      <c r="E1493" s="52" t="s">
        <v>25</v>
      </c>
      <c r="F1493" s="52" t="s">
        <v>26</v>
      </c>
      <c r="G1493" s="53"/>
    </row>
    <row r="1494">
      <c r="A1494" s="49">
        <v>44500.14082645833</v>
      </c>
      <c r="B1494" s="50">
        <v>44500.2657930902</v>
      </c>
      <c r="C1494" s="51">
        <v>1.015</v>
      </c>
      <c r="D1494" s="51">
        <v>65.0</v>
      </c>
      <c r="E1494" s="52" t="s">
        <v>25</v>
      </c>
      <c r="F1494" s="52" t="s">
        <v>26</v>
      </c>
      <c r="G1494" s="53"/>
    </row>
    <row r="1495">
      <c r="A1495" s="49">
        <v>44500.15124832176</v>
      </c>
      <c r="B1495" s="50">
        <v>44500.2762145023</v>
      </c>
      <c r="C1495" s="51">
        <v>1.015</v>
      </c>
      <c r="D1495" s="51">
        <v>65.0</v>
      </c>
      <c r="E1495" s="52" t="s">
        <v>25</v>
      </c>
      <c r="F1495" s="52" t="s">
        <v>26</v>
      </c>
      <c r="G1495" s="53"/>
    </row>
    <row r="1496">
      <c r="A1496" s="49">
        <v>44500.161664722225</v>
      </c>
      <c r="B1496" s="50">
        <v>44500.2866348842</v>
      </c>
      <c r="C1496" s="51">
        <v>1.015</v>
      </c>
      <c r="D1496" s="51">
        <v>65.0</v>
      </c>
      <c r="E1496" s="52" t="s">
        <v>25</v>
      </c>
      <c r="F1496" s="52" t="s">
        <v>26</v>
      </c>
      <c r="G1496" s="53"/>
    </row>
    <row r="1497">
      <c r="A1497" s="49">
        <v>44500.17208280093</v>
      </c>
      <c r="B1497" s="50">
        <v>44500.2970571064</v>
      </c>
      <c r="C1497" s="51">
        <v>1.015</v>
      </c>
      <c r="D1497" s="51">
        <v>65.0</v>
      </c>
      <c r="E1497" s="52" t="s">
        <v>25</v>
      </c>
      <c r="F1497" s="52" t="s">
        <v>26</v>
      </c>
      <c r="G1497" s="53"/>
    </row>
    <row r="1498">
      <c r="A1498" s="49">
        <v>44500.18251185185</v>
      </c>
      <c r="B1498" s="50">
        <v>44500.3074783217</v>
      </c>
      <c r="C1498" s="51">
        <v>1.015</v>
      </c>
      <c r="D1498" s="51">
        <v>65.0</v>
      </c>
      <c r="E1498" s="52" t="s">
        <v>25</v>
      </c>
      <c r="F1498" s="52" t="s">
        <v>26</v>
      </c>
      <c r="G1498" s="53"/>
    </row>
    <row r="1499">
      <c r="A1499" s="49">
        <v>44500.192939444445</v>
      </c>
      <c r="B1499" s="50">
        <v>44500.3178990393</v>
      </c>
      <c r="C1499" s="51">
        <v>1.015</v>
      </c>
      <c r="D1499" s="51">
        <v>65.0</v>
      </c>
      <c r="E1499" s="52" t="s">
        <v>25</v>
      </c>
      <c r="F1499" s="52" t="s">
        <v>26</v>
      </c>
      <c r="G1499" s="53"/>
    </row>
    <row r="1500">
      <c r="A1500" s="49">
        <v>44500.20336189815</v>
      </c>
      <c r="B1500" s="50">
        <v>44500.3283328125</v>
      </c>
      <c r="C1500" s="51">
        <v>1.015</v>
      </c>
      <c r="D1500" s="51">
        <v>65.0</v>
      </c>
      <c r="E1500" s="52" t="s">
        <v>25</v>
      </c>
      <c r="F1500" s="52" t="s">
        <v>26</v>
      </c>
      <c r="G1500" s="53"/>
    </row>
    <row r="1501">
      <c r="A1501" s="49">
        <v>44500.213814629635</v>
      </c>
      <c r="B1501" s="50">
        <v>44500.3387885416</v>
      </c>
      <c r="C1501" s="51">
        <v>1.014</v>
      </c>
      <c r="D1501" s="51">
        <v>65.0</v>
      </c>
      <c r="E1501" s="52" t="s">
        <v>25</v>
      </c>
      <c r="F1501" s="52" t="s">
        <v>26</v>
      </c>
      <c r="G1501" s="53"/>
    </row>
    <row r="1502">
      <c r="A1502" s="49">
        <v>44500.22423890047</v>
      </c>
      <c r="B1502" s="50">
        <v>44500.3492061574</v>
      </c>
      <c r="C1502" s="51">
        <v>1.014</v>
      </c>
      <c r="D1502" s="51">
        <v>65.0</v>
      </c>
      <c r="E1502" s="52" t="s">
        <v>25</v>
      </c>
      <c r="F1502" s="52" t="s">
        <v>26</v>
      </c>
      <c r="G1502" s="53"/>
    </row>
    <row r="1503">
      <c r="A1503" s="49">
        <v>44500.234659375</v>
      </c>
      <c r="B1503" s="50">
        <v>44500.3596278588</v>
      </c>
      <c r="C1503" s="51">
        <v>1.014</v>
      </c>
      <c r="D1503" s="51">
        <v>65.0</v>
      </c>
      <c r="E1503" s="52" t="s">
        <v>25</v>
      </c>
      <c r="F1503" s="52" t="s">
        <v>26</v>
      </c>
      <c r="G1503" s="53"/>
    </row>
    <row r="1504">
      <c r="A1504" s="49">
        <v>44500.24508013889</v>
      </c>
      <c r="B1504" s="50">
        <v>44500.3700473263</v>
      </c>
      <c r="C1504" s="51">
        <v>1.013</v>
      </c>
      <c r="D1504" s="51">
        <v>65.0</v>
      </c>
      <c r="E1504" s="52" t="s">
        <v>25</v>
      </c>
      <c r="F1504" s="52" t="s">
        <v>26</v>
      </c>
      <c r="G1504" s="53"/>
    </row>
    <row r="1505">
      <c r="A1505" s="49">
        <v>44500.25549981481</v>
      </c>
      <c r="B1505" s="50">
        <v>44500.3804690277</v>
      </c>
      <c r="C1505" s="51">
        <v>1.014</v>
      </c>
      <c r="D1505" s="51">
        <v>65.0</v>
      </c>
      <c r="E1505" s="52" t="s">
        <v>25</v>
      </c>
      <c r="F1505" s="52" t="s">
        <v>26</v>
      </c>
      <c r="G1505" s="53"/>
    </row>
    <row r="1506">
      <c r="A1506" s="49">
        <v>44500.26592798611</v>
      </c>
      <c r="B1506" s="50">
        <v>44500.390890706</v>
      </c>
      <c r="C1506" s="51">
        <v>1.014</v>
      </c>
      <c r="D1506" s="51">
        <v>65.0</v>
      </c>
      <c r="E1506" s="52" t="s">
        <v>25</v>
      </c>
      <c r="F1506" s="52" t="s">
        <v>26</v>
      </c>
      <c r="G1506" s="53"/>
    </row>
    <row r="1507">
      <c r="A1507" s="49">
        <v>44500.276344375</v>
      </c>
      <c r="B1507" s="50">
        <v>44500.4013128125</v>
      </c>
      <c r="C1507" s="51">
        <v>1.014</v>
      </c>
      <c r="D1507" s="51">
        <v>65.0</v>
      </c>
      <c r="E1507" s="52" t="s">
        <v>25</v>
      </c>
      <c r="F1507" s="52" t="s">
        <v>26</v>
      </c>
      <c r="G1507" s="53"/>
    </row>
    <row r="1508">
      <c r="A1508" s="49">
        <v>44500.28676599537</v>
      </c>
      <c r="B1508" s="50">
        <v>44500.4117342939</v>
      </c>
      <c r="C1508" s="51">
        <v>1.015</v>
      </c>
      <c r="D1508" s="51">
        <v>65.0</v>
      </c>
      <c r="E1508" s="52" t="s">
        <v>25</v>
      </c>
      <c r="F1508" s="52" t="s">
        <v>26</v>
      </c>
      <c r="G1508" s="53"/>
    </row>
    <row r="1509">
      <c r="A1509" s="49">
        <v>44500.29720223379</v>
      </c>
      <c r="B1509" s="50">
        <v>44500.4221671875</v>
      </c>
      <c r="C1509" s="51">
        <v>1.015</v>
      </c>
      <c r="D1509" s="51">
        <v>65.0</v>
      </c>
      <c r="E1509" s="52" t="s">
        <v>25</v>
      </c>
      <c r="F1509" s="52" t="s">
        <v>26</v>
      </c>
      <c r="G1509" s="53"/>
    </row>
    <row r="1510">
      <c r="A1510" s="49">
        <v>44500.307619178246</v>
      </c>
      <c r="B1510" s="50">
        <v>44500.4325859838</v>
      </c>
      <c r="C1510" s="51">
        <v>1.015</v>
      </c>
      <c r="D1510" s="51">
        <v>65.0</v>
      </c>
      <c r="E1510" s="52" t="s">
        <v>25</v>
      </c>
      <c r="F1510" s="52" t="s">
        <v>26</v>
      </c>
      <c r="G1510" s="53"/>
    </row>
    <row r="1511">
      <c r="A1511" s="49">
        <v>44500.31802877315</v>
      </c>
      <c r="B1511" s="50">
        <v>44500.4430050925</v>
      </c>
      <c r="C1511" s="51">
        <v>1.015</v>
      </c>
      <c r="D1511" s="51">
        <v>65.0</v>
      </c>
      <c r="E1511" s="52" t="s">
        <v>25</v>
      </c>
      <c r="F1511" s="52" t="s">
        <v>26</v>
      </c>
      <c r="G1511" s="53"/>
    </row>
    <row r="1512">
      <c r="A1512" s="49">
        <v>44500.32845903935</v>
      </c>
      <c r="B1512" s="50">
        <v>44500.4534270138</v>
      </c>
      <c r="C1512" s="51">
        <v>1.015</v>
      </c>
      <c r="D1512" s="51">
        <v>65.0</v>
      </c>
      <c r="E1512" s="52" t="s">
        <v>25</v>
      </c>
      <c r="F1512" s="52" t="s">
        <v>26</v>
      </c>
      <c r="G1512" s="53"/>
    </row>
    <row r="1513">
      <c r="A1513" s="49">
        <v>44500.338880752315</v>
      </c>
      <c r="B1513" s="50">
        <v>44500.4638490856</v>
      </c>
      <c r="C1513" s="51">
        <v>1.015</v>
      </c>
      <c r="D1513" s="51">
        <v>65.0</v>
      </c>
      <c r="E1513" s="52" t="s">
        <v>25</v>
      </c>
      <c r="F1513" s="52" t="s">
        <v>26</v>
      </c>
      <c r="G1513" s="53"/>
    </row>
    <row r="1514">
      <c r="A1514" s="49">
        <v>44500.34930515046</v>
      </c>
      <c r="B1514" s="50">
        <v>44500.474281875</v>
      </c>
      <c r="C1514" s="51">
        <v>1.015</v>
      </c>
      <c r="D1514" s="51">
        <v>65.0</v>
      </c>
      <c r="E1514" s="52" t="s">
        <v>25</v>
      </c>
      <c r="F1514" s="52" t="s">
        <v>26</v>
      </c>
      <c r="G1514" s="53"/>
    </row>
    <row r="1515">
      <c r="A1515" s="49">
        <v>44500.35974103009</v>
      </c>
      <c r="B1515" s="50">
        <v>44500.4847029282</v>
      </c>
      <c r="C1515" s="51">
        <v>1.015</v>
      </c>
      <c r="D1515" s="51">
        <v>65.0</v>
      </c>
      <c r="E1515" s="52" t="s">
        <v>25</v>
      </c>
      <c r="F1515" s="52" t="s">
        <v>26</v>
      </c>
      <c r="G1515" s="53"/>
    </row>
    <row r="1516">
      <c r="A1516" s="49">
        <v>44500.37015613426</v>
      </c>
      <c r="B1516" s="50">
        <v>44500.4951241203</v>
      </c>
      <c r="C1516" s="51">
        <v>1.015</v>
      </c>
      <c r="D1516" s="51">
        <v>65.0</v>
      </c>
      <c r="E1516" s="52" t="s">
        <v>25</v>
      </c>
      <c r="F1516" s="52" t="s">
        <v>26</v>
      </c>
      <c r="G1516" s="53"/>
    </row>
    <row r="1517">
      <c r="A1517" s="49">
        <v>44500.38058465278</v>
      </c>
      <c r="B1517" s="50">
        <v>44500.5055448263</v>
      </c>
      <c r="C1517" s="51">
        <v>1.015</v>
      </c>
      <c r="D1517" s="51">
        <v>65.0</v>
      </c>
      <c r="E1517" s="52" t="s">
        <v>25</v>
      </c>
      <c r="F1517" s="52" t="s">
        <v>26</v>
      </c>
      <c r="G1517" s="53"/>
    </row>
    <row r="1518">
      <c r="A1518" s="49">
        <v>44500.39099935185</v>
      </c>
      <c r="B1518" s="50">
        <v>44500.5159659606</v>
      </c>
      <c r="C1518" s="51">
        <v>1.015</v>
      </c>
      <c r="D1518" s="51">
        <v>65.0</v>
      </c>
      <c r="E1518" s="52" t="s">
        <v>25</v>
      </c>
      <c r="F1518" s="52" t="s">
        <v>26</v>
      </c>
      <c r="G1518" s="53"/>
    </row>
    <row r="1519">
      <c r="A1519" s="49">
        <v>44500.401429108795</v>
      </c>
      <c r="B1519" s="50">
        <v>44500.5263980671</v>
      </c>
      <c r="C1519" s="51">
        <v>1.015</v>
      </c>
      <c r="D1519" s="51">
        <v>65.0</v>
      </c>
      <c r="E1519" s="52" t="s">
        <v>25</v>
      </c>
      <c r="F1519" s="52" t="s">
        <v>26</v>
      </c>
      <c r="G1519" s="53"/>
    </row>
    <row r="1520">
      <c r="A1520" s="49">
        <v>44500.41184803241</v>
      </c>
      <c r="B1520" s="50">
        <v>44500.5368191666</v>
      </c>
      <c r="C1520" s="51">
        <v>1.015</v>
      </c>
      <c r="D1520" s="51">
        <v>65.0</v>
      </c>
      <c r="E1520" s="52" t="s">
        <v>25</v>
      </c>
      <c r="F1520" s="52" t="s">
        <v>26</v>
      </c>
      <c r="G1520" s="53"/>
    </row>
    <row r="1521">
      <c r="A1521" s="49">
        <v>44500.42226652778</v>
      </c>
      <c r="B1521" s="50">
        <v>44500.5472390046</v>
      </c>
      <c r="C1521" s="51">
        <v>1.014</v>
      </c>
      <c r="D1521" s="51">
        <v>65.0</v>
      </c>
      <c r="E1521" s="52" t="s">
        <v>25</v>
      </c>
      <c r="F1521" s="52" t="s">
        <v>26</v>
      </c>
      <c r="G1521" s="53"/>
    </row>
    <row r="1522">
      <c r="A1522" s="49">
        <v>44500.43268820602</v>
      </c>
      <c r="B1522" s="50">
        <v>44500.5576600578</v>
      </c>
      <c r="C1522" s="51">
        <v>1.014</v>
      </c>
      <c r="D1522" s="51">
        <v>65.0</v>
      </c>
      <c r="E1522" s="52" t="s">
        <v>25</v>
      </c>
      <c r="F1522" s="52" t="s">
        <v>26</v>
      </c>
      <c r="G1522" s="53"/>
    </row>
    <row r="1523">
      <c r="A1523" s="49">
        <v>44500.44310158565</v>
      </c>
      <c r="B1523" s="50">
        <v>44500.5680811805</v>
      </c>
      <c r="C1523" s="51">
        <v>1.014</v>
      </c>
      <c r="D1523" s="51">
        <v>65.0</v>
      </c>
      <c r="E1523" s="52" t="s">
        <v>25</v>
      </c>
      <c r="F1523" s="52" t="s">
        <v>26</v>
      </c>
      <c r="G1523" s="53"/>
    </row>
    <row r="1524">
      <c r="A1524" s="49">
        <v>44500.45353466435</v>
      </c>
      <c r="B1524" s="50">
        <v>44500.5785034375</v>
      </c>
      <c r="C1524" s="51">
        <v>1.015</v>
      </c>
      <c r="D1524" s="51">
        <v>65.0</v>
      </c>
      <c r="E1524" s="52" t="s">
        <v>25</v>
      </c>
      <c r="F1524" s="52" t="s">
        <v>26</v>
      </c>
      <c r="G1524" s="53"/>
    </row>
    <row r="1525">
      <c r="A1525" s="49">
        <v>44500.46397027778</v>
      </c>
      <c r="B1525" s="50">
        <v>44500.588935243</v>
      </c>
      <c r="C1525" s="51">
        <v>1.014</v>
      </c>
      <c r="D1525" s="51">
        <v>65.0</v>
      </c>
      <c r="E1525" s="52" t="s">
        <v>25</v>
      </c>
      <c r="F1525" s="52" t="s">
        <v>26</v>
      </c>
      <c r="G1525" s="53"/>
    </row>
    <row r="1526">
      <c r="A1526" s="49">
        <v>44500.47439130787</v>
      </c>
      <c r="B1526" s="50">
        <v>44500.5993683564</v>
      </c>
      <c r="C1526" s="51">
        <v>1.015</v>
      </c>
      <c r="D1526" s="51">
        <v>65.0</v>
      </c>
      <c r="E1526" s="52" t="s">
        <v>25</v>
      </c>
      <c r="F1526" s="52" t="s">
        <v>26</v>
      </c>
      <c r="G1526" s="53"/>
    </row>
    <row r="1527">
      <c r="A1527" s="49">
        <v>44500.48483155093</v>
      </c>
      <c r="B1527" s="50">
        <v>44500.609800787</v>
      </c>
      <c r="C1527" s="51">
        <v>1.015</v>
      </c>
      <c r="D1527" s="51">
        <v>65.0</v>
      </c>
      <c r="E1527" s="52" t="s">
        <v>25</v>
      </c>
      <c r="F1527" s="52" t="s">
        <v>26</v>
      </c>
      <c r="G1527" s="53"/>
    </row>
    <row r="1528">
      <c r="A1528" s="49">
        <v>44500.495253182875</v>
      </c>
      <c r="B1528" s="50">
        <v>44500.6202218518</v>
      </c>
      <c r="C1528" s="51">
        <v>1.015</v>
      </c>
      <c r="D1528" s="51">
        <v>65.0</v>
      </c>
      <c r="E1528" s="52" t="s">
        <v>25</v>
      </c>
      <c r="F1528" s="52" t="s">
        <v>26</v>
      </c>
      <c r="G1528" s="53"/>
    </row>
    <row r="1529">
      <c r="A1529" s="49">
        <v>44500.50567342593</v>
      </c>
      <c r="B1529" s="50">
        <v>44500.6306435995</v>
      </c>
      <c r="C1529" s="51">
        <v>1.014</v>
      </c>
      <c r="D1529" s="51">
        <v>65.0</v>
      </c>
      <c r="E1529" s="52" t="s">
        <v>25</v>
      </c>
      <c r="F1529" s="52" t="s">
        <v>26</v>
      </c>
      <c r="G1529" s="53"/>
    </row>
    <row r="1530">
      <c r="A1530" s="49">
        <v>44500.51610607639</v>
      </c>
      <c r="B1530" s="50">
        <v>44500.6410756712</v>
      </c>
      <c r="C1530" s="51">
        <v>1.015</v>
      </c>
      <c r="D1530" s="51">
        <v>65.0</v>
      </c>
      <c r="E1530" s="52" t="s">
        <v>25</v>
      </c>
      <c r="F1530" s="52" t="s">
        <v>26</v>
      </c>
      <c r="G1530" s="53"/>
    </row>
    <row r="1531">
      <c r="A1531" s="49">
        <v>44500.52653667824</v>
      </c>
      <c r="B1531" s="50">
        <v>44500.6514972685</v>
      </c>
      <c r="C1531" s="51">
        <v>1.015</v>
      </c>
      <c r="D1531" s="51">
        <v>65.0</v>
      </c>
      <c r="E1531" s="52" t="s">
        <v>25</v>
      </c>
      <c r="F1531" s="52" t="s">
        <v>26</v>
      </c>
      <c r="G1531" s="53"/>
    </row>
    <row r="1532">
      <c r="A1532" s="49">
        <v>44500.53694684028</v>
      </c>
      <c r="B1532" s="50">
        <v>44500.6619181018</v>
      </c>
      <c r="C1532" s="51">
        <v>1.015</v>
      </c>
      <c r="D1532" s="51">
        <v>65.0</v>
      </c>
      <c r="E1532" s="52" t="s">
        <v>25</v>
      </c>
      <c r="F1532" s="52" t="s">
        <v>26</v>
      </c>
      <c r="G1532" s="53"/>
    </row>
    <row r="1533">
      <c r="A1533" s="49">
        <v>44500.54736523148</v>
      </c>
      <c r="B1533" s="50">
        <v>44500.6723391666</v>
      </c>
      <c r="C1533" s="51">
        <v>1.015</v>
      </c>
      <c r="D1533" s="51">
        <v>65.0</v>
      </c>
      <c r="E1533" s="52" t="s">
        <v>25</v>
      </c>
      <c r="F1533" s="52" t="s">
        <v>26</v>
      </c>
      <c r="G1533" s="53"/>
    </row>
    <row r="1534">
      <c r="A1534" s="49">
        <v>44500.55780385417</v>
      </c>
      <c r="B1534" s="50">
        <v>44500.682761331</v>
      </c>
      <c r="C1534" s="51">
        <v>1.015</v>
      </c>
      <c r="D1534" s="51">
        <v>65.0</v>
      </c>
      <c r="E1534" s="52" t="s">
        <v>25</v>
      </c>
      <c r="F1534" s="52" t="s">
        <v>26</v>
      </c>
      <c r="G1534" s="53"/>
    </row>
    <row r="1535">
      <c r="A1535" s="49">
        <v>44500.56822084491</v>
      </c>
      <c r="B1535" s="50">
        <v>44500.6931818634</v>
      </c>
      <c r="C1535" s="51">
        <v>1.015</v>
      </c>
      <c r="D1535" s="51">
        <v>65.0</v>
      </c>
      <c r="E1535" s="52" t="s">
        <v>25</v>
      </c>
      <c r="F1535" s="52" t="s">
        <v>26</v>
      </c>
      <c r="G1535" s="53"/>
    </row>
    <row r="1536">
      <c r="A1536" s="49">
        <v>44500.57863892362</v>
      </c>
      <c r="B1536" s="50">
        <v>44500.7036018287</v>
      </c>
      <c r="C1536" s="51">
        <v>1.015</v>
      </c>
      <c r="D1536" s="51">
        <v>65.0</v>
      </c>
      <c r="E1536" s="52" t="s">
        <v>25</v>
      </c>
      <c r="F1536" s="52" t="s">
        <v>26</v>
      </c>
      <c r="G1536" s="53"/>
    </row>
    <row r="1537">
      <c r="A1537" s="49">
        <v>44500.5890519213</v>
      </c>
      <c r="B1537" s="50">
        <v>44500.7140206944</v>
      </c>
      <c r="C1537" s="51">
        <v>1.015</v>
      </c>
      <c r="D1537" s="51">
        <v>65.0</v>
      </c>
      <c r="E1537" s="52" t="s">
        <v>25</v>
      </c>
      <c r="F1537" s="52" t="s">
        <v>26</v>
      </c>
      <c r="G1537" s="53"/>
    </row>
    <row r="1538">
      <c r="A1538" s="49">
        <v>44500.59951576389</v>
      </c>
      <c r="B1538" s="50">
        <v>44500.7244790625</v>
      </c>
      <c r="C1538" s="51">
        <v>1.015</v>
      </c>
      <c r="D1538" s="51">
        <v>65.0</v>
      </c>
      <c r="E1538" s="52" t="s">
        <v>25</v>
      </c>
      <c r="F1538" s="52" t="s">
        <v>26</v>
      </c>
      <c r="G1538" s="53"/>
    </row>
    <row r="1539">
      <c r="A1539" s="49">
        <v>44500.60993261574</v>
      </c>
      <c r="B1539" s="50">
        <v>44500.7348989814</v>
      </c>
      <c r="C1539" s="51">
        <v>1.015</v>
      </c>
      <c r="D1539" s="51">
        <v>65.0</v>
      </c>
      <c r="E1539" s="52" t="s">
        <v>25</v>
      </c>
      <c r="F1539" s="52" t="s">
        <v>26</v>
      </c>
      <c r="G1539" s="53"/>
    </row>
    <row r="1540">
      <c r="A1540" s="49">
        <v>44500.62035251157</v>
      </c>
      <c r="B1540" s="50">
        <v>44500.7453188541</v>
      </c>
      <c r="C1540" s="51">
        <v>1.014</v>
      </c>
      <c r="D1540" s="51">
        <v>65.0</v>
      </c>
      <c r="E1540" s="52" t="s">
        <v>25</v>
      </c>
      <c r="F1540" s="52" t="s">
        <v>26</v>
      </c>
      <c r="G1540" s="53"/>
    </row>
    <row r="1541">
      <c r="A1541" s="49">
        <v>44500.630775150465</v>
      </c>
      <c r="B1541" s="50">
        <v>44500.7557397338</v>
      </c>
      <c r="C1541" s="51">
        <v>1.015</v>
      </c>
      <c r="D1541" s="51">
        <v>65.0</v>
      </c>
      <c r="E1541" s="52" t="s">
        <v>25</v>
      </c>
      <c r="F1541" s="52" t="s">
        <v>26</v>
      </c>
      <c r="G1541" s="53"/>
    </row>
    <row r="1542">
      <c r="A1542" s="49">
        <v>44500.641206898144</v>
      </c>
      <c r="B1542" s="50">
        <v>44500.766171493</v>
      </c>
      <c r="C1542" s="51">
        <v>1.014</v>
      </c>
      <c r="D1542" s="51">
        <v>65.0</v>
      </c>
      <c r="E1542" s="52" t="s">
        <v>25</v>
      </c>
      <c r="F1542" s="52" t="s">
        <v>26</v>
      </c>
      <c r="G1542" s="53"/>
    </row>
    <row r="1543">
      <c r="A1543" s="49">
        <v>44500.65163170139</v>
      </c>
      <c r="B1543" s="50">
        <v>44500.7766036226</v>
      </c>
      <c r="C1543" s="51">
        <v>1.015</v>
      </c>
      <c r="D1543" s="51">
        <v>65.0</v>
      </c>
      <c r="E1543" s="52" t="s">
        <v>25</v>
      </c>
      <c r="F1543" s="52" t="s">
        <v>26</v>
      </c>
      <c r="G1543" s="53"/>
    </row>
    <row r="1544">
      <c r="A1544" s="49">
        <v>44500.66206313657</v>
      </c>
      <c r="B1544" s="50">
        <v>44500.787024699</v>
      </c>
      <c r="C1544" s="51">
        <v>1.014</v>
      </c>
      <c r="D1544" s="51">
        <v>65.0</v>
      </c>
      <c r="E1544" s="52" t="s">
        <v>25</v>
      </c>
      <c r="F1544" s="52" t="s">
        <v>26</v>
      </c>
      <c r="G1544" s="53"/>
    </row>
    <row r="1545">
      <c r="A1545" s="49">
        <v>44500.67248620371</v>
      </c>
      <c r="B1545" s="50">
        <v>44500.7974457175</v>
      </c>
      <c r="C1545" s="51">
        <v>1.015</v>
      </c>
      <c r="D1545" s="51">
        <v>65.0</v>
      </c>
      <c r="E1545" s="52" t="s">
        <v>25</v>
      </c>
      <c r="F1545" s="52" t="s">
        <v>26</v>
      </c>
      <c r="G1545" s="53"/>
    </row>
    <row r="1546">
      <c r="A1546" s="49">
        <v>44500.68293548611</v>
      </c>
      <c r="B1546" s="50">
        <v>44500.8078895023</v>
      </c>
      <c r="C1546" s="51">
        <v>1.014</v>
      </c>
      <c r="D1546" s="51">
        <v>65.0</v>
      </c>
      <c r="E1546" s="52" t="s">
        <v>25</v>
      </c>
      <c r="F1546" s="52" t="s">
        <v>26</v>
      </c>
      <c r="G1546" s="53"/>
    </row>
    <row r="1547">
      <c r="A1547" s="49">
        <v>44500.69335891204</v>
      </c>
      <c r="B1547" s="50">
        <v>44500.8183115972</v>
      </c>
      <c r="C1547" s="51">
        <v>1.015</v>
      </c>
      <c r="D1547" s="51">
        <v>65.0</v>
      </c>
      <c r="E1547" s="52" t="s">
        <v>25</v>
      </c>
      <c r="F1547" s="52" t="s">
        <v>26</v>
      </c>
      <c r="G1547" s="53"/>
    </row>
    <row r="1548">
      <c r="A1548" s="49">
        <v>44500.703779965275</v>
      </c>
      <c r="B1548" s="50">
        <v>44500.8287442708</v>
      </c>
      <c r="C1548" s="51">
        <v>1.015</v>
      </c>
      <c r="D1548" s="51">
        <v>65.0</v>
      </c>
      <c r="E1548" s="52" t="s">
        <v>25</v>
      </c>
      <c r="F1548" s="52" t="s">
        <v>26</v>
      </c>
      <c r="G1548" s="53"/>
    </row>
    <row r="1549">
      <c r="A1549" s="49">
        <v>44500.71420891203</v>
      </c>
      <c r="B1549" s="50">
        <v>44500.8391649768</v>
      </c>
      <c r="C1549" s="51">
        <v>1.015</v>
      </c>
      <c r="D1549" s="51">
        <v>65.0</v>
      </c>
      <c r="E1549" s="52" t="s">
        <v>25</v>
      </c>
      <c r="F1549" s="52" t="s">
        <v>26</v>
      </c>
      <c r="G1549" s="53"/>
    </row>
    <row r="1550">
      <c r="A1550" s="49">
        <v>44500.724649247684</v>
      </c>
      <c r="B1550" s="50">
        <v>44500.8496099652</v>
      </c>
      <c r="C1550" s="51">
        <v>1.015</v>
      </c>
      <c r="D1550" s="51">
        <v>65.0</v>
      </c>
      <c r="E1550" s="52" t="s">
        <v>25</v>
      </c>
      <c r="F1550" s="52" t="s">
        <v>26</v>
      </c>
      <c r="G1550" s="53"/>
    </row>
    <row r="1551">
      <c r="A1551" s="49">
        <v>44500.73506707176</v>
      </c>
      <c r="B1551" s="50">
        <v>44500.8600294907</v>
      </c>
      <c r="C1551" s="51">
        <v>1.015</v>
      </c>
      <c r="D1551" s="51">
        <v>65.0</v>
      </c>
      <c r="E1551" s="52" t="s">
        <v>25</v>
      </c>
      <c r="F1551" s="52" t="s">
        <v>26</v>
      </c>
      <c r="G1551" s="53"/>
    </row>
    <row r="1552">
      <c r="A1552" s="49">
        <v>44500.745489375</v>
      </c>
      <c r="B1552" s="50">
        <v>44500.8704517476</v>
      </c>
      <c r="C1552" s="51">
        <v>1.015</v>
      </c>
      <c r="D1552" s="51">
        <v>65.0</v>
      </c>
      <c r="E1552" s="52" t="s">
        <v>25</v>
      </c>
      <c r="F1552" s="52" t="s">
        <v>26</v>
      </c>
      <c r="G1552" s="53"/>
    </row>
    <row r="1553">
      <c r="A1553" s="49">
        <v>44500.75590440972</v>
      </c>
      <c r="B1553" s="50">
        <v>44500.8808732176</v>
      </c>
      <c r="C1553" s="51">
        <v>1.015</v>
      </c>
      <c r="D1553" s="51">
        <v>65.0</v>
      </c>
      <c r="E1553" s="52" t="s">
        <v>25</v>
      </c>
      <c r="F1553" s="52" t="s">
        <v>26</v>
      </c>
      <c r="G1553" s="53"/>
    </row>
    <row r="1554">
      <c r="A1554" s="49">
        <v>44500.76632872685</v>
      </c>
      <c r="B1554" s="50">
        <v>44500.8912934722</v>
      </c>
      <c r="C1554" s="51">
        <v>1.016</v>
      </c>
      <c r="D1554" s="51">
        <v>65.0</v>
      </c>
      <c r="E1554" s="52" t="s">
        <v>25</v>
      </c>
      <c r="F1554" s="52" t="s">
        <v>26</v>
      </c>
      <c r="G1554" s="53"/>
    </row>
    <row r="1555">
      <c r="A1555" s="49">
        <v>44500.776754363425</v>
      </c>
      <c r="B1555" s="50">
        <v>44500.9017153472</v>
      </c>
      <c r="C1555" s="51">
        <v>1.016</v>
      </c>
      <c r="D1555" s="51">
        <v>65.0</v>
      </c>
      <c r="E1555" s="52" t="s">
        <v>25</v>
      </c>
      <c r="F1555" s="52" t="s">
        <v>26</v>
      </c>
      <c r="G1555" s="53"/>
    </row>
    <row r="1556">
      <c r="A1556" s="49">
        <v>44500.787174502315</v>
      </c>
      <c r="B1556" s="50">
        <v>44500.912136875</v>
      </c>
      <c r="C1556" s="51">
        <v>1.015</v>
      </c>
      <c r="D1556" s="51">
        <v>65.0</v>
      </c>
      <c r="E1556" s="52" t="s">
        <v>25</v>
      </c>
      <c r="F1556" s="52" t="s">
        <v>26</v>
      </c>
      <c r="G1556" s="53"/>
    </row>
    <row r="1557">
      <c r="A1557" s="49">
        <v>44500.79760200232</v>
      </c>
      <c r="B1557" s="50">
        <v>44500.92255603</v>
      </c>
      <c r="C1557" s="51">
        <v>1.016</v>
      </c>
      <c r="D1557" s="51">
        <v>65.0</v>
      </c>
      <c r="E1557" s="52" t="s">
        <v>25</v>
      </c>
      <c r="F1557" s="52" t="s">
        <v>26</v>
      </c>
      <c r="G1557" s="53"/>
    </row>
    <row r="1558">
      <c r="A1558" s="49">
        <v>44500.8080103588</v>
      </c>
      <c r="B1558" s="50">
        <v>44500.9329779166</v>
      </c>
      <c r="C1558" s="51">
        <v>1.015</v>
      </c>
      <c r="D1558" s="51">
        <v>65.0</v>
      </c>
      <c r="E1558" s="52" t="s">
        <v>25</v>
      </c>
      <c r="F1558" s="52" t="s">
        <v>26</v>
      </c>
      <c r="G1558" s="53"/>
    </row>
    <row r="1559">
      <c r="A1559" s="49">
        <v>44500.81844671296</v>
      </c>
      <c r="B1559" s="50">
        <v>44500.9434095717</v>
      </c>
      <c r="C1559" s="51">
        <v>1.015</v>
      </c>
      <c r="D1559" s="51">
        <v>65.0</v>
      </c>
      <c r="E1559" s="52" t="s">
        <v>25</v>
      </c>
      <c r="F1559" s="52" t="s">
        <v>26</v>
      </c>
      <c r="G1559" s="53"/>
    </row>
    <row r="1560">
      <c r="A1560" s="49">
        <v>44500.828863622686</v>
      </c>
      <c r="B1560" s="50">
        <v>44500.9538318865</v>
      </c>
      <c r="C1560" s="51">
        <v>1.015</v>
      </c>
      <c r="D1560" s="51">
        <v>65.0</v>
      </c>
      <c r="E1560" s="52" t="s">
        <v>25</v>
      </c>
      <c r="F1560" s="52" t="s">
        <v>26</v>
      </c>
      <c r="G1560" s="53"/>
    </row>
    <row r="1561">
      <c r="A1561" s="49">
        <v>44500.83928997685</v>
      </c>
      <c r="B1561" s="50">
        <v>44500.9642521875</v>
      </c>
      <c r="C1561" s="51">
        <v>1.015</v>
      </c>
      <c r="D1561" s="51">
        <v>65.0</v>
      </c>
      <c r="E1561" s="52" t="s">
        <v>25</v>
      </c>
      <c r="F1561" s="52" t="s">
        <v>26</v>
      </c>
      <c r="G1561" s="53"/>
    </row>
    <row r="1562">
      <c r="A1562" s="49">
        <v>44500.84971342592</v>
      </c>
      <c r="B1562" s="50">
        <v>44500.9746735763</v>
      </c>
      <c r="C1562" s="51">
        <v>1.015</v>
      </c>
      <c r="D1562" s="51">
        <v>65.0</v>
      </c>
      <c r="E1562" s="52" t="s">
        <v>25</v>
      </c>
      <c r="F1562" s="52" t="s">
        <v>26</v>
      </c>
      <c r="G1562" s="53"/>
    </row>
    <row r="1563">
      <c r="A1563" s="49">
        <v>44500.86013224537</v>
      </c>
      <c r="B1563" s="50">
        <v>44500.9850933217</v>
      </c>
      <c r="C1563" s="51">
        <v>1.015</v>
      </c>
      <c r="D1563" s="51">
        <v>65.0</v>
      </c>
      <c r="E1563" s="52" t="s">
        <v>25</v>
      </c>
      <c r="F1563" s="52" t="s">
        <v>26</v>
      </c>
      <c r="G1563" s="53"/>
    </row>
    <row r="1564">
      <c r="A1564" s="49">
        <v>44500.870565543984</v>
      </c>
      <c r="B1564" s="50">
        <v>44500.9955244328</v>
      </c>
      <c r="C1564" s="51">
        <v>1.014</v>
      </c>
      <c r="D1564" s="51">
        <v>65.0</v>
      </c>
      <c r="E1564" s="52" t="s">
        <v>25</v>
      </c>
      <c r="F1564" s="52" t="s">
        <v>26</v>
      </c>
      <c r="G1564" s="53"/>
    </row>
    <row r="1565">
      <c r="A1565" s="49">
        <v>44500.880974189815</v>
      </c>
      <c r="B1565" s="50">
        <v>44501.0059455555</v>
      </c>
      <c r="C1565" s="51">
        <v>1.015</v>
      </c>
      <c r="D1565" s="51">
        <v>65.0</v>
      </c>
      <c r="E1565" s="52" t="s">
        <v>25</v>
      </c>
      <c r="F1565" s="52" t="s">
        <v>26</v>
      </c>
      <c r="G1565" s="53"/>
    </row>
    <row r="1566">
      <c r="A1566" s="49">
        <v>44500.89140716435</v>
      </c>
      <c r="B1566" s="50">
        <v>44501.0163669675</v>
      </c>
      <c r="C1566" s="51">
        <v>1.015</v>
      </c>
      <c r="D1566" s="51">
        <v>65.0</v>
      </c>
      <c r="E1566" s="52" t="s">
        <v>25</v>
      </c>
      <c r="F1566" s="52" t="s">
        <v>26</v>
      </c>
      <c r="G1566" s="53"/>
    </row>
    <row r="1567">
      <c r="A1567" s="49">
        <v>44500.90182623843</v>
      </c>
      <c r="B1567" s="50">
        <v>44501.0267861111</v>
      </c>
      <c r="C1567" s="51">
        <v>1.014</v>
      </c>
      <c r="D1567" s="51">
        <v>65.0</v>
      </c>
      <c r="E1567" s="52" t="s">
        <v>25</v>
      </c>
      <c r="F1567" s="52" t="s">
        <v>26</v>
      </c>
      <c r="G1567" s="53"/>
    </row>
    <row r="1568">
      <c r="A1568" s="49">
        <v>44500.91225109954</v>
      </c>
      <c r="B1568" s="50">
        <v>44501.0372058217</v>
      </c>
      <c r="C1568" s="51">
        <v>1.015</v>
      </c>
      <c r="D1568" s="51">
        <v>65.0</v>
      </c>
      <c r="E1568" s="52" t="s">
        <v>25</v>
      </c>
      <c r="F1568" s="52" t="s">
        <v>26</v>
      </c>
      <c r="G1568" s="53"/>
    </row>
    <row r="1569">
      <c r="A1569" s="49">
        <v>44500.922675208334</v>
      </c>
      <c r="B1569" s="50">
        <v>44501.0476270254</v>
      </c>
      <c r="C1569" s="51">
        <v>1.015</v>
      </c>
      <c r="D1569" s="51">
        <v>65.0</v>
      </c>
      <c r="E1569" s="52" t="s">
        <v>25</v>
      </c>
      <c r="F1569" s="52" t="s">
        <v>26</v>
      </c>
      <c r="G1569" s="53"/>
    </row>
    <row r="1570">
      <c r="A1570" s="49">
        <v>44500.93308953704</v>
      </c>
      <c r="B1570" s="50">
        <v>44501.0580484375</v>
      </c>
      <c r="C1570" s="51">
        <v>1.015</v>
      </c>
      <c r="D1570" s="51">
        <v>65.0</v>
      </c>
      <c r="E1570" s="52" t="s">
        <v>25</v>
      </c>
      <c r="F1570" s="52" t="s">
        <v>26</v>
      </c>
      <c r="G1570" s="53"/>
    </row>
    <row r="1571">
      <c r="A1571" s="49">
        <v>44500.94350259259</v>
      </c>
      <c r="B1571" s="50">
        <v>44501.0684712037</v>
      </c>
      <c r="C1571" s="51">
        <v>1.015</v>
      </c>
      <c r="D1571" s="51">
        <v>65.0</v>
      </c>
      <c r="E1571" s="52" t="s">
        <v>25</v>
      </c>
      <c r="F1571" s="52" t="s">
        <v>26</v>
      </c>
      <c r="G1571" s="53"/>
    </row>
    <row r="1572">
      <c r="A1572" s="49">
        <v>44500.95393261574</v>
      </c>
      <c r="B1572" s="50">
        <v>44501.0788928472</v>
      </c>
      <c r="C1572" s="51">
        <v>1.015</v>
      </c>
      <c r="D1572" s="51">
        <v>65.0</v>
      </c>
      <c r="E1572" s="52" t="s">
        <v>25</v>
      </c>
      <c r="F1572" s="52" t="s">
        <v>26</v>
      </c>
      <c r="G1572" s="53"/>
    </row>
    <row r="1573">
      <c r="A1573" s="49">
        <v>44500.9643584838</v>
      </c>
      <c r="B1573" s="50">
        <v>44501.0893148958</v>
      </c>
      <c r="C1573" s="51">
        <v>1.015</v>
      </c>
      <c r="D1573" s="51">
        <v>65.0</v>
      </c>
      <c r="E1573" s="52" t="s">
        <v>25</v>
      </c>
      <c r="F1573" s="52" t="s">
        <v>26</v>
      </c>
      <c r="G1573" s="53"/>
    </row>
    <row r="1574">
      <c r="A1574" s="49">
        <v>44500.97476938658</v>
      </c>
      <c r="B1574" s="50">
        <v>44501.099735787</v>
      </c>
      <c r="C1574" s="51">
        <v>1.014</v>
      </c>
      <c r="D1574" s="51">
        <v>65.0</v>
      </c>
      <c r="E1574" s="52" t="s">
        <v>25</v>
      </c>
      <c r="F1574" s="52" t="s">
        <v>26</v>
      </c>
      <c r="G1574" s="53"/>
    </row>
    <row r="1575">
      <c r="A1575" s="49">
        <v>44500.98518856481</v>
      </c>
      <c r="B1575" s="50">
        <v>44501.1101578472</v>
      </c>
      <c r="C1575" s="51">
        <v>1.015</v>
      </c>
      <c r="D1575" s="51">
        <v>65.0</v>
      </c>
      <c r="E1575" s="52" t="s">
        <v>25</v>
      </c>
      <c r="F1575" s="52" t="s">
        <v>26</v>
      </c>
      <c r="G1575" s="53"/>
    </row>
    <row r="1576">
      <c r="A1576" s="49">
        <v>44500.99561603009</v>
      </c>
      <c r="B1576" s="50">
        <v>44501.1205803356</v>
      </c>
      <c r="C1576" s="51">
        <v>1.015</v>
      </c>
      <c r="D1576" s="51">
        <v>65.0</v>
      </c>
      <c r="E1576" s="52" t="s">
        <v>25</v>
      </c>
      <c r="F1576" s="52" t="s">
        <v>26</v>
      </c>
      <c r="G1576" s="53"/>
    </row>
    <row r="1577">
      <c r="A1577" s="49">
        <v>44501.00604857639</v>
      </c>
      <c r="B1577" s="50">
        <v>44501.1310147222</v>
      </c>
      <c r="C1577" s="51">
        <v>1.015</v>
      </c>
      <c r="D1577" s="51">
        <v>65.0</v>
      </c>
      <c r="E1577" s="52" t="s">
        <v>25</v>
      </c>
      <c r="F1577" s="52" t="s">
        <v>26</v>
      </c>
      <c r="G1577" s="53"/>
    </row>
    <row r="1578">
      <c r="A1578" s="49">
        <v>44501.01647758102</v>
      </c>
      <c r="B1578" s="50">
        <v>44501.1414356713</v>
      </c>
      <c r="C1578" s="51">
        <v>1.015</v>
      </c>
      <c r="D1578" s="51">
        <v>65.0</v>
      </c>
      <c r="E1578" s="52" t="s">
        <v>25</v>
      </c>
      <c r="F1578" s="52" t="s">
        <v>26</v>
      </c>
      <c r="G1578" s="53"/>
    </row>
    <row r="1579">
      <c r="A1579" s="49">
        <v>44501.02691001157</v>
      </c>
      <c r="B1579" s="50">
        <v>44501.1518560648</v>
      </c>
      <c r="C1579" s="51">
        <v>1.014</v>
      </c>
      <c r="D1579" s="51">
        <v>65.0</v>
      </c>
      <c r="E1579" s="52" t="s">
        <v>25</v>
      </c>
      <c r="F1579" s="52" t="s">
        <v>26</v>
      </c>
      <c r="G1579" s="53"/>
    </row>
    <row r="1580">
      <c r="A1580" s="49">
        <v>44501.03732456018</v>
      </c>
      <c r="B1580" s="50">
        <v>44501.1622898148</v>
      </c>
      <c r="C1580" s="51">
        <v>1.014</v>
      </c>
      <c r="D1580" s="51">
        <v>65.0</v>
      </c>
      <c r="E1580" s="52" t="s">
        <v>25</v>
      </c>
      <c r="F1580" s="52" t="s">
        <v>26</v>
      </c>
      <c r="G1580" s="53"/>
    </row>
    <row r="1581">
      <c r="A1581" s="49">
        <v>44501.04774646991</v>
      </c>
      <c r="B1581" s="50">
        <v>44501.1727106481</v>
      </c>
      <c r="C1581" s="51">
        <v>1.015</v>
      </c>
      <c r="D1581" s="51">
        <v>65.0</v>
      </c>
      <c r="E1581" s="52" t="s">
        <v>25</v>
      </c>
      <c r="F1581" s="52" t="s">
        <v>26</v>
      </c>
      <c r="G1581" s="53"/>
    </row>
    <row r="1582">
      <c r="A1582" s="49">
        <v>44501.05817265046</v>
      </c>
      <c r="B1582" s="50">
        <v>44501.1831309953</v>
      </c>
      <c r="C1582" s="51">
        <v>1.014</v>
      </c>
      <c r="D1582" s="51">
        <v>65.0</v>
      </c>
      <c r="E1582" s="52" t="s">
        <v>25</v>
      </c>
      <c r="F1582" s="52" t="s">
        <v>26</v>
      </c>
      <c r="G1582" s="53"/>
    </row>
    <row r="1583">
      <c r="A1583" s="49">
        <v>44501.06859130787</v>
      </c>
      <c r="B1583" s="50">
        <v>44501.1935522453</v>
      </c>
      <c r="C1583" s="51">
        <v>1.014</v>
      </c>
      <c r="D1583" s="51">
        <v>65.0</v>
      </c>
      <c r="E1583" s="52" t="s">
        <v>25</v>
      </c>
      <c r="F1583" s="52" t="s">
        <v>26</v>
      </c>
      <c r="G1583" s="53"/>
    </row>
    <row r="1584">
      <c r="A1584" s="49">
        <v>44501.07900945602</v>
      </c>
      <c r="B1584" s="50">
        <v>44501.2039737731</v>
      </c>
      <c r="C1584" s="51">
        <v>1.014</v>
      </c>
      <c r="D1584" s="51">
        <v>65.0</v>
      </c>
      <c r="E1584" s="52" t="s">
        <v>25</v>
      </c>
      <c r="F1584" s="52" t="s">
        <v>26</v>
      </c>
      <c r="G1584" s="53"/>
    </row>
    <row r="1585">
      <c r="A1585" s="49">
        <v>44501.08942856481</v>
      </c>
      <c r="B1585" s="50">
        <v>44501.2143943171</v>
      </c>
      <c r="C1585" s="51">
        <v>1.014</v>
      </c>
      <c r="D1585" s="51">
        <v>65.0</v>
      </c>
      <c r="E1585" s="52" t="s">
        <v>25</v>
      </c>
      <c r="F1585" s="52" t="s">
        <v>26</v>
      </c>
      <c r="G1585" s="53"/>
    </row>
    <row r="1586">
      <c r="A1586" s="49">
        <v>44501.09985554398</v>
      </c>
      <c r="B1586" s="50">
        <v>44501.2248162037</v>
      </c>
      <c r="C1586" s="51">
        <v>1.014</v>
      </c>
      <c r="D1586" s="51">
        <v>65.0</v>
      </c>
      <c r="E1586" s="52" t="s">
        <v>25</v>
      </c>
      <c r="F1586" s="52" t="s">
        <v>26</v>
      </c>
      <c r="G1586" s="53"/>
    </row>
    <row r="1587">
      <c r="A1587" s="49">
        <v>44501.11030111111</v>
      </c>
      <c r="B1587" s="50">
        <v>44501.235249375</v>
      </c>
      <c r="C1587" s="51">
        <v>1.014</v>
      </c>
      <c r="D1587" s="51">
        <v>65.0</v>
      </c>
      <c r="E1587" s="52" t="s">
        <v>25</v>
      </c>
      <c r="F1587" s="52" t="s">
        <v>26</v>
      </c>
      <c r="G1587" s="53"/>
    </row>
    <row r="1588">
      <c r="A1588" s="49">
        <v>44501.120698425926</v>
      </c>
      <c r="B1588" s="50">
        <v>44501.24566978</v>
      </c>
      <c r="C1588" s="51">
        <v>1.014</v>
      </c>
      <c r="D1588" s="51">
        <v>65.0</v>
      </c>
      <c r="E1588" s="52" t="s">
        <v>25</v>
      </c>
      <c r="F1588" s="52" t="s">
        <v>26</v>
      </c>
      <c r="G1588" s="53"/>
    </row>
    <row r="1589">
      <c r="A1589" s="49">
        <v>44501.131119513884</v>
      </c>
      <c r="B1589" s="50">
        <v>44501.2560918865</v>
      </c>
      <c r="C1589" s="51">
        <v>1.014</v>
      </c>
      <c r="D1589" s="51">
        <v>65.0</v>
      </c>
      <c r="E1589" s="52" t="s">
        <v>25</v>
      </c>
      <c r="F1589" s="52" t="s">
        <v>26</v>
      </c>
      <c r="G1589" s="53"/>
    </row>
    <row r="1590">
      <c r="A1590" s="49">
        <v>44501.14155010416</v>
      </c>
      <c r="B1590" s="50">
        <v>44501.2665132986</v>
      </c>
      <c r="C1590" s="51">
        <v>1.014</v>
      </c>
      <c r="D1590" s="51">
        <v>65.0</v>
      </c>
      <c r="E1590" s="52" t="s">
        <v>25</v>
      </c>
      <c r="F1590" s="52" t="s">
        <v>26</v>
      </c>
      <c r="G1590" s="53"/>
    </row>
    <row r="1591">
      <c r="A1591" s="49">
        <v>44501.15196793982</v>
      </c>
      <c r="B1591" s="50">
        <v>44501.2769331481</v>
      </c>
      <c r="C1591" s="51">
        <v>1.014</v>
      </c>
      <c r="D1591" s="51">
        <v>65.0</v>
      </c>
      <c r="E1591" s="52" t="s">
        <v>25</v>
      </c>
      <c r="F1591" s="52" t="s">
        <v>26</v>
      </c>
      <c r="G1591" s="53"/>
    </row>
    <row r="1592">
      <c r="A1592" s="49">
        <v>44501.162392199076</v>
      </c>
      <c r="B1592" s="50">
        <v>44501.2873542361</v>
      </c>
      <c r="C1592" s="51">
        <v>1.013</v>
      </c>
      <c r="D1592" s="51">
        <v>65.0</v>
      </c>
      <c r="E1592" s="52" t="s">
        <v>25</v>
      </c>
      <c r="F1592" s="52" t="s">
        <v>26</v>
      </c>
      <c r="G1592" s="53"/>
    </row>
    <row r="1593">
      <c r="A1593" s="49">
        <v>44501.17279490741</v>
      </c>
      <c r="B1593" s="50">
        <v>44501.2977755208</v>
      </c>
      <c r="C1593" s="51">
        <v>1.014</v>
      </c>
      <c r="D1593" s="51">
        <v>65.0</v>
      </c>
      <c r="E1593" s="52" t="s">
        <v>25</v>
      </c>
      <c r="F1593" s="52" t="s">
        <v>26</v>
      </c>
      <c r="G1593" s="53"/>
    </row>
    <row r="1594">
      <c r="A1594" s="49">
        <v>44501.18323090278</v>
      </c>
      <c r="B1594" s="50">
        <v>44501.3081975462</v>
      </c>
      <c r="C1594" s="51">
        <v>1.013</v>
      </c>
      <c r="D1594" s="51">
        <v>66.0</v>
      </c>
      <c r="E1594" s="52" t="s">
        <v>25</v>
      </c>
      <c r="F1594" s="52" t="s">
        <v>26</v>
      </c>
      <c r="G1594" s="53"/>
    </row>
    <row r="1595">
      <c r="A1595" s="49">
        <v>44501.1936485301</v>
      </c>
      <c r="B1595" s="50">
        <v>44501.3186185532</v>
      </c>
      <c r="C1595" s="51">
        <v>1.014</v>
      </c>
      <c r="D1595" s="51">
        <v>65.0</v>
      </c>
      <c r="E1595" s="52" t="s">
        <v>25</v>
      </c>
      <c r="F1595" s="52" t="s">
        <v>26</v>
      </c>
      <c r="G1595" s="53"/>
    </row>
    <row r="1596">
      <c r="A1596" s="49">
        <v>44501.20406532407</v>
      </c>
      <c r="B1596" s="50">
        <v>44501.3290391782</v>
      </c>
      <c r="C1596" s="51">
        <v>1.014</v>
      </c>
      <c r="D1596" s="51">
        <v>65.0</v>
      </c>
      <c r="E1596" s="52" t="s">
        <v>25</v>
      </c>
      <c r="F1596" s="52" t="s">
        <v>26</v>
      </c>
      <c r="G1596" s="53"/>
    </row>
    <row r="1597">
      <c r="A1597" s="49">
        <v>44501.21448618056</v>
      </c>
      <c r="B1597" s="50">
        <v>44501.3394594676</v>
      </c>
      <c r="C1597" s="51">
        <v>1.014</v>
      </c>
      <c r="D1597" s="51">
        <v>65.0</v>
      </c>
      <c r="E1597" s="52" t="s">
        <v>25</v>
      </c>
      <c r="F1597" s="52" t="s">
        <v>26</v>
      </c>
      <c r="G1597" s="53"/>
    </row>
    <row r="1598">
      <c r="A1598" s="49">
        <v>44501.22490277777</v>
      </c>
      <c r="B1598" s="50">
        <v>44501.3498805092</v>
      </c>
      <c r="C1598" s="51">
        <v>1.014</v>
      </c>
      <c r="D1598" s="51">
        <v>65.0</v>
      </c>
      <c r="E1598" s="52" t="s">
        <v>25</v>
      </c>
      <c r="F1598" s="52" t="s">
        <v>26</v>
      </c>
      <c r="G1598" s="53"/>
    </row>
    <row r="1599">
      <c r="A1599" s="49">
        <v>44501.235338541665</v>
      </c>
      <c r="B1599" s="50">
        <v>44501.3603149074</v>
      </c>
      <c r="C1599" s="51">
        <v>1.014</v>
      </c>
      <c r="D1599" s="51">
        <v>65.0</v>
      </c>
      <c r="E1599" s="52" t="s">
        <v>25</v>
      </c>
      <c r="F1599" s="52" t="s">
        <v>26</v>
      </c>
      <c r="G1599" s="53"/>
    </row>
    <row r="1600">
      <c r="A1600" s="49">
        <v>44501.245763506944</v>
      </c>
      <c r="B1600" s="50">
        <v>44501.3707394791</v>
      </c>
      <c r="C1600" s="51">
        <v>1.014</v>
      </c>
      <c r="D1600" s="51">
        <v>65.0</v>
      </c>
      <c r="E1600" s="52" t="s">
        <v>25</v>
      </c>
      <c r="F1600" s="52" t="s">
        <v>26</v>
      </c>
      <c r="G1600" s="53"/>
    </row>
    <row r="1601">
      <c r="A1601" s="49">
        <v>44501.256192939814</v>
      </c>
      <c r="B1601" s="50">
        <v>44501.3811604398</v>
      </c>
      <c r="C1601" s="51">
        <v>1.014</v>
      </c>
      <c r="D1601" s="51">
        <v>65.0</v>
      </c>
      <c r="E1601" s="52" t="s">
        <v>25</v>
      </c>
      <c r="F1601" s="52" t="s">
        <v>26</v>
      </c>
      <c r="G1601" s="53"/>
    </row>
    <row r="1602">
      <c r="A1602" s="49">
        <v>44501.266609293976</v>
      </c>
      <c r="B1602" s="50">
        <v>44501.3915810185</v>
      </c>
      <c r="C1602" s="51">
        <v>1.014</v>
      </c>
      <c r="D1602" s="51">
        <v>65.0</v>
      </c>
      <c r="E1602" s="52" t="s">
        <v>25</v>
      </c>
      <c r="F1602" s="52" t="s">
        <v>26</v>
      </c>
      <c r="G1602" s="53"/>
    </row>
    <row r="1603">
      <c r="A1603" s="49">
        <v>44501.2770319213</v>
      </c>
      <c r="B1603" s="50">
        <v>44501.4020009259</v>
      </c>
      <c r="C1603" s="51">
        <v>1.014</v>
      </c>
      <c r="D1603" s="51">
        <v>65.0</v>
      </c>
      <c r="E1603" s="52" t="s">
        <v>25</v>
      </c>
      <c r="F1603" s="52" t="s">
        <v>26</v>
      </c>
      <c r="G1603" s="53"/>
    </row>
    <row r="1604">
      <c r="A1604" s="49">
        <v>44501.28755475694</v>
      </c>
      <c r="B1604" s="50">
        <v>44501.412420949</v>
      </c>
      <c r="C1604" s="51">
        <v>1.014</v>
      </c>
      <c r="D1604" s="51">
        <v>65.0</v>
      </c>
      <c r="E1604" s="52" t="s">
        <v>25</v>
      </c>
      <c r="F1604" s="52" t="s">
        <v>26</v>
      </c>
      <c r="G1604" s="53"/>
    </row>
    <row r="1605">
      <c r="A1605" s="49">
        <v>44501.29787069444</v>
      </c>
      <c r="B1605" s="50">
        <v>44501.4228413888</v>
      </c>
      <c r="C1605" s="51">
        <v>1.014</v>
      </c>
      <c r="D1605" s="51">
        <v>65.0</v>
      </c>
      <c r="E1605" s="52" t="s">
        <v>25</v>
      </c>
      <c r="F1605" s="52" t="s">
        <v>26</v>
      </c>
      <c r="G1605" s="53"/>
    </row>
    <row r="1606">
      <c r="A1606" s="49">
        <v>44501.308299861106</v>
      </c>
      <c r="B1606" s="50">
        <v>44501.4332626157</v>
      </c>
      <c r="C1606" s="51">
        <v>1.014</v>
      </c>
      <c r="D1606" s="51">
        <v>65.0</v>
      </c>
      <c r="E1606" s="52" t="s">
        <v>25</v>
      </c>
      <c r="F1606" s="52" t="s">
        <v>26</v>
      </c>
      <c r="G1606" s="53"/>
    </row>
    <row r="1607">
      <c r="A1607" s="49">
        <v>44501.31871806713</v>
      </c>
      <c r="B1607" s="50">
        <v>44501.4436816203</v>
      </c>
      <c r="C1607" s="51">
        <v>1.014</v>
      </c>
      <c r="D1607" s="51">
        <v>65.0</v>
      </c>
      <c r="E1607" s="52" t="s">
        <v>25</v>
      </c>
      <c r="F1607" s="52" t="s">
        <v>26</v>
      </c>
      <c r="G1607" s="53"/>
    </row>
    <row r="1608">
      <c r="A1608" s="49">
        <v>44501.32913525463</v>
      </c>
      <c r="B1608" s="50">
        <v>44501.4541023611</v>
      </c>
      <c r="C1608" s="51">
        <v>1.014</v>
      </c>
      <c r="D1608" s="51">
        <v>65.0</v>
      </c>
      <c r="E1608" s="52" t="s">
        <v>25</v>
      </c>
      <c r="F1608" s="52" t="s">
        <v>26</v>
      </c>
      <c r="G1608" s="53"/>
    </row>
    <row r="1609">
      <c r="A1609" s="49">
        <v>44501.33954612269</v>
      </c>
      <c r="B1609" s="50">
        <v>44501.4645248379</v>
      </c>
      <c r="C1609" s="51">
        <v>1.014</v>
      </c>
      <c r="D1609" s="51">
        <v>65.0</v>
      </c>
      <c r="E1609" s="52" t="s">
        <v>25</v>
      </c>
      <c r="F1609" s="52" t="s">
        <v>26</v>
      </c>
      <c r="G1609" s="53"/>
    </row>
    <row r="1610">
      <c r="A1610" s="49">
        <v>44501.34997976852</v>
      </c>
      <c r="B1610" s="50">
        <v>44501.4749478935</v>
      </c>
      <c r="C1610" s="51">
        <v>1.014</v>
      </c>
      <c r="D1610" s="51">
        <v>65.0</v>
      </c>
      <c r="E1610" s="52" t="s">
        <v>25</v>
      </c>
      <c r="F1610" s="52" t="s">
        <v>26</v>
      </c>
      <c r="G1610" s="53"/>
    </row>
    <row r="1611">
      <c r="A1611" s="49">
        <v>44501.36039652777</v>
      </c>
      <c r="B1611" s="50">
        <v>44501.4853676504</v>
      </c>
      <c r="C1611" s="51">
        <v>1.014</v>
      </c>
      <c r="D1611" s="51">
        <v>65.0</v>
      </c>
      <c r="E1611" s="52" t="s">
        <v>25</v>
      </c>
      <c r="F1611" s="52" t="s">
        <v>26</v>
      </c>
      <c r="G1611" s="53"/>
    </row>
    <row r="1612">
      <c r="A1612" s="49">
        <v>44501.37081931713</v>
      </c>
      <c r="B1612" s="50">
        <v>44501.4957899884</v>
      </c>
      <c r="C1612" s="51">
        <v>1.014</v>
      </c>
      <c r="D1612" s="51">
        <v>65.0</v>
      </c>
      <c r="E1612" s="52" t="s">
        <v>25</v>
      </c>
      <c r="F1612" s="52" t="s">
        <v>26</v>
      </c>
      <c r="G1612" s="53"/>
    </row>
    <row r="1613">
      <c r="A1613" s="49">
        <v>44501.381257824076</v>
      </c>
      <c r="B1613" s="50">
        <v>44501.5062113425</v>
      </c>
      <c r="C1613" s="51">
        <v>1.015</v>
      </c>
      <c r="D1613" s="51">
        <v>65.0</v>
      </c>
      <c r="E1613" s="52" t="s">
        <v>25</v>
      </c>
      <c r="F1613" s="52" t="s">
        <v>26</v>
      </c>
      <c r="G1613" s="53"/>
    </row>
    <row r="1614">
      <c r="A1614" s="49">
        <v>44501.39168664352</v>
      </c>
      <c r="B1614" s="50">
        <v>44501.5166335532</v>
      </c>
      <c r="C1614" s="51">
        <v>1.015</v>
      </c>
      <c r="D1614" s="51">
        <v>65.0</v>
      </c>
      <c r="E1614" s="52" t="s">
        <v>25</v>
      </c>
      <c r="F1614" s="52" t="s">
        <v>26</v>
      </c>
      <c r="G1614" s="53"/>
    </row>
    <row r="1615">
      <c r="A1615" s="49">
        <v>44501.40210561342</v>
      </c>
      <c r="B1615" s="50">
        <v>44501.5270548958</v>
      </c>
      <c r="C1615" s="51">
        <v>1.015</v>
      </c>
      <c r="D1615" s="51">
        <v>65.0</v>
      </c>
      <c r="E1615" s="52" t="s">
        <v>25</v>
      </c>
      <c r="F1615" s="52" t="s">
        <v>26</v>
      </c>
      <c r="G1615" s="53"/>
    </row>
    <row r="1616">
      <c r="A1616" s="49">
        <v>44501.4125171412</v>
      </c>
      <c r="B1616" s="50">
        <v>44501.5374880324</v>
      </c>
      <c r="C1616" s="51">
        <v>1.015</v>
      </c>
      <c r="D1616" s="51">
        <v>65.0</v>
      </c>
      <c r="E1616" s="52" t="s">
        <v>25</v>
      </c>
      <c r="F1616" s="52" t="s">
        <v>26</v>
      </c>
      <c r="G1616" s="53"/>
    </row>
    <row r="1617">
      <c r="A1617" s="49">
        <v>44501.422998229165</v>
      </c>
      <c r="B1617" s="50">
        <v>44501.5479202083</v>
      </c>
      <c r="C1617" s="51">
        <v>1.015</v>
      </c>
      <c r="D1617" s="51">
        <v>65.0</v>
      </c>
      <c r="E1617" s="52" t="s">
        <v>25</v>
      </c>
      <c r="F1617" s="52" t="s">
        <v>26</v>
      </c>
      <c r="G1617" s="53"/>
    </row>
    <row r="1618">
      <c r="A1618" s="49">
        <v>44501.43336793981</v>
      </c>
      <c r="B1618" s="50">
        <v>44501.5583417476</v>
      </c>
      <c r="C1618" s="51">
        <v>1.015</v>
      </c>
      <c r="D1618" s="51">
        <v>65.0</v>
      </c>
      <c r="E1618" s="52" t="s">
        <v>25</v>
      </c>
      <c r="F1618" s="52" t="s">
        <v>26</v>
      </c>
      <c r="G1618" s="53"/>
    </row>
    <row r="1619">
      <c r="A1619" s="49">
        <v>44501.44378753472</v>
      </c>
      <c r="B1619" s="50">
        <v>44501.5687620601</v>
      </c>
      <c r="C1619" s="51">
        <v>1.015</v>
      </c>
      <c r="D1619" s="51">
        <v>65.0</v>
      </c>
      <c r="E1619" s="52" t="s">
        <v>25</v>
      </c>
      <c r="F1619" s="52" t="s">
        <v>26</v>
      </c>
      <c r="G1619" s="53"/>
    </row>
    <row r="1620">
      <c r="A1620" s="49">
        <v>44501.454216342594</v>
      </c>
      <c r="B1620" s="50">
        <v>44501.5791845717</v>
      </c>
      <c r="C1620" s="51">
        <v>1.015</v>
      </c>
      <c r="D1620" s="51">
        <v>65.0</v>
      </c>
      <c r="E1620" s="52" t="s">
        <v>25</v>
      </c>
      <c r="F1620" s="52" t="s">
        <v>26</v>
      </c>
      <c r="G1620" s="53"/>
    </row>
    <row r="1621">
      <c r="A1621" s="49">
        <v>44501.46463564815</v>
      </c>
      <c r="B1621" s="50">
        <v>44501.5896044212</v>
      </c>
      <c r="C1621" s="51">
        <v>1.015</v>
      </c>
      <c r="D1621" s="51">
        <v>65.0</v>
      </c>
      <c r="E1621" s="52" t="s">
        <v>25</v>
      </c>
      <c r="F1621" s="52" t="s">
        <v>26</v>
      </c>
      <c r="G1621" s="53"/>
    </row>
    <row r="1622">
      <c r="A1622" s="49">
        <v>44501.47505396991</v>
      </c>
      <c r="B1622" s="50">
        <v>44501.6000359838</v>
      </c>
      <c r="C1622" s="51">
        <v>1.015</v>
      </c>
      <c r="D1622" s="51">
        <v>65.0</v>
      </c>
      <c r="E1622" s="52" t="s">
        <v>25</v>
      </c>
      <c r="F1622" s="52" t="s">
        <v>26</v>
      </c>
      <c r="G1622" s="53"/>
    </row>
    <row r="1623">
      <c r="A1623" s="49">
        <v>44501.48548412037</v>
      </c>
      <c r="B1623" s="50">
        <v>44501.6104564699</v>
      </c>
      <c r="C1623" s="51">
        <v>1.015</v>
      </c>
      <c r="D1623" s="51">
        <v>65.0</v>
      </c>
      <c r="E1623" s="52" t="s">
        <v>25</v>
      </c>
      <c r="F1623" s="52" t="s">
        <v>26</v>
      </c>
      <c r="G1623" s="53"/>
    </row>
    <row r="1624">
      <c r="A1624" s="49">
        <v>44501.49590146991</v>
      </c>
      <c r="B1624" s="50">
        <v>44501.6208787615</v>
      </c>
      <c r="C1624" s="51">
        <v>1.015</v>
      </c>
      <c r="D1624" s="51">
        <v>66.0</v>
      </c>
      <c r="E1624" s="52" t="s">
        <v>25</v>
      </c>
      <c r="F1624" s="52" t="s">
        <v>26</v>
      </c>
      <c r="G1624" s="53"/>
    </row>
    <row r="1625">
      <c r="A1625" s="49">
        <v>44501.50634063657</v>
      </c>
      <c r="B1625" s="50">
        <v>44501.6312998842</v>
      </c>
      <c r="C1625" s="51">
        <v>1.014</v>
      </c>
      <c r="D1625" s="51">
        <v>65.0</v>
      </c>
      <c r="E1625" s="52" t="s">
        <v>25</v>
      </c>
      <c r="F1625" s="52" t="s">
        <v>26</v>
      </c>
      <c r="G1625" s="53"/>
    </row>
    <row r="1626">
      <c r="A1626" s="49">
        <v>44501.51675275463</v>
      </c>
      <c r="B1626" s="50">
        <v>44501.6417227893</v>
      </c>
      <c r="C1626" s="51">
        <v>1.015</v>
      </c>
      <c r="D1626" s="51">
        <v>65.0</v>
      </c>
      <c r="E1626" s="52" t="s">
        <v>25</v>
      </c>
      <c r="F1626" s="52" t="s">
        <v>26</v>
      </c>
      <c r="G1626" s="53"/>
    </row>
    <row r="1627">
      <c r="A1627" s="49">
        <v>44501.527169849534</v>
      </c>
      <c r="B1627" s="50">
        <v>44501.652143831</v>
      </c>
      <c r="C1627" s="51">
        <v>1.015</v>
      </c>
      <c r="D1627" s="51">
        <v>65.0</v>
      </c>
      <c r="E1627" s="52" t="s">
        <v>25</v>
      </c>
      <c r="F1627" s="52" t="s">
        <v>26</v>
      </c>
      <c r="G1627" s="53"/>
    </row>
    <row r="1628">
      <c r="A1628" s="49">
        <v>44501.53759115741</v>
      </c>
      <c r="B1628" s="50">
        <v>44501.6625648726</v>
      </c>
      <c r="C1628" s="51">
        <v>1.015</v>
      </c>
      <c r="D1628" s="51">
        <v>65.0</v>
      </c>
      <c r="E1628" s="52" t="s">
        <v>25</v>
      </c>
      <c r="F1628" s="52" t="s">
        <v>26</v>
      </c>
      <c r="G1628" s="53"/>
    </row>
    <row r="1629">
      <c r="A1629" s="49">
        <v>44501.54801722222</v>
      </c>
      <c r="B1629" s="50">
        <v>44501.6729879861</v>
      </c>
      <c r="C1629" s="51">
        <v>1.015</v>
      </c>
      <c r="D1629" s="51">
        <v>65.0</v>
      </c>
      <c r="E1629" s="52" t="s">
        <v>25</v>
      </c>
      <c r="F1629" s="52" t="s">
        <v>26</v>
      </c>
      <c r="G1629" s="53"/>
    </row>
    <row r="1630">
      <c r="A1630" s="49">
        <v>44501.558442152775</v>
      </c>
      <c r="B1630" s="50">
        <v>44501.683408831</v>
      </c>
      <c r="C1630" s="51">
        <v>1.015</v>
      </c>
      <c r="D1630" s="51">
        <v>65.0</v>
      </c>
      <c r="E1630" s="52" t="s">
        <v>25</v>
      </c>
      <c r="F1630" s="52" t="s">
        <v>26</v>
      </c>
      <c r="G1630" s="53"/>
    </row>
    <row r="1631">
      <c r="A1631" s="49">
        <v>44501.56885326389</v>
      </c>
      <c r="B1631" s="50">
        <v>44501.693829537</v>
      </c>
      <c r="C1631" s="51">
        <v>1.015</v>
      </c>
      <c r="D1631" s="51">
        <v>65.0</v>
      </c>
      <c r="E1631" s="52" t="s">
        <v>25</v>
      </c>
      <c r="F1631" s="52" t="s">
        <v>26</v>
      </c>
      <c r="G1631" s="53"/>
    </row>
    <row r="1632">
      <c r="A1632" s="49">
        <v>44501.57928019676</v>
      </c>
      <c r="B1632" s="50">
        <v>44501.7042508449</v>
      </c>
      <c r="C1632" s="51">
        <v>1.014</v>
      </c>
      <c r="D1632" s="51">
        <v>65.0</v>
      </c>
      <c r="E1632" s="52" t="s">
        <v>25</v>
      </c>
      <c r="F1632" s="52" t="s">
        <v>26</v>
      </c>
      <c r="G1632" s="53"/>
    </row>
    <row r="1633">
      <c r="A1633" s="49">
        <v>44501.589696111114</v>
      </c>
      <c r="B1633" s="50">
        <v>44501.7146715856</v>
      </c>
      <c r="C1633" s="51">
        <v>1.014</v>
      </c>
      <c r="D1633" s="51">
        <v>65.0</v>
      </c>
      <c r="E1633" s="52" t="s">
        <v>25</v>
      </c>
      <c r="F1633" s="52" t="s">
        <v>26</v>
      </c>
      <c r="G1633" s="53"/>
    </row>
    <row r="1634">
      <c r="A1634" s="49">
        <v>44501.60012145834</v>
      </c>
      <c r="B1634" s="50">
        <v>44501.7250923263</v>
      </c>
      <c r="C1634" s="51">
        <v>1.014</v>
      </c>
      <c r="D1634" s="51">
        <v>65.0</v>
      </c>
      <c r="E1634" s="52" t="s">
        <v>25</v>
      </c>
      <c r="F1634" s="52" t="s">
        <v>26</v>
      </c>
      <c r="G1634" s="53"/>
    </row>
    <row r="1635">
      <c r="A1635" s="49">
        <v>44501.6105675463</v>
      </c>
      <c r="B1635" s="50">
        <v>44501.7355378356</v>
      </c>
      <c r="C1635" s="51">
        <v>1.014</v>
      </c>
      <c r="D1635" s="51">
        <v>65.0</v>
      </c>
      <c r="E1635" s="52" t="s">
        <v>25</v>
      </c>
      <c r="F1635" s="52" t="s">
        <v>26</v>
      </c>
      <c r="G1635" s="53"/>
    </row>
    <row r="1636">
      <c r="A1636" s="49">
        <v>44501.62098813658</v>
      </c>
      <c r="B1636" s="50">
        <v>44501.7459595949</v>
      </c>
      <c r="C1636" s="51">
        <v>1.014</v>
      </c>
      <c r="D1636" s="51">
        <v>65.0</v>
      </c>
      <c r="E1636" s="52" t="s">
        <v>25</v>
      </c>
      <c r="F1636" s="52" t="s">
        <v>26</v>
      </c>
      <c r="G1636" s="53"/>
    </row>
    <row r="1637">
      <c r="A1637" s="49">
        <v>44501.63142978009</v>
      </c>
      <c r="B1637" s="50">
        <v>44501.7563946296</v>
      </c>
      <c r="C1637" s="51">
        <v>1.014</v>
      </c>
      <c r="D1637" s="51">
        <v>66.0</v>
      </c>
      <c r="E1637" s="52" t="s">
        <v>25</v>
      </c>
      <c r="F1637" s="52" t="s">
        <v>26</v>
      </c>
      <c r="G1637" s="53"/>
    </row>
    <row r="1638">
      <c r="A1638" s="49">
        <v>44501.64184506945</v>
      </c>
      <c r="B1638" s="50">
        <v>44501.7668151157</v>
      </c>
      <c r="C1638" s="51">
        <v>1.014</v>
      </c>
      <c r="D1638" s="51">
        <v>65.0</v>
      </c>
      <c r="E1638" s="52" t="s">
        <v>25</v>
      </c>
      <c r="F1638" s="52" t="s">
        <v>26</v>
      </c>
      <c r="G1638" s="53"/>
    </row>
    <row r="1639">
      <c r="A1639" s="49">
        <v>44501.652269004626</v>
      </c>
      <c r="B1639" s="50">
        <v>44501.7772367824</v>
      </c>
      <c r="C1639" s="51">
        <v>1.014</v>
      </c>
      <c r="D1639" s="51">
        <v>65.0</v>
      </c>
      <c r="E1639" s="52" t="s">
        <v>25</v>
      </c>
      <c r="F1639" s="52" t="s">
        <v>26</v>
      </c>
      <c r="G1639" s="53"/>
    </row>
    <row r="1640">
      <c r="A1640" s="49">
        <v>44501.6626768287</v>
      </c>
      <c r="B1640" s="50">
        <v>44501.7876586921</v>
      </c>
      <c r="C1640" s="51">
        <v>1.014</v>
      </c>
      <c r="D1640" s="51">
        <v>65.0</v>
      </c>
      <c r="E1640" s="52" t="s">
        <v>25</v>
      </c>
      <c r="F1640" s="52" t="s">
        <v>26</v>
      </c>
      <c r="G1640" s="53"/>
    </row>
    <row r="1641">
      <c r="A1641" s="49">
        <v>44501.67309671296</v>
      </c>
      <c r="B1641" s="50">
        <v>44501.7980783217</v>
      </c>
      <c r="C1641" s="51">
        <v>1.014</v>
      </c>
      <c r="D1641" s="51">
        <v>65.0</v>
      </c>
      <c r="E1641" s="52" t="s">
        <v>25</v>
      </c>
      <c r="F1641" s="52" t="s">
        <v>26</v>
      </c>
      <c r="G1641" s="53"/>
    </row>
    <row r="1642">
      <c r="A1642" s="49">
        <v>44501.68352842593</v>
      </c>
      <c r="B1642" s="50">
        <v>44501.8084988194</v>
      </c>
      <c r="C1642" s="51">
        <v>1.014</v>
      </c>
      <c r="D1642" s="51">
        <v>65.0</v>
      </c>
      <c r="E1642" s="52" t="s">
        <v>25</v>
      </c>
      <c r="F1642" s="52" t="s">
        <v>26</v>
      </c>
      <c r="G1642" s="53"/>
    </row>
    <row r="1643">
      <c r="A1643" s="49">
        <v>44501.69394979167</v>
      </c>
      <c r="B1643" s="50">
        <v>44501.8189199652</v>
      </c>
      <c r="C1643" s="51">
        <v>1.015</v>
      </c>
      <c r="D1643" s="51">
        <v>65.0</v>
      </c>
      <c r="E1643" s="52" t="s">
        <v>25</v>
      </c>
      <c r="F1643" s="52" t="s">
        <v>26</v>
      </c>
      <c r="G1643" s="53"/>
    </row>
    <row r="1644">
      <c r="A1644" s="49">
        <v>44501.70436815972</v>
      </c>
      <c r="B1644" s="50">
        <v>44501.8293430555</v>
      </c>
      <c r="C1644" s="51">
        <v>1.015</v>
      </c>
      <c r="D1644" s="51">
        <v>65.0</v>
      </c>
      <c r="E1644" s="52" t="s">
        <v>25</v>
      </c>
      <c r="F1644" s="52" t="s">
        <v>26</v>
      </c>
      <c r="G1644" s="53"/>
    </row>
    <row r="1645">
      <c r="A1645" s="49">
        <v>44501.714793101855</v>
      </c>
      <c r="B1645" s="50">
        <v>44501.8397652083</v>
      </c>
      <c r="C1645" s="51">
        <v>1.014</v>
      </c>
      <c r="D1645" s="51">
        <v>66.0</v>
      </c>
      <c r="E1645" s="52" t="s">
        <v>25</v>
      </c>
      <c r="F1645" s="52" t="s">
        <v>26</v>
      </c>
      <c r="G1645" s="53"/>
    </row>
    <row r="1646">
      <c r="A1646" s="49">
        <v>44501.725208055555</v>
      </c>
      <c r="B1646" s="50">
        <v>44501.8501868865</v>
      </c>
      <c r="C1646" s="51">
        <v>1.014</v>
      </c>
      <c r="D1646" s="51">
        <v>66.0</v>
      </c>
      <c r="E1646" s="52" t="s">
        <v>25</v>
      </c>
      <c r="F1646" s="52" t="s">
        <v>26</v>
      </c>
      <c r="G1646" s="53"/>
    </row>
    <row r="1647">
      <c r="A1647" s="49">
        <v>44501.73563601852</v>
      </c>
      <c r="B1647" s="50">
        <v>44501.8606069791</v>
      </c>
      <c r="C1647" s="51">
        <v>1.014</v>
      </c>
      <c r="D1647" s="51">
        <v>65.0</v>
      </c>
      <c r="E1647" s="52" t="s">
        <v>25</v>
      </c>
      <c r="F1647" s="52" t="s">
        <v>26</v>
      </c>
      <c r="G1647" s="53"/>
    </row>
    <row r="1648">
      <c r="A1648" s="49">
        <v>44501.746051180555</v>
      </c>
      <c r="B1648" s="50">
        <v>44501.8710273148</v>
      </c>
      <c r="C1648" s="51">
        <v>1.014</v>
      </c>
      <c r="D1648" s="51">
        <v>65.0</v>
      </c>
      <c r="E1648" s="52" t="s">
        <v>25</v>
      </c>
      <c r="F1648" s="52" t="s">
        <v>26</v>
      </c>
      <c r="G1648" s="53"/>
    </row>
    <row r="1649">
      <c r="A1649" s="49">
        <v>44501.756471099536</v>
      </c>
      <c r="B1649" s="50">
        <v>44501.8814482175</v>
      </c>
      <c r="C1649" s="51">
        <v>1.014</v>
      </c>
      <c r="D1649" s="51">
        <v>65.0</v>
      </c>
      <c r="E1649" s="52" t="s">
        <v>25</v>
      </c>
      <c r="F1649" s="52" t="s">
        <v>26</v>
      </c>
      <c r="G1649" s="53"/>
    </row>
    <row r="1650">
      <c r="A1650" s="49">
        <v>44501.76691896991</v>
      </c>
      <c r="B1650" s="50">
        <v>44501.8918809606</v>
      </c>
      <c r="C1650" s="51">
        <v>1.014</v>
      </c>
      <c r="D1650" s="51">
        <v>65.0</v>
      </c>
      <c r="E1650" s="52" t="s">
        <v>25</v>
      </c>
      <c r="F1650" s="52" t="s">
        <v>26</v>
      </c>
      <c r="G1650" s="53"/>
    </row>
    <row r="1651">
      <c r="A1651" s="49">
        <v>44501.77733621528</v>
      </c>
      <c r="B1651" s="50">
        <v>44501.9023132638</v>
      </c>
      <c r="C1651" s="51">
        <v>1.014</v>
      </c>
      <c r="D1651" s="51">
        <v>65.0</v>
      </c>
      <c r="E1651" s="52" t="s">
        <v>25</v>
      </c>
      <c r="F1651" s="52" t="s">
        <v>26</v>
      </c>
      <c r="G1651" s="53"/>
    </row>
    <row r="1652">
      <c r="A1652" s="49">
        <v>44501.78776083334</v>
      </c>
      <c r="B1652" s="50">
        <v>44501.9127328125</v>
      </c>
      <c r="C1652" s="51">
        <v>1.014</v>
      </c>
      <c r="D1652" s="51">
        <v>65.0</v>
      </c>
      <c r="E1652" s="52" t="s">
        <v>25</v>
      </c>
      <c r="F1652" s="52" t="s">
        <v>26</v>
      </c>
      <c r="G1652" s="53"/>
    </row>
    <row r="1653">
      <c r="A1653" s="49">
        <v>44501.798197870376</v>
      </c>
      <c r="B1653" s="50">
        <v>44501.9231557175</v>
      </c>
      <c r="C1653" s="51">
        <v>1.014</v>
      </c>
      <c r="D1653" s="51">
        <v>65.0</v>
      </c>
      <c r="E1653" s="52" t="s">
        <v>25</v>
      </c>
      <c r="F1653" s="52" t="s">
        <v>26</v>
      </c>
      <c r="G1653" s="53"/>
    </row>
    <row r="1654">
      <c r="A1654" s="49">
        <v>44501.808617256946</v>
      </c>
      <c r="B1654" s="50">
        <v>44501.9335868055</v>
      </c>
      <c r="C1654" s="51">
        <v>1.014</v>
      </c>
      <c r="D1654" s="51">
        <v>65.0</v>
      </c>
      <c r="E1654" s="52" t="s">
        <v>25</v>
      </c>
      <c r="F1654" s="52" t="s">
        <v>26</v>
      </c>
      <c r="G1654" s="53"/>
    </row>
    <row r="1655">
      <c r="A1655" s="49">
        <v>44501.81903975694</v>
      </c>
      <c r="B1655" s="50">
        <v>44501.9440070138</v>
      </c>
      <c r="C1655" s="51">
        <v>1.015</v>
      </c>
      <c r="D1655" s="51">
        <v>65.0</v>
      </c>
      <c r="E1655" s="52" t="s">
        <v>25</v>
      </c>
      <c r="F1655" s="52" t="s">
        <v>26</v>
      </c>
      <c r="G1655" s="53"/>
    </row>
    <row r="1656">
      <c r="A1656" s="49">
        <v>44501.82947512731</v>
      </c>
      <c r="B1656" s="50">
        <v>44501.9544522338</v>
      </c>
      <c r="C1656" s="51">
        <v>1.014</v>
      </c>
      <c r="D1656" s="51">
        <v>65.0</v>
      </c>
      <c r="E1656" s="52" t="s">
        <v>25</v>
      </c>
      <c r="F1656" s="52" t="s">
        <v>26</v>
      </c>
      <c r="G1656" s="53"/>
    </row>
    <row r="1657">
      <c r="A1657" s="49">
        <v>44501.839903368054</v>
      </c>
      <c r="B1657" s="50">
        <v>44501.9648730555</v>
      </c>
      <c r="C1657" s="51">
        <v>1.014</v>
      </c>
      <c r="D1657" s="51">
        <v>65.0</v>
      </c>
      <c r="E1657" s="52" t="s">
        <v>25</v>
      </c>
      <c r="F1657" s="52" t="s">
        <v>26</v>
      </c>
      <c r="G1657" s="53"/>
    </row>
    <row r="1658">
      <c r="A1658" s="49">
        <v>44501.850322071754</v>
      </c>
      <c r="B1658" s="50">
        <v>44501.9752928588</v>
      </c>
      <c r="C1658" s="51">
        <v>1.014</v>
      </c>
      <c r="D1658" s="51">
        <v>65.0</v>
      </c>
      <c r="E1658" s="52" t="s">
        <v>25</v>
      </c>
      <c r="F1658" s="52" t="s">
        <v>26</v>
      </c>
      <c r="G1658" s="53"/>
    </row>
    <row r="1659">
      <c r="A1659" s="49">
        <v>44501.860754375</v>
      </c>
      <c r="B1659" s="50">
        <v>44501.9857247338</v>
      </c>
      <c r="C1659" s="51">
        <v>1.015</v>
      </c>
      <c r="D1659" s="51">
        <v>65.0</v>
      </c>
      <c r="E1659" s="52" t="s">
        <v>25</v>
      </c>
      <c r="F1659" s="52" t="s">
        <v>26</v>
      </c>
      <c r="G1659" s="53"/>
    </row>
    <row r="1660">
      <c r="A1660" s="49">
        <v>44501.871169375</v>
      </c>
      <c r="B1660" s="50">
        <v>44501.9961456713</v>
      </c>
      <c r="C1660" s="51">
        <v>1.014</v>
      </c>
      <c r="D1660" s="51">
        <v>65.0</v>
      </c>
      <c r="E1660" s="52" t="s">
        <v>25</v>
      </c>
      <c r="F1660" s="52" t="s">
        <v>26</v>
      </c>
      <c r="G1660" s="53"/>
    </row>
    <row r="1661">
      <c r="A1661" s="49">
        <v>44501.88159837963</v>
      </c>
      <c r="B1661" s="50">
        <v>44502.0065688194</v>
      </c>
      <c r="C1661" s="51">
        <v>1.015</v>
      </c>
      <c r="D1661" s="51">
        <v>65.0</v>
      </c>
      <c r="E1661" s="52" t="s">
        <v>25</v>
      </c>
      <c r="F1661" s="52" t="s">
        <v>26</v>
      </c>
      <c r="G1661" s="53"/>
    </row>
    <row r="1662">
      <c r="A1662" s="49">
        <v>44501.89201768518</v>
      </c>
      <c r="B1662" s="50">
        <v>44502.0169883564</v>
      </c>
      <c r="C1662" s="51">
        <v>1.014</v>
      </c>
      <c r="D1662" s="51">
        <v>65.0</v>
      </c>
      <c r="E1662" s="52" t="s">
        <v>25</v>
      </c>
      <c r="F1662" s="52" t="s">
        <v>26</v>
      </c>
      <c r="G1662" s="53"/>
    </row>
    <row r="1663">
      <c r="A1663" s="49">
        <v>44501.902448368055</v>
      </c>
      <c r="B1663" s="50">
        <v>44502.0274218865</v>
      </c>
      <c r="C1663" s="51">
        <v>1.015</v>
      </c>
      <c r="D1663" s="51">
        <v>65.0</v>
      </c>
      <c r="E1663" s="52" t="s">
        <v>25</v>
      </c>
      <c r="F1663" s="52" t="s">
        <v>26</v>
      </c>
      <c r="G1663" s="53"/>
    </row>
    <row r="1664">
      <c r="A1664" s="49">
        <v>44501.91287564815</v>
      </c>
      <c r="B1664" s="50">
        <v>44502.0378431018</v>
      </c>
      <c r="C1664" s="51">
        <v>1.015</v>
      </c>
      <c r="D1664" s="51">
        <v>65.0</v>
      </c>
      <c r="E1664" s="52" t="s">
        <v>25</v>
      </c>
      <c r="F1664" s="52" t="s">
        <v>26</v>
      </c>
      <c r="G1664" s="53"/>
    </row>
    <row r="1665">
      <c r="A1665" s="49">
        <v>44501.92329704861</v>
      </c>
      <c r="B1665" s="50">
        <v>44502.0482644213</v>
      </c>
      <c r="C1665" s="51">
        <v>1.015</v>
      </c>
      <c r="D1665" s="51">
        <v>65.0</v>
      </c>
      <c r="E1665" s="52" t="s">
        <v>25</v>
      </c>
      <c r="F1665" s="52" t="s">
        <v>26</v>
      </c>
      <c r="G1665" s="53"/>
    </row>
    <row r="1666">
      <c r="A1666" s="49">
        <v>44501.93372189815</v>
      </c>
      <c r="B1666" s="50">
        <v>44502.0586868171</v>
      </c>
      <c r="C1666" s="51">
        <v>1.015</v>
      </c>
      <c r="D1666" s="51">
        <v>65.0</v>
      </c>
      <c r="E1666" s="52" t="s">
        <v>25</v>
      </c>
      <c r="F1666" s="52" t="s">
        <v>26</v>
      </c>
      <c r="G1666" s="53"/>
    </row>
    <row r="1667">
      <c r="A1667" s="49">
        <v>44501.94414075231</v>
      </c>
      <c r="B1667" s="50">
        <v>44502.0691087731</v>
      </c>
      <c r="C1667" s="51">
        <v>1.015</v>
      </c>
      <c r="D1667" s="51">
        <v>65.0</v>
      </c>
      <c r="E1667" s="52" t="s">
        <v>25</v>
      </c>
      <c r="F1667" s="52" t="s">
        <v>26</v>
      </c>
      <c r="G1667" s="53"/>
    </row>
    <row r="1668">
      <c r="A1668" s="49">
        <v>44501.95455913195</v>
      </c>
      <c r="B1668" s="50">
        <v>44502.0795297685</v>
      </c>
      <c r="C1668" s="51">
        <v>1.014</v>
      </c>
      <c r="D1668" s="51">
        <v>65.0</v>
      </c>
      <c r="E1668" s="52" t="s">
        <v>25</v>
      </c>
      <c r="F1668" s="52" t="s">
        <v>26</v>
      </c>
      <c r="G1668" s="53"/>
    </row>
    <row r="1669">
      <c r="A1669" s="49">
        <v>44501.964992905094</v>
      </c>
      <c r="B1669" s="50">
        <v>44502.089951875</v>
      </c>
      <c r="C1669" s="51">
        <v>1.014</v>
      </c>
      <c r="D1669" s="51">
        <v>65.0</v>
      </c>
      <c r="E1669" s="52" t="s">
        <v>25</v>
      </c>
      <c r="F1669" s="52" t="s">
        <v>26</v>
      </c>
      <c r="G1669" s="53"/>
    </row>
    <row r="1670">
      <c r="A1670" s="49">
        <v>44501.97540925926</v>
      </c>
      <c r="B1670" s="50">
        <v>44502.100372743</v>
      </c>
      <c r="C1670" s="51">
        <v>1.014</v>
      </c>
      <c r="D1670" s="51">
        <v>65.0</v>
      </c>
      <c r="E1670" s="52" t="s">
        <v>25</v>
      </c>
      <c r="F1670" s="52" t="s">
        <v>26</v>
      </c>
      <c r="G1670" s="53"/>
    </row>
    <row r="1671">
      <c r="A1671" s="49">
        <v>44501.98582681713</v>
      </c>
      <c r="B1671" s="50">
        <v>44502.1107939236</v>
      </c>
      <c r="C1671" s="51">
        <v>1.013</v>
      </c>
      <c r="D1671" s="51">
        <v>66.0</v>
      </c>
      <c r="E1671" s="52" t="s">
        <v>25</v>
      </c>
      <c r="F1671" s="52" t="s">
        <v>26</v>
      </c>
      <c r="G1671" s="53"/>
    </row>
    <row r="1672">
      <c r="A1672" s="49">
        <v>44501.99624493056</v>
      </c>
      <c r="B1672" s="50">
        <v>44502.1212151736</v>
      </c>
      <c r="C1672" s="51">
        <v>1.013</v>
      </c>
      <c r="D1672" s="51">
        <v>65.0</v>
      </c>
      <c r="E1672" s="52" t="s">
        <v>25</v>
      </c>
      <c r="F1672" s="52" t="s">
        <v>26</v>
      </c>
      <c r="G1672" s="53"/>
    </row>
    <row r="1673">
      <c r="A1673" s="49">
        <v>44502.006668692135</v>
      </c>
      <c r="B1673" s="50">
        <v>44502.1316364236</v>
      </c>
      <c r="C1673" s="51">
        <v>1.014</v>
      </c>
      <c r="D1673" s="51">
        <v>65.0</v>
      </c>
      <c r="E1673" s="52" t="s">
        <v>25</v>
      </c>
      <c r="F1673" s="52" t="s">
        <v>26</v>
      </c>
      <c r="G1673" s="53"/>
    </row>
    <row r="1674">
      <c r="A1674" s="49">
        <v>44502.01709162037</v>
      </c>
      <c r="B1674" s="50">
        <v>44502.1420569328</v>
      </c>
      <c r="C1674" s="51">
        <v>1.014</v>
      </c>
      <c r="D1674" s="51">
        <v>65.0</v>
      </c>
      <c r="E1674" s="52" t="s">
        <v>25</v>
      </c>
      <c r="F1674" s="52" t="s">
        <v>26</v>
      </c>
      <c r="G1674" s="53"/>
    </row>
    <row r="1675">
      <c r="A1675" s="49">
        <v>44502.02750872685</v>
      </c>
      <c r="B1675" s="50">
        <v>44502.1524781365</v>
      </c>
      <c r="C1675" s="51">
        <v>1.013</v>
      </c>
      <c r="D1675" s="51">
        <v>65.0</v>
      </c>
      <c r="E1675" s="52" t="s">
        <v>25</v>
      </c>
      <c r="F1675" s="52" t="s">
        <v>26</v>
      </c>
      <c r="G1675" s="53"/>
    </row>
    <row r="1676">
      <c r="A1676" s="49">
        <v>44502.037930335646</v>
      </c>
      <c r="B1676" s="50">
        <v>44502.1628993865</v>
      </c>
      <c r="C1676" s="51">
        <v>1.014</v>
      </c>
      <c r="D1676" s="51">
        <v>65.0</v>
      </c>
      <c r="E1676" s="52" t="s">
        <v>25</v>
      </c>
      <c r="F1676" s="52" t="s">
        <v>26</v>
      </c>
      <c r="G1676" s="53"/>
    </row>
    <row r="1677">
      <c r="A1677" s="49">
        <v>44502.0483494213</v>
      </c>
      <c r="B1677" s="50">
        <v>44502.1733205208</v>
      </c>
      <c r="C1677" s="51">
        <v>1.014</v>
      </c>
      <c r="D1677" s="51">
        <v>65.0</v>
      </c>
      <c r="E1677" s="52" t="s">
        <v>25</v>
      </c>
      <c r="F1677" s="52" t="s">
        <v>26</v>
      </c>
      <c r="G1677" s="53"/>
    </row>
    <row r="1678">
      <c r="A1678" s="49">
        <v>44502.058775694444</v>
      </c>
      <c r="B1678" s="50">
        <v>44502.1837531018</v>
      </c>
      <c r="C1678" s="51">
        <v>1.014</v>
      </c>
      <c r="D1678" s="51">
        <v>66.0</v>
      </c>
      <c r="E1678" s="52" t="s">
        <v>25</v>
      </c>
      <c r="F1678" s="52" t="s">
        <v>26</v>
      </c>
      <c r="G1678" s="53"/>
    </row>
    <row r="1679">
      <c r="A1679" s="49">
        <v>44502.069196979166</v>
      </c>
      <c r="B1679" s="50">
        <v>44502.1941716666</v>
      </c>
      <c r="C1679" s="51">
        <v>1.014</v>
      </c>
      <c r="D1679" s="51">
        <v>65.0</v>
      </c>
      <c r="E1679" s="52" t="s">
        <v>25</v>
      </c>
      <c r="F1679" s="52" t="s">
        <v>26</v>
      </c>
      <c r="G1679" s="53"/>
    </row>
    <row r="1680">
      <c r="A1680" s="49">
        <v>44502.079627569445</v>
      </c>
      <c r="B1680" s="50">
        <v>44502.2045921064</v>
      </c>
      <c r="C1680" s="51">
        <v>1.014</v>
      </c>
      <c r="D1680" s="51">
        <v>65.0</v>
      </c>
      <c r="E1680" s="52" t="s">
        <v>25</v>
      </c>
      <c r="F1680" s="52" t="s">
        <v>26</v>
      </c>
      <c r="G1680" s="53"/>
    </row>
    <row r="1681">
      <c r="A1681" s="49">
        <v>44502.090055162036</v>
      </c>
      <c r="B1681" s="50">
        <v>44502.2150256134</v>
      </c>
      <c r="C1681" s="51">
        <v>1.014</v>
      </c>
      <c r="D1681" s="51">
        <v>65.0</v>
      </c>
      <c r="E1681" s="52" t="s">
        <v>25</v>
      </c>
      <c r="F1681" s="52" t="s">
        <v>26</v>
      </c>
      <c r="G1681" s="53"/>
    </row>
    <row r="1682">
      <c r="A1682" s="49">
        <v>44502.10048155092</v>
      </c>
      <c r="B1682" s="50">
        <v>44502.2254479745</v>
      </c>
      <c r="C1682" s="51">
        <v>1.014</v>
      </c>
      <c r="D1682" s="51">
        <v>65.0</v>
      </c>
      <c r="E1682" s="52" t="s">
        <v>25</v>
      </c>
      <c r="F1682" s="52" t="s">
        <v>26</v>
      </c>
      <c r="G1682" s="53"/>
    </row>
    <row r="1683">
      <c r="A1683" s="49">
        <v>44502.11089924768</v>
      </c>
      <c r="B1683" s="50">
        <v>44502.2358691319</v>
      </c>
      <c r="C1683" s="51">
        <v>1.014</v>
      </c>
      <c r="D1683" s="51">
        <v>65.0</v>
      </c>
      <c r="E1683" s="52" t="s">
        <v>25</v>
      </c>
      <c r="F1683" s="52" t="s">
        <v>26</v>
      </c>
      <c r="G1683" s="53"/>
    </row>
    <row r="1684">
      <c r="A1684" s="49">
        <v>44502.12132092593</v>
      </c>
      <c r="B1684" s="50">
        <v>44502.2462909259</v>
      </c>
      <c r="C1684" s="51">
        <v>1.014</v>
      </c>
      <c r="D1684" s="51">
        <v>65.0</v>
      </c>
      <c r="E1684" s="52" t="s">
        <v>25</v>
      </c>
      <c r="F1684" s="52" t="s">
        <v>26</v>
      </c>
      <c r="G1684" s="53"/>
    </row>
    <row r="1685">
      <c r="A1685" s="49">
        <v>44502.131739895834</v>
      </c>
      <c r="B1685" s="50">
        <v>44502.256712199</v>
      </c>
      <c r="C1685" s="51">
        <v>1.014</v>
      </c>
      <c r="D1685" s="51">
        <v>65.0</v>
      </c>
      <c r="E1685" s="52" t="s">
        <v>25</v>
      </c>
      <c r="F1685" s="52" t="s">
        <v>26</v>
      </c>
      <c r="G1685" s="53"/>
    </row>
    <row r="1686">
      <c r="A1686" s="49">
        <v>44502.14215847223</v>
      </c>
      <c r="B1686" s="50">
        <v>44502.2671322453</v>
      </c>
      <c r="C1686" s="51">
        <v>1.014</v>
      </c>
      <c r="D1686" s="51">
        <v>65.0</v>
      </c>
      <c r="E1686" s="52" t="s">
        <v>25</v>
      </c>
      <c r="F1686" s="52" t="s">
        <v>26</v>
      </c>
      <c r="G1686" s="53"/>
    </row>
    <row r="1687">
      <c r="A1687" s="49">
        <v>44502.15259023148</v>
      </c>
      <c r="B1687" s="50">
        <v>44502.2775646759</v>
      </c>
      <c r="C1687" s="51">
        <v>1.013</v>
      </c>
      <c r="D1687" s="51">
        <v>65.0</v>
      </c>
      <c r="E1687" s="52" t="s">
        <v>25</v>
      </c>
      <c r="F1687" s="52" t="s">
        <v>26</v>
      </c>
      <c r="G1687" s="53"/>
    </row>
    <row r="1688">
      <c r="A1688" s="49">
        <v>44502.16300694444</v>
      </c>
      <c r="B1688" s="50">
        <v>44502.2879852314</v>
      </c>
      <c r="C1688" s="51">
        <v>1.013</v>
      </c>
      <c r="D1688" s="51">
        <v>65.0</v>
      </c>
      <c r="E1688" s="52" t="s">
        <v>25</v>
      </c>
      <c r="F1688" s="52" t="s">
        <v>26</v>
      </c>
      <c r="G1688" s="53"/>
    </row>
    <row r="1689">
      <c r="A1689" s="49">
        <v>44502.17346171296</v>
      </c>
      <c r="B1689" s="50">
        <v>44502.2984313773</v>
      </c>
      <c r="C1689" s="51">
        <v>1.013</v>
      </c>
      <c r="D1689" s="51">
        <v>65.0</v>
      </c>
      <c r="E1689" s="52" t="s">
        <v>25</v>
      </c>
      <c r="F1689" s="52" t="s">
        <v>26</v>
      </c>
      <c r="G1689" s="53"/>
    </row>
    <row r="1690">
      <c r="A1690" s="49">
        <v>44502.18388211806</v>
      </c>
      <c r="B1690" s="50">
        <v>44502.3088518287</v>
      </c>
      <c r="C1690" s="51">
        <v>1.013</v>
      </c>
      <c r="D1690" s="51">
        <v>65.0</v>
      </c>
      <c r="E1690" s="52" t="s">
        <v>25</v>
      </c>
      <c r="F1690" s="52" t="s">
        <v>26</v>
      </c>
      <c r="G1690" s="53"/>
    </row>
    <row r="1691">
      <c r="A1691" s="49">
        <v>44502.19429773148</v>
      </c>
      <c r="B1691" s="50">
        <v>44502.3192713657</v>
      </c>
      <c r="C1691" s="51">
        <v>1.013</v>
      </c>
      <c r="D1691" s="51">
        <v>65.0</v>
      </c>
      <c r="E1691" s="52" t="s">
        <v>25</v>
      </c>
      <c r="F1691" s="52" t="s">
        <v>26</v>
      </c>
      <c r="G1691" s="53"/>
    </row>
    <row r="1692">
      <c r="A1692" s="49">
        <v>44502.20474784722</v>
      </c>
      <c r="B1692" s="50">
        <v>44502.3297155671</v>
      </c>
      <c r="C1692" s="51">
        <v>1.013</v>
      </c>
      <c r="D1692" s="51">
        <v>65.0</v>
      </c>
      <c r="E1692" s="52" t="s">
        <v>25</v>
      </c>
      <c r="F1692" s="52" t="s">
        <v>26</v>
      </c>
      <c r="G1692" s="53"/>
    </row>
    <row r="1693">
      <c r="A1693" s="49">
        <v>44502.21515618055</v>
      </c>
      <c r="B1693" s="50">
        <v>44502.3401378356</v>
      </c>
      <c r="C1693" s="51">
        <v>1.013</v>
      </c>
      <c r="D1693" s="51">
        <v>65.0</v>
      </c>
      <c r="E1693" s="52" t="s">
        <v>25</v>
      </c>
      <c r="F1693" s="52" t="s">
        <v>26</v>
      </c>
      <c r="G1693" s="53"/>
    </row>
    <row r="1694">
      <c r="A1694" s="49">
        <v>44502.225597592595</v>
      </c>
      <c r="B1694" s="50">
        <v>44502.3505706365</v>
      </c>
      <c r="C1694" s="51">
        <v>1.013</v>
      </c>
      <c r="D1694" s="51">
        <v>65.0</v>
      </c>
      <c r="E1694" s="52" t="s">
        <v>25</v>
      </c>
      <c r="F1694" s="52" t="s">
        <v>26</v>
      </c>
      <c r="G1694" s="53"/>
    </row>
    <row r="1695">
      <c r="A1695" s="49">
        <v>44502.23601721065</v>
      </c>
      <c r="B1695" s="50">
        <v>44502.3609915972</v>
      </c>
      <c r="C1695" s="51">
        <v>1.013</v>
      </c>
      <c r="D1695" s="51">
        <v>65.0</v>
      </c>
      <c r="E1695" s="52" t="s">
        <v>25</v>
      </c>
      <c r="F1695" s="52" t="s">
        <v>26</v>
      </c>
      <c r="G1695" s="53"/>
    </row>
    <row r="1696">
      <c r="A1696" s="49">
        <v>44502.246432291664</v>
      </c>
      <c r="B1696" s="50">
        <v>44502.371413206</v>
      </c>
      <c r="C1696" s="51">
        <v>1.013</v>
      </c>
      <c r="D1696" s="51">
        <v>65.0</v>
      </c>
      <c r="E1696" s="52" t="s">
        <v>25</v>
      </c>
      <c r="F1696" s="52" t="s">
        <v>26</v>
      </c>
      <c r="G1696" s="53"/>
    </row>
    <row r="1697">
      <c r="A1697" s="49">
        <v>44502.25686201389</v>
      </c>
      <c r="B1697" s="50">
        <v>44502.3818353819</v>
      </c>
      <c r="C1697" s="51">
        <v>1.014</v>
      </c>
      <c r="D1697" s="51">
        <v>65.0</v>
      </c>
      <c r="E1697" s="52" t="s">
        <v>25</v>
      </c>
      <c r="F1697" s="52" t="s">
        <v>26</v>
      </c>
      <c r="G1697" s="53"/>
    </row>
    <row r="1698">
      <c r="A1698" s="49">
        <v>44502.26727996528</v>
      </c>
      <c r="B1698" s="50">
        <v>44502.3922580439</v>
      </c>
      <c r="C1698" s="51">
        <v>1.014</v>
      </c>
      <c r="D1698" s="51">
        <v>65.0</v>
      </c>
      <c r="E1698" s="52" t="s">
        <v>25</v>
      </c>
      <c r="F1698" s="52" t="s">
        <v>26</v>
      </c>
      <c r="G1698" s="53"/>
    </row>
    <row r="1699">
      <c r="A1699" s="49">
        <v>44502.27770681713</v>
      </c>
      <c r="B1699" s="50">
        <v>44502.4026783796</v>
      </c>
      <c r="C1699" s="51">
        <v>1.014</v>
      </c>
      <c r="D1699" s="51">
        <v>65.0</v>
      </c>
      <c r="E1699" s="52" t="s">
        <v>25</v>
      </c>
      <c r="F1699" s="52" t="s">
        <v>26</v>
      </c>
      <c r="G1699" s="53"/>
    </row>
    <row r="1700">
      <c r="A1700" s="49">
        <v>44502.28812702546</v>
      </c>
      <c r="B1700" s="50">
        <v>44502.4130986226</v>
      </c>
      <c r="C1700" s="51">
        <v>1.013</v>
      </c>
      <c r="D1700" s="51">
        <v>65.0</v>
      </c>
      <c r="E1700" s="52" t="s">
        <v>25</v>
      </c>
      <c r="F1700" s="52" t="s">
        <v>26</v>
      </c>
      <c r="G1700" s="53"/>
    </row>
    <row r="1701">
      <c r="A1701" s="49">
        <v>44502.29854427083</v>
      </c>
      <c r="B1701" s="50">
        <v>44502.4235200347</v>
      </c>
      <c r="C1701" s="51">
        <v>1.013</v>
      </c>
      <c r="D1701" s="51">
        <v>65.0</v>
      </c>
      <c r="E1701" s="52" t="s">
        <v>25</v>
      </c>
      <c r="F1701" s="52" t="s">
        <v>26</v>
      </c>
      <c r="G1701" s="53"/>
    </row>
    <row r="1702">
      <c r="A1702" s="49">
        <v>44502.30896693287</v>
      </c>
      <c r="B1702" s="50">
        <v>44502.4339397338</v>
      </c>
      <c r="C1702" s="51">
        <v>1.013</v>
      </c>
      <c r="D1702" s="51">
        <v>65.0</v>
      </c>
      <c r="E1702" s="52" t="s">
        <v>25</v>
      </c>
      <c r="F1702" s="52" t="s">
        <v>26</v>
      </c>
      <c r="G1702" s="53"/>
    </row>
    <row r="1703">
      <c r="A1703" s="49">
        <v>44502.3193900926</v>
      </c>
      <c r="B1703" s="50">
        <v>44502.4443609259</v>
      </c>
      <c r="C1703" s="51">
        <v>1.013</v>
      </c>
      <c r="D1703" s="51">
        <v>65.0</v>
      </c>
      <c r="E1703" s="52" t="s">
        <v>25</v>
      </c>
      <c r="F1703" s="52" t="s">
        <v>26</v>
      </c>
      <c r="G1703" s="53"/>
    </row>
    <row r="1704">
      <c r="A1704" s="49">
        <v>44502.32980537037</v>
      </c>
      <c r="B1704" s="50">
        <v>44502.4547819444</v>
      </c>
      <c r="C1704" s="51">
        <v>1.014</v>
      </c>
      <c r="D1704" s="51">
        <v>65.0</v>
      </c>
      <c r="E1704" s="52" t="s">
        <v>25</v>
      </c>
      <c r="F1704" s="52" t="s">
        <v>26</v>
      </c>
      <c r="G1704" s="53"/>
    </row>
    <row r="1705">
      <c r="A1705" s="49">
        <v>44502.34022402778</v>
      </c>
      <c r="B1705" s="50">
        <v>44502.4652031134</v>
      </c>
      <c r="C1705" s="51">
        <v>1.014</v>
      </c>
      <c r="D1705" s="51">
        <v>65.0</v>
      </c>
      <c r="E1705" s="52" t="s">
        <v>25</v>
      </c>
      <c r="F1705" s="52" t="s">
        <v>26</v>
      </c>
      <c r="G1705" s="53"/>
    </row>
    <row r="1706">
      <c r="A1706" s="49">
        <v>44502.350643495374</v>
      </c>
      <c r="B1706" s="50">
        <v>44502.475625081</v>
      </c>
      <c r="C1706" s="51">
        <v>1.014</v>
      </c>
      <c r="D1706" s="51">
        <v>65.0</v>
      </c>
      <c r="E1706" s="52" t="s">
        <v>25</v>
      </c>
      <c r="F1706" s="52" t="s">
        <v>26</v>
      </c>
      <c r="G1706" s="53"/>
    </row>
    <row r="1707">
      <c r="A1707" s="49">
        <v>44502.36107666667</v>
      </c>
      <c r="B1707" s="50">
        <v>44502.486046655</v>
      </c>
      <c r="C1707" s="51">
        <v>1.014</v>
      </c>
      <c r="D1707" s="51">
        <v>65.0</v>
      </c>
      <c r="E1707" s="52" t="s">
        <v>25</v>
      </c>
      <c r="F1707" s="52" t="s">
        <v>26</v>
      </c>
      <c r="G1707" s="53"/>
    </row>
    <row r="1708">
      <c r="A1708" s="49">
        <v>44502.371497430555</v>
      </c>
      <c r="B1708" s="50">
        <v>44502.4964670486</v>
      </c>
      <c r="C1708" s="51">
        <v>1.014</v>
      </c>
      <c r="D1708" s="51">
        <v>65.0</v>
      </c>
      <c r="E1708" s="52" t="s">
        <v>25</v>
      </c>
      <c r="F1708" s="52" t="s">
        <v>26</v>
      </c>
      <c r="G1708" s="53"/>
    </row>
    <row r="1709">
      <c r="A1709" s="49">
        <v>44502.381921249995</v>
      </c>
      <c r="B1709" s="50">
        <v>44502.5068888888</v>
      </c>
      <c r="C1709" s="51">
        <v>1.014</v>
      </c>
      <c r="D1709" s="51">
        <v>65.0</v>
      </c>
      <c r="E1709" s="52" t="s">
        <v>25</v>
      </c>
      <c r="F1709" s="52" t="s">
        <v>26</v>
      </c>
      <c r="G1709" s="53"/>
    </row>
    <row r="1710">
      <c r="A1710" s="49">
        <v>44502.392340555554</v>
      </c>
      <c r="B1710" s="50">
        <v>44502.517309456</v>
      </c>
      <c r="C1710" s="51">
        <v>1.014</v>
      </c>
      <c r="D1710" s="51">
        <v>65.0</v>
      </c>
      <c r="E1710" s="52" t="s">
        <v>25</v>
      </c>
      <c r="F1710" s="52" t="s">
        <v>26</v>
      </c>
      <c r="G1710" s="53"/>
    </row>
    <row r="1711">
      <c r="A1711" s="49">
        <v>44502.402755069445</v>
      </c>
      <c r="B1711" s="50">
        <v>44502.5277298842</v>
      </c>
      <c r="C1711" s="51">
        <v>1.013</v>
      </c>
      <c r="D1711" s="51">
        <v>65.0</v>
      </c>
      <c r="E1711" s="52" t="s">
        <v>25</v>
      </c>
      <c r="F1711" s="52" t="s">
        <v>26</v>
      </c>
      <c r="G1711" s="53"/>
    </row>
    <row r="1712">
      <c r="A1712" s="49">
        <v>44502.41317980324</v>
      </c>
      <c r="B1712" s="50">
        <v>44502.5381498726</v>
      </c>
      <c r="C1712" s="51">
        <v>1.013</v>
      </c>
      <c r="D1712" s="51">
        <v>65.0</v>
      </c>
      <c r="E1712" s="52" t="s">
        <v>25</v>
      </c>
      <c r="F1712" s="52" t="s">
        <v>26</v>
      </c>
      <c r="G1712" s="53"/>
    </row>
    <row r="1713">
      <c r="A1713" s="49">
        <v>44502.42360314815</v>
      </c>
      <c r="B1713" s="50">
        <v>44502.5485690509</v>
      </c>
      <c r="C1713" s="51">
        <v>1.013</v>
      </c>
      <c r="D1713" s="51">
        <v>65.0</v>
      </c>
      <c r="E1713" s="52" t="s">
        <v>25</v>
      </c>
      <c r="F1713" s="52" t="s">
        <v>26</v>
      </c>
      <c r="G1713" s="53"/>
    </row>
    <row r="1714">
      <c r="A1714" s="49">
        <v>44502.43402084491</v>
      </c>
      <c r="B1714" s="50">
        <v>44502.5589904282</v>
      </c>
      <c r="C1714" s="51">
        <v>1.013</v>
      </c>
      <c r="D1714" s="51">
        <v>65.0</v>
      </c>
      <c r="E1714" s="52" t="s">
        <v>25</v>
      </c>
      <c r="F1714" s="52" t="s">
        <v>26</v>
      </c>
      <c r="G1714" s="53"/>
    </row>
    <row r="1715">
      <c r="A1715" s="49">
        <v>44502.44443928241</v>
      </c>
      <c r="B1715" s="50">
        <v>44502.5694115856</v>
      </c>
      <c r="C1715" s="51">
        <v>1.013</v>
      </c>
      <c r="D1715" s="51">
        <v>65.0</v>
      </c>
      <c r="E1715" s="52" t="s">
        <v>25</v>
      </c>
      <c r="F1715" s="52" t="s">
        <v>26</v>
      </c>
      <c r="G1715" s="53"/>
    </row>
    <row r="1716">
      <c r="A1716" s="49">
        <v>44502.45485693287</v>
      </c>
      <c r="B1716" s="50">
        <v>44502.579834699</v>
      </c>
      <c r="C1716" s="51">
        <v>1.013</v>
      </c>
      <c r="D1716" s="51">
        <v>65.0</v>
      </c>
      <c r="E1716" s="52" t="s">
        <v>25</v>
      </c>
      <c r="F1716" s="52" t="s">
        <v>26</v>
      </c>
      <c r="G1716" s="53"/>
    </row>
    <row r="1717">
      <c r="A1717" s="49">
        <v>44502.46528803241</v>
      </c>
      <c r="B1717" s="50">
        <v>44502.5902550925</v>
      </c>
      <c r="C1717" s="51">
        <v>1.013</v>
      </c>
      <c r="D1717" s="51">
        <v>65.0</v>
      </c>
      <c r="E1717" s="52" t="s">
        <v>25</v>
      </c>
      <c r="F1717" s="52" t="s">
        <v>26</v>
      </c>
      <c r="G1717" s="53"/>
    </row>
    <row r="1718">
      <c r="A1718" s="49">
        <v>44502.47570384259</v>
      </c>
      <c r="B1718" s="50">
        <v>44502.6006745601</v>
      </c>
      <c r="C1718" s="51">
        <v>1.013</v>
      </c>
      <c r="D1718" s="51">
        <v>65.0</v>
      </c>
      <c r="E1718" s="52" t="s">
        <v>25</v>
      </c>
      <c r="F1718" s="52" t="s">
        <v>26</v>
      </c>
      <c r="G1718" s="53"/>
    </row>
    <row r="1719">
      <c r="A1719" s="49">
        <v>44502.48613980324</v>
      </c>
      <c r="B1719" s="50">
        <v>44502.6111081828</v>
      </c>
      <c r="C1719" s="51">
        <v>1.013</v>
      </c>
      <c r="D1719" s="51">
        <v>65.0</v>
      </c>
      <c r="E1719" s="52" t="s">
        <v>25</v>
      </c>
      <c r="F1719" s="52" t="s">
        <v>26</v>
      </c>
      <c r="G1719" s="53"/>
    </row>
    <row r="1720">
      <c r="A1720" s="49">
        <v>44502.49655467593</v>
      </c>
      <c r="B1720" s="50">
        <v>44502.6215316898</v>
      </c>
      <c r="C1720" s="51">
        <v>1.013</v>
      </c>
      <c r="D1720" s="51">
        <v>65.0</v>
      </c>
      <c r="E1720" s="52" t="s">
        <v>25</v>
      </c>
      <c r="F1720" s="52" t="s">
        <v>26</v>
      </c>
      <c r="G1720" s="53"/>
    </row>
    <row r="1721">
      <c r="A1721" s="49">
        <v>44502.50697333334</v>
      </c>
      <c r="B1721" s="50">
        <v>44502.6319511458</v>
      </c>
      <c r="C1721" s="51">
        <v>1.013</v>
      </c>
      <c r="D1721" s="51">
        <v>65.0</v>
      </c>
      <c r="E1721" s="52" t="s">
        <v>25</v>
      </c>
      <c r="F1721" s="52" t="s">
        <v>26</v>
      </c>
      <c r="G1721" s="53"/>
    </row>
    <row r="1722">
      <c r="A1722" s="49">
        <v>44502.51739158564</v>
      </c>
      <c r="B1722" s="50">
        <v>44502.6423723263</v>
      </c>
      <c r="C1722" s="51">
        <v>1.013</v>
      </c>
      <c r="D1722" s="51">
        <v>65.0</v>
      </c>
      <c r="E1722" s="52" t="s">
        <v>25</v>
      </c>
      <c r="F1722" s="52" t="s">
        <v>26</v>
      </c>
      <c r="G1722" s="53"/>
    </row>
    <row r="1723">
      <c r="A1723" s="49">
        <v>44502.527855057866</v>
      </c>
      <c r="B1723" s="50">
        <v>44502.6527934953</v>
      </c>
      <c r="C1723" s="51">
        <v>1.014</v>
      </c>
      <c r="D1723" s="51">
        <v>65.0</v>
      </c>
      <c r="E1723" s="52" t="s">
        <v>25</v>
      </c>
      <c r="F1723" s="52" t="s">
        <v>26</v>
      </c>
      <c r="G1723" s="53"/>
    </row>
    <row r="1724">
      <c r="A1724" s="49">
        <v>44502.53824260416</v>
      </c>
      <c r="B1724" s="50">
        <v>44502.6632143518</v>
      </c>
      <c r="C1724" s="51">
        <v>1.014</v>
      </c>
      <c r="D1724" s="51">
        <v>65.0</v>
      </c>
      <c r="E1724" s="52" t="s">
        <v>25</v>
      </c>
      <c r="F1724" s="52" t="s">
        <v>26</v>
      </c>
      <c r="G1724" s="53"/>
    </row>
    <row r="1725">
      <c r="A1725" s="49">
        <v>44502.548663587964</v>
      </c>
      <c r="B1725" s="50">
        <v>44502.6736369328</v>
      </c>
      <c r="C1725" s="51">
        <v>1.014</v>
      </c>
      <c r="D1725" s="51">
        <v>65.0</v>
      </c>
      <c r="E1725" s="52" t="s">
        <v>25</v>
      </c>
      <c r="F1725" s="52" t="s">
        <v>26</v>
      </c>
      <c r="G1725" s="53"/>
    </row>
    <row r="1726">
      <c r="A1726" s="49">
        <v>44502.55908041667</v>
      </c>
      <c r="B1726" s="50">
        <v>44502.6840587037</v>
      </c>
      <c r="C1726" s="51">
        <v>1.014</v>
      </c>
      <c r="D1726" s="51">
        <v>65.0</v>
      </c>
      <c r="E1726" s="52" t="s">
        <v>25</v>
      </c>
      <c r="F1726" s="52" t="s">
        <v>26</v>
      </c>
      <c r="G1726" s="53"/>
    </row>
    <row r="1727">
      <c r="A1727" s="49">
        <v>44502.56950542824</v>
      </c>
      <c r="B1727" s="50">
        <v>44502.6944770486</v>
      </c>
      <c r="C1727" s="51">
        <v>1.013</v>
      </c>
      <c r="D1727" s="51">
        <v>65.0</v>
      </c>
      <c r="E1727" s="52" t="s">
        <v>25</v>
      </c>
      <c r="F1727" s="52" t="s">
        <v>26</v>
      </c>
      <c r="G1727" s="53"/>
    </row>
    <row r="1728">
      <c r="A1728" s="49">
        <v>44502.57992880787</v>
      </c>
      <c r="B1728" s="50">
        <v>44502.7048984143</v>
      </c>
      <c r="C1728" s="51">
        <v>1.014</v>
      </c>
      <c r="D1728" s="51">
        <v>65.0</v>
      </c>
      <c r="E1728" s="52" t="s">
        <v>25</v>
      </c>
      <c r="F1728" s="52" t="s">
        <v>26</v>
      </c>
      <c r="G1728" s="53"/>
    </row>
    <row r="1729">
      <c r="A1729" s="49">
        <v>44502.59035846065</v>
      </c>
      <c r="B1729" s="50">
        <v>44502.7153309953</v>
      </c>
      <c r="C1729" s="51">
        <v>1.014</v>
      </c>
      <c r="D1729" s="51">
        <v>65.0</v>
      </c>
      <c r="E1729" s="52" t="s">
        <v>25</v>
      </c>
      <c r="F1729" s="52" t="s">
        <v>26</v>
      </c>
      <c r="G1729" s="53"/>
    </row>
    <row r="1730">
      <c r="A1730" s="49">
        <v>44502.60077440972</v>
      </c>
      <c r="B1730" s="50">
        <v>44502.7257517245</v>
      </c>
      <c r="C1730" s="51">
        <v>1.013</v>
      </c>
      <c r="D1730" s="51">
        <v>65.0</v>
      </c>
      <c r="E1730" s="52" t="s">
        <v>25</v>
      </c>
      <c r="F1730" s="52" t="s">
        <v>26</v>
      </c>
      <c r="G1730" s="53"/>
    </row>
    <row r="1731">
      <c r="A1731" s="49">
        <v>44502.611216516205</v>
      </c>
      <c r="B1731" s="50">
        <v>44502.7361852199</v>
      </c>
      <c r="C1731" s="51">
        <v>1.013</v>
      </c>
      <c r="D1731" s="51">
        <v>65.0</v>
      </c>
      <c r="E1731" s="52" t="s">
        <v>25</v>
      </c>
      <c r="F1731" s="52" t="s">
        <v>26</v>
      </c>
      <c r="G1731" s="53"/>
    </row>
    <row r="1732">
      <c r="A1732" s="49">
        <v>44502.62163076389</v>
      </c>
      <c r="B1732" s="50">
        <v>44502.7466081597</v>
      </c>
      <c r="C1732" s="51">
        <v>1.014</v>
      </c>
      <c r="D1732" s="51">
        <v>65.0</v>
      </c>
      <c r="E1732" s="52" t="s">
        <v>25</v>
      </c>
      <c r="F1732" s="52" t="s">
        <v>26</v>
      </c>
      <c r="G1732" s="53"/>
    </row>
    <row r="1733">
      <c r="A1733" s="49">
        <v>44502.63205789352</v>
      </c>
      <c r="B1733" s="50">
        <v>44502.7570397916</v>
      </c>
      <c r="C1733" s="51">
        <v>1.013</v>
      </c>
      <c r="D1733" s="51">
        <v>65.0</v>
      </c>
      <c r="E1733" s="52" t="s">
        <v>25</v>
      </c>
      <c r="F1733" s="52" t="s">
        <v>26</v>
      </c>
      <c r="G1733" s="53"/>
    </row>
    <row r="1734">
      <c r="A1734" s="49">
        <v>44502.642490162034</v>
      </c>
      <c r="B1734" s="50">
        <v>44502.7674619907</v>
      </c>
      <c r="C1734" s="51">
        <v>1.013</v>
      </c>
      <c r="D1734" s="51">
        <v>65.0</v>
      </c>
      <c r="E1734" s="52" t="s">
        <v>25</v>
      </c>
      <c r="F1734" s="52" t="s">
        <v>26</v>
      </c>
      <c r="G1734" s="53"/>
    </row>
    <row r="1735">
      <c r="A1735" s="49">
        <v>44502.65290785879</v>
      </c>
      <c r="B1735" s="50">
        <v>44502.7778845949</v>
      </c>
      <c r="C1735" s="51">
        <v>1.014</v>
      </c>
      <c r="D1735" s="51">
        <v>65.0</v>
      </c>
      <c r="E1735" s="52" t="s">
        <v>25</v>
      </c>
      <c r="F1735" s="52" t="s">
        <v>26</v>
      </c>
      <c r="G1735" s="53"/>
    </row>
    <row r="1736">
      <c r="A1736" s="49">
        <v>44502.66334493055</v>
      </c>
      <c r="B1736" s="50">
        <v>44502.7883187731</v>
      </c>
      <c r="C1736" s="51">
        <v>1.013</v>
      </c>
      <c r="D1736" s="51">
        <v>65.0</v>
      </c>
      <c r="E1736" s="52" t="s">
        <v>25</v>
      </c>
      <c r="F1736" s="52" t="s">
        <v>26</v>
      </c>
      <c r="G1736" s="53"/>
    </row>
    <row r="1737">
      <c r="A1737" s="49">
        <v>44502.673787997686</v>
      </c>
      <c r="B1737" s="50">
        <v>44502.7987635648</v>
      </c>
      <c r="C1737" s="51">
        <v>1.014</v>
      </c>
      <c r="D1737" s="51">
        <v>65.0</v>
      </c>
      <c r="E1737" s="52" t="s">
        <v>25</v>
      </c>
      <c r="F1737" s="52" t="s">
        <v>26</v>
      </c>
      <c r="G1737" s="53"/>
    </row>
    <row r="1738">
      <c r="A1738" s="49">
        <v>44502.684210983796</v>
      </c>
      <c r="B1738" s="50">
        <v>44502.8091843865</v>
      </c>
      <c r="C1738" s="51">
        <v>1.013</v>
      </c>
      <c r="D1738" s="51">
        <v>65.0</v>
      </c>
      <c r="E1738" s="52" t="s">
        <v>25</v>
      </c>
      <c r="F1738" s="52" t="s">
        <v>26</v>
      </c>
      <c r="G1738" s="53"/>
    </row>
    <row r="1739">
      <c r="A1739" s="49">
        <v>44502.69462903935</v>
      </c>
      <c r="B1739" s="50">
        <v>44502.819605868</v>
      </c>
      <c r="C1739" s="51">
        <v>1.014</v>
      </c>
      <c r="D1739" s="51">
        <v>65.0</v>
      </c>
      <c r="E1739" s="52" t="s">
        <v>25</v>
      </c>
      <c r="F1739" s="52" t="s">
        <v>26</v>
      </c>
      <c r="G1739" s="53"/>
    </row>
    <row r="1740">
      <c r="A1740" s="49">
        <v>44502.70504898149</v>
      </c>
      <c r="B1740" s="50">
        <v>44502.8300263194</v>
      </c>
      <c r="C1740" s="51">
        <v>1.014</v>
      </c>
      <c r="D1740" s="51">
        <v>65.0</v>
      </c>
      <c r="E1740" s="52" t="s">
        <v>25</v>
      </c>
      <c r="F1740" s="52" t="s">
        <v>26</v>
      </c>
      <c r="G1740" s="53"/>
    </row>
    <row r="1741">
      <c r="A1741" s="49">
        <v>44502.715466469905</v>
      </c>
      <c r="B1741" s="50">
        <v>44502.8404456712</v>
      </c>
      <c r="C1741" s="51">
        <v>1.014</v>
      </c>
      <c r="D1741" s="51">
        <v>65.0</v>
      </c>
      <c r="E1741" s="52" t="s">
        <v>25</v>
      </c>
      <c r="F1741" s="52" t="s">
        <v>26</v>
      </c>
      <c r="G1741" s="53"/>
    </row>
    <row r="1742">
      <c r="A1742" s="49">
        <v>44502.72589459491</v>
      </c>
      <c r="B1742" s="50">
        <v>44502.8508662615</v>
      </c>
      <c r="C1742" s="51">
        <v>1.014</v>
      </c>
      <c r="D1742" s="51">
        <v>65.0</v>
      </c>
      <c r="E1742" s="52" t="s">
        <v>25</v>
      </c>
      <c r="F1742" s="52" t="s">
        <v>26</v>
      </c>
      <c r="G1742" s="53"/>
    </row>
    <row r="1743">
      <c r="A1743" s="49">
        <v>44502.73632737268</v>
      </c>
      <c r="B1743" s="50">
        <v>44502.8612982175</v>
      </c>
      <c r="C1743" s="51">
        <v>1.014</v>
      </c>
      <c r="D1743" s="51">
        <v>65.0</v>
      </c>
      <c r="E1743" s="52" t="s">
        <v>25</v>
      </c>
      <c r="F1743" s="52" t="s">
        <v>26</v>
      </c>
      <c r="G1743" s="53"/>
    </row>
    <row r="1744">
      <c r="A1744" s="49">
        <v>44502.74674505787</v>
      </c>
      <c r="B1744" s="50">
        <v>44502.8717183449</v>
      </c>
      <c r="C1744" s="51">
        <v>1.014</v>
      </c>
      <c r="D1744" s="51">
        <v>65.0</v>
      </c>
      <c r="E1744" s="52" t="s">
        <v>25</v>
      </c>
      <c r="F1744" s="52" t="s">
        <v>26</v>
      </c>
      <c r="G1744" s="53"/>
    </row>
    <row r="1745">
      <c r="A1745" s="49">
        <v>44502.757165891206</v>
      </c>
      <c r="B1745" s="50">
        <v>44502.8821424537</v>
      </c>
      <c r="C1745" s="51">
        <v>1.014</v>
      </c>
      <c r="D1745" s="51">
        <v>65.0</v>
      </c>
      <c r="E1745" s="52" t="s">
        <v>25</v>
      </c>
      <c r="F1745" s="52" t="s">
        <v>26</v>
      </c>
      <c r="G1745" s="53"/>
    </row>
    <row r="1746">
      <c r="A1746" s="49">
        <v>44502.7675915162</v>
      </c>
      <c r="B1746" s="50">
        <v>44502.8925751967</v>
      </c>
      <c r="C1746" s="51">
        <v>1.014</v>
      </c>
      <c r="D1746" s="51">
        <v>65.0</v>
      </c>
      <c r="E1746" s="52" t="s">
        <v>25</v>
      </c>
      <c r="F1746" s="52" t="s">
        <v>26</v>
      </c>
      <c r="G1746" s="53"/>
    </row>
    <row r="1747">
      <c r="A1747" s="49">
        <v>44502.77804928241</v>
      </c>
      <c r="B1747" s="50">
        <v>44502.9030189699</v>
      </c>
      <c r="C1747" s="51">
        <v>1.014</v>
      </c>
      <c r="D1747" s="51">
        <v>65.0</v>
      </c>
      <c r="E1747" s="52" t="s">
        <v>25</v>
      </c>
      <c r="F1747" s="52" t="s">
        <v>26</v>
      </c>
      <c r="G1747" s="53"/>
    </row>
    <row r="1748">
      <c r="A1748" s="49">
        <v>44502.788470775464</v>
      </c>
      <c r="B1748" s="50">
        <v>44502.9134405902</v>
      </c>
      <c r="C1748" s="51">
        <v>1.014</v>
      </c>
      <c r="D1748" s="51">
        <v>65.0</v>
      </c>
      <c r="E1748" s="52" t="s">
        <v>25</v>
      </c>
      <c r="F1748" s="52" t="s">
        <v>26</v>
      </c>
      <c r="G1748" s="53"/>
    </row>
    <row r="1749">
      <c r="A1749" s="49">
        <v>44502.79889721065</v>
      </c>
      <c r="B1749" s="50">
        <v>44502.9238741898</v>
      </c>
      <c r="C1749" s="51">
        <v>1.014</v>
      </c>
      <c r="D1749" s="51">
        <v>65.0</v>
      </c>
      <c r="E1749" s="52" t="s">
        <v>25</v>
      </c>
      <c r="F1749" s="52" t="s">
        <v>26</v>
      </c>
      <c r="G1749" s="53"/>
    </row>
    <row r="1750">
      <c r="A1750" s="49">
        <v>44502.80931388889</v>
      </c>
      <c r="B1750" s="50">
        <v>44502.9342949768</v>
      </c>
      <c r="C1750" s="51">
        <v>1.014</v>
      </c>
      <c r="D1750" s="51">
        <v>65.0</v>
      </c>
      <c r="E1750" s="52" t="s">
        <v>25</v>
      </c>
      <c r="F1750" s="52" t="s">
        <v>26</v>
      </c>
      <c r="G1750" s="53"/>
    </row>
    <row r="1751">
      <c r="A1751" s="49">
        <v>44502.819748368056</v>
      </c>
      <c r="B1751" s="50">
        <v>44502.9447185879</v>
      </c>
      <c r="C1751" s="51">
        <v>1.014</v>
      </c>
      <c r="D1751" s="51">
        <v>65.0</v>
      </c>
      <c r="E1751" s="52" t="s">
        <v>25</v>
      </c>
      <c r="F1751" s="52" t="s">
        <v>26</v>
      </c>
      <c r="G1751" s="53"/>
    </row>
    <row r="1752">
      <c r="A1752" s="49">
        <v>44502.83017260417</v>
      </c>
      <c r="B1752" s="50">
        <v>44502.9551405902</v>
      </c>
      <c r="C1752" s="51">
        <v>1.014</v>
      </c>
      <c r="D1752" s="51">
        <v>65.0</v>
      </c>
      <c r="E1752" s="52" t="s">
        <v>25</v>
      </c>
      <c r="F1752" s="52" t="s">
        <v>26</v>
      </c>
      <c r="G1752" s="53"/>
    </row>
    <row r="1753">
      <c r="A1753" s="49">
        <v>44502.840596145834</v>
      </c>
      <c r="B1753" s="50">
        <v>44502.9655628935</v>
      </c>
      <c r="C1753" s="51">
        <v>1.014</v>
      </c>
      <c r="D1753" s="51">
        <v>65.0</v>
      </c>
      <c r="E1753" s="52" t="s">
        <v>25</v>
      </c>
      <c r="F1753" s="52" t="s">
        <v>26</v>
      </c>
      <c r="G1753" s="53"/>
    </row>
    <row r="1754">
      <c r="A1754" s="49">
        <v>44502.85102482639</v>
      </c>
      <c r="B1754" s="50">
        <v>44502.9759957291</v>
      </c>
      <c r="C1754" s="51">
        <v>1.014</v>
      </c>
      <c r="D1754" s="51">
        <v>65.0</v>
      </c>
      <c r="E1754" s="52" t="s">
        <v>25</v>
      </c>
      <c r="F1754" s="52" t="s">
        <v>26</v>
      </c>
      <c r="G1754" s="53"/>
    </row>
    <row r="1755">
      <c r="A1755" s="49">
        <v>44502.86144865741</v>
      </c>
      <c r="B1755" s="50">
        <v>44502.9864179629</v>
      </c>
      <c r="C1755" s="51">
        <v>1.014</v>
      </c>
      <c r="D1755" s="51">
        <v>65.0</v>
      </c>
      <c r="E1755" s="52" t="s">
        <v>25</v>
      </c>
      <c r="F1755" s="52" t="s">
        <v>26</v>
      </c>
      <c r="G1755" s="53"/>
    </row>
    <row r="1756">
      <c r="A1756" s="49">
        <v>44502.87187534722</v>
      </c>
      <c r="B1756" s="50">
        <v>44502.9968495486</v>
      </c>
      <c r="C1756" s="51">
        <v>1.014</v>
      </c>
      <c r="D1756" s="51">
        <v>65.0</v>
      </c>
      <c r="E1756" s="52" t="s">
        <v>25</v>
      </c>
      <c r="F1756" s="52" t="s">
        <v>26</v>
      </c>
      <c r="G1756" s="53"/>
    </row>
    <row r="1757">
      <c r="A1757" s="49">
        <v>44502.882306597225</v>
      </c>
      <c r="B1757" s="50">
        <v>44503.0072695486</v>
      </c>
      <c r="C1757" s="51">
        <v>1.014</v>
      </c>
      <c r="D1757" s="51">
        <v>65.0</v>
      </c>
      <c r="E1757" s="52" t="s">
        <v>25</v>
      </c>
      <c r="F1757" s="52" t="s">
        <v>26</v>
      </c>
      <c r="G1757" s="53"/>
    </row>
    <row r="1758">
      <c r="A1758" s="49">
        <v>44502.89272138889</v>
      </c>
      <c r="B1758" s="50">
        <v>44503.0176917592</v>
      </c>
      <c r="C1758" s="51">
        <v>1.014</v>
      </c>
      <c r="D1758" s="51">
        <v>65.0</v>
      </c>
      <c r="E1758" s="52" t="s">
        <v>25</v>
      </c>
      <c r="F1758" s="52" t="s">
        <v>26</v>
      </c>
      <c r="G1758" s="53"/>
    </row>
    <row r="1759">
      <c r="A1759" s="49">
        <v>44502.90314072916</v>
      </c>
      <c r="B1759" s="50">
        <v>44503.0281124537</v>
      </c>
      <c r="C1759" s="51">
        <v>1.014</v>
      </c>
      <c r="D1759" s="51">
        <v>65.0</v>
      </c>
      <c r="E1759" s="52" t="s">
        <v>25</v>
      </c>
      <c r="F1759" s="52" t="s">
        <v>26</v>
      </c>
      <c r="G1759" s="53"/>
    </row>
    <row r="1760">
      <c r="A1760" s="49">
        <v>44502.913562835645</v>
      </c>
      <c r="B1760" s="50">
        <v>44503.0385321412</v>
      </c>
      <c r="C1760" s="51">
        <v>1.014</v>
      </c>
      <c r="D1760" s="51">
        <v>65.0</v>
      </c>
      <c r="E1760" s="52" t="s">
        <v>25</v>
      </c>
      <c r="F1760" s="52" t="s">
        <v>26</v>
      </c>
      <c r="G1760" s="53"/>
    </row>
    <row r="1761">
      <c r="A1761" s="49">
        <v>44502.923975833335</v>
      </c>
      <c r="B1761" s="50">
        <v>44503.048953368</v>
      </c>
      <c r="C1761" s="51">
        <v>1.014</v>
      </c>
      <c r="D1761" s="51">
        <v>65.0</v>
      </c>
      <c r="E1761" s="52" t="s">
        <v>25</v>
      </c>
      <c r="F1761" s="52" t="s">
        <v>26</v>
      </c>
      <c r="G1761" s="53"/>
    </row>
    <row r="1762">
      <c r="A1762" s="49">
        <v>44502.93440643519</v>
      </c>
      <c r="B1762" s="50">
        <v>44503.0593756597</v>
      </c>
      <c r="C1762" s="51">
        <v>1.014</v>
      </c>
      <c r="D1762" s="51">
        <v>65.0</v>
      </c>
      <c r="E1762" s="52" t="s">
        <v>25</v>
      </c>
      <c r="F1762" s="52" t="s">
        <v>26</v>
      </c>
      <c r="G1762" s="53"/>
    </row>
    <row r="1763">
      <c r="A1763" s="49">
        <v>44502.94483021991</v>
      </c>
      <c r="B1763" s="50">
        <v>44503.0697977546</v>
      </c>
      <c r="C1763" s="51">
        <v>1.014</v>
      </c>
      <c r="D1763" s="51">
        <v>65.0</v>
      </c>
      <c r="E1763" s="52" t="s">
        <v>25</v>
      </c>
      <c r="F1763" s="52" t="s">
        <v>26</v>
      </c>
      <c r="G1763" s="53"/>
    </row>
    <row r="1764">
      <c r="A1764" s="49">
        <v>44502.955238634255</v>
      </c>
      <c r="B1764" s="50">
        <v>44503.0802181944</v>
      </c>
      <c r="C1764" s="51">
        <v>1.014</v>
      </c>
      <c r="D1764" s="51">
        <v>65.0</v>
      </c>
      <c r="E1764" s="52" t="s">
        <v>25</v>
      </c>
      <c r="F1764" s="52" t="s">
        <v>26</v>
      </c>
      <c r="G1764" s="53"/>
    </row>
    <row r="1765">
      <c r="A1765" s="49">
        <v>44502.96566883102</v>
      </c>
      <c r="B1765" s="50">
        <v>44503.0906384837</v>
      </c>
      <c r="C1765" s="51">
        <v>1.014</v>
      </c>
      <c r="D1765" s="51">
        <v>65.0</v>
      </c>
      <c r="E1765" s="52" t="s">
        <v>25</v>
      </c>
      <c r="F1765" s="52" t="s">
        <v>26</v>
      </c>
      <c r="G1765" s="53"/>
    </row>
    <row r="1766">
      <c r="A1766" s="49">
        <v>44502.97610971065</v>
      </c>
      <c r="B1766" s="50">
        <v>44503.1010840509</v>
      </c>
      <c r="C1766" s="51">
        <v>1.014</v>
      </c>
      <c r="D1766" s="51">
        <v>65.0</v>
      </c>
      <c r="E1766" s="52" t="s">
        <v>25</v>
      </c>
      <c r="F1766" s="52" t="s">
        <v>26</v>
      </c>
      <c r="G1766" s="53"/>
    </row>
    <row r="1767">
      <c r="A1767" s="49">
        <v>44502.98653837963</v>
      </c>
      <c r="B1767" s="50">
        <v>44503.1115027662</v>
      </c>
      <c r="C1767" s="51">
        <v>1.014</v>
      </c>
      <c r="D1767" s="51">
        <v>65.0</v>
      </c>
      <c r="E1767" s="52" t="s">
        <v>25</v>
      </c>
      <c r="F1767" s="52" t="s">
        <v>26</v>
      </c>
      <c r="G1767" s="53"/>
    </row>
    <row r="1768">
      <c r="A1768" s="49">
        <v>44502.996957337964</v>
      </c>
      <c r="B1768" s="50">
        <v>44503.1219258449</v>
      </c>
      <c r="C1768" s="51">
        <v>1.014</v>
      </c>
      <c r="D1768" s="51">
        <v>65.0</v>
      </c>
      <c r="E1768" s="52" t="s">
        <v>25</v>
      </c>
      <c r="F1768" s="52" t="s">
        <v>26</v>
      </c>
      <c r="G1768" s="53"/>
    </row>
    <row r="1769">
      <c r="A1769" s="49">
        <v>44503.007388750004</v>
      </c>
      <c r="B1769" s="50">
        <v>44503.1323585764</v>
      </c>
      <c r="C1769" s="51">
        <v>1.013</v>
      </c>
      <c r="D1769" s="51">
        <v>65.0</v>
      </c>
      <c r="E1769" s="52" t="s">
        <v>25</v>
      </c>
      <c r="F1769" s="52" t="s">
        <v>26</v>
      </c>
      <c r="G1769" s="53"/>
    </row>
    <row r="1770">
      <c r="A1770" s="49">
        <v>44503.017831805555</v>
      </c>
      <c r="B1770" s="50">
        <v>44503.1427929976</v>
      </c>
      <c r="C1770" s="51">
        <v>1.013</v>
      </c>
      <c r="D1770" s="51">
        <v>65.0</v>
      </c>
      <c r="E1770" s="52" t="s">
        <v>25</v>
      </c>
      <c r="F1770" s="52" t="s">
        <v>26</v>
      </c>
      <c r="G1770" s="53"/>
    </row>
    <row r="1771">
      <c r="A1771" s="49">
        <v>44503.02825138889</v>
      </c>
      <c r="B1771" s="50">
        <v>44503.1532254629</v>
      </c>
      <c r="C1771" s="51">
        <v>1.013</v>
      </c>
      <c r="D1771" s="51">
        <v>65.0</v>
      </c>
      <c r="E1771" s="52" t="s">
        <v>25</v>
      </c>
      <c r="F1771" s="52" t="s">
        <v>26</v>
      </c>
      <c r="G1771" s="53"/>
    </row>
    <row r="1772">
      <c r="A1772" s="49">
        <v>44503.03867042824</v>
      </c>
      <c r="B1772" s="50">
        <v>44503.1636471064</v>
      </c>
      <c r="C1772" s="51">
        <v>1.013</v>
      </c>
      <c r="D1772" s="51">
        <v>65.0</v>
      </c>
      <c r="E1772" s="52" t="s">
        <v>25</v>
      </c>
      <c r="F1772" s="52" t="s">
        <v>26</v>
      </c>
      <c r="G1772" s="53"/>
    </row>
    <row r="1773">
      <c r="A1773" s="49">
        <v>44503.04910232639</v>
      </c>
      <c r="B1773" s="50">
        <v>44503.1740679398</v>
      </c>
      <c r="C1773" s="51">
        <v>1.013</v>
      </c>
      <c r="D1773" s="51">
        <v>65.0</v>
      </c>
      <c r="E1773" s="52" t="s">
        <v>25</v>
      </c>
      <c r="F1773" s="52" t="s">
        <v>26</v>
      </c>
      <c r="G1773" s="53"/>
    </row>
    <row r="1774">
      <c r="A1774" s="49">
        <v>44503.059520532406</v>
      </c>
      <c r="B1774" s="50">
        <v>44503.1844890393</v>
      </c>
      <c r="C1774" s="51">
        <v>1.013</v>
      </c>
      <c r="D1774" s="51">
        <v>65.0</v>
      </c>
      <c r="E1774" s="52" t="s">
        <v>25</v>
      </c>
      <c r="F1774" s="52" t="s">
        <v>26</v>
      </c>
      <c r="G1774" s="53"/>
    </row>
    <row r="1775">
      <c r="A1775" s="49">
        <v>44503.06993787037</v>
      </c>
      <c r="B1775" s="50">
        <v>44503.194910625</v>
      </c>
      <c r="C1775" s="51">
        <v>1.013</v>
      </c>
      <c r="D1775" s="51">
        <v>65.0</v>
      </c>
      <c r="E1775" s="52" t="s">
        <v>25</v>
      </c>
      <c r="F1775" s="52" t="s">
        <v>26</v>
      </c>
      <c r="G1775" s="53"/>
    </row>
    <row r="1776">
      <c r="A1776" s="49">
        <v>44503.080356226856</v>
      </c>
      <c r="B1776" s="50">
        <v>44503.2053320254</v>
      </c>
      <c r="C1776" s="51">
        <v>1.013</v>
      </c>
      <c r="D1776" s="51">
        <v>65.0</v>
      </c>
      <c r="E1776" s="52" t="s">
        <v>25</v>
      </c>
      <c r="F1776" s="52" t="s">
        <v>26</v>
      </c>
      <c r="G1776" s="53"/>
    </row>
    <row r="1777">
      <c r="A1777" s="49">
        <v>44503.090772800926</v>
      </c>
      <c r="B1777" s="50">
        <v>44503.2157520138</v>
      </c>
      <c r="C1777" s="51">
        <v>1.013</v>
      </c>
      <c r="D1777" s="51">
        <v>65.0</v>
      </c>
      <c r="E1777" s="52" t="s">
        <v>25</v>
      </c>
      <c r="F1777" s="52" t="s">
        <v>26</v>
      </c>
      <c r="G1777" s="53"/>
    </row>
    <row r="1778">
      <c r="A1778" s="49">
        <v>44503.10121663194</v>
      </c>
      <c r="B1778" s="50">
        <v>44503.2261838657</v>
      </c>
      <c r="C1778" s="51">
        <v>1.013</v>
      </c>
      <c r="D1778" s="51">
        <v>65.0</v>
      </c>
      <c r="E1778" s="52" t="s">
        <v>25</v>
      </c>
      <c r="F1778" s="52" t="s">
        <v>26</v>
      </c>
      <c r="G1778" s="53"/>
    </row>
    <row r="1779">
      <c r="A1779" s="49">
        <v>44503.11164844908</v>
      </c>
      <c r="B1779" s="50">
        <v>44503.236614537</v>
      </c>
      <c r="C1779" s="51">
        <v>1.013</v>
      </c>
      <c r="D1779" s="51">
        <v>65.0</v>
      </c>
      <c r="E1779" s="52" t="s">
        <v>25</v>
      </c>
      <c r="F1779" s="52" t="s">
        <v>26</v>
      </c>
      <c r="G1779" s="53"/>
    </row>
    <row r="1780">
      <c r="A1780" s="49">
        <v>44503.12205849537</v>
      </c>
      <c r="B1780" s="50">
        <v>44503.2470347106</v>
      </c>
      <c r="C1780" s="51">
        <v>1.013</v>
      </c>
      <c r="D1780" s="51">
        <v>65.0</v>
      </c>
      <c r="E1780" s="52" t="s">
        <v>25</v>
      </c>
      <c r="F1780" s="52" t="s">
        <v>26</v>
      </c>
      <c r="G1780" s="53"/>
    </row>
    <row r="1781">
      <c r="A1781" s="49">
        <v>44503.132480879634</v>
      </c>
      <c r="B1781" s="50">
        <v>44503.2574557523</v>
      </c>
      <c r="C1781" s="51">
        <v>1.013</v>
      </c>
      <c r="D1781" s="51">
        <v>65.0</v>
      </c>
      <c r="E1781" s="52" t="s">
        <v>25</v>
      </c>
      <c r="F1781" s="52" t="s">
        <v>26</v>
      </c>
      <c r="G1781" s="53"/>
    </row>
    <row r="1782">
      <c r="A1782" s="49">
        <v>44503.142906168985</v>
      </c>
      <c r="B1782" s="50">
        <v>44503.2678781713</v>
      </c>
      <c r="C1782" s="51">
        <v>1.013</v>
      </c>
      <c r="D1782" s="51">
        <v>65.0</v>
      </c>
      <c r="E1782" s="52" t="s">
        <v>25</v>
      </c>
      <c r="F1782" s="52" t="s">
        <v>26</v>
      </c>
      <c r="G1782" s="53"/>
    </row>
    <row r="1783">
      <c r="A1783" s="49">
        <v>44503.15332327546</v>
      </c>
      <c r="B1783" s="50">
        <v>44503.2782990162</v>
      </c>
      <c r="C1783" s="51">
        <v>1.013</v>
      </c>
      <c r="D1783" s="51">
        <v>65.0</v>
      </c>
      <c r="E1783" s="52" t="s">
        <v>25</v>
      </c>
      <c r="F1783" s="52" t="s">
        <v>26</v>
      </c>
      <c r="G1783" s="53"/>
    </row>
    <row r="1784">
      <c r="A1784" s="49">
        <v>44503.163744375</v>
      </c>
      <c r="B1784" s="50">
        <v>44503.2887200462</v>
      </c>
      <c r="C1784" s="51">
        <v>1.013</v>
      </c>
      <c r="D1784" s="51">
        <v>65.0</v>
      </c>
      <c r="E1784" s="52" t="s">
        <v>25</v>
      </c>
      <c r="F1784" s="52" t="s">
        <v>26</v>
      </c>
      <c r="G1784" s="53"/>
    </row>
    <row r="1785">
      <c r="A1785" s="49">
        <v>44503.17416594907</v>
      </c>
      <c r="B1785" s="50">
        <v>44503.2991417708</v>
      </c>
      <c r="C1785" s="51">
        <v>1.013</v>
      </c>
      <c r="D1785" s="51">
        <v>65.0</v>
      </c>
      <c r="E1785" s="52" t="s">
        <v>25</v>
      </c>
      <c r="F1785" s="52" t="s">
        <v>26</v>
      </c>
      <c r="G1785" s="53"/>
    </row>
    <row r="1786">
      <c r="A1786" s="49">
        <v>44503.184587048614</v>
      </c>
      <c r="B1786" s="50">
        <v>44503.3095645486</v>
      </c>
      <c r="C1786" s="51">
        <v>1.013</v>
      </c>
      <c r="D1786" s="51">
        <v>65.0</v>
      </c>
      <c r="E1786" s="52" t="s">
        <v>25</v>
      </c>
      <c r="F1786" s="52" t="s">
        <v>26</v>
      </c>
      <c r="G1786" s="53"/>
    </row>
    <row r="1787">
      <c r="A1787" s="49">
        <v>44503.19501386574</v>
      </c>
      <c r="B1787" s="50">
        <v>44503.3199843634</v>
      </c>
      <c r="C1787" s="51">
        <v>1.013</v>
      </c>
      <c r="D1787" s="51">
        <v>65.0</v>
      </c>
      <c r="E1787" s="52" t="s">
        <v>25</v>
      </c>
      <c r="F1787" s="52" t="s">
        <v>26</v>
      </c>
      <c r="G1787" s="53"/>
    </row>
    <row r="1788">
      <c r="A1788" s="49">
        <v>44503.20543215278</v>
      </c>
      <c r="B1788" s="50">
        <v>44503.3304039467</v>
      </c>
      <c r="C1788" s="51">
        <v>1.013</v>
      </c>
      <c r="D1788" s="51">
        <v>65.0</v>
      </c>
      <c r="E1788" s="52" t="s">
        <v>25</v>
      </c>
      <c r="F1788" s="52" t="s">
        <v>26</v>
      </c>
      <c r="G1788" s="53"/>
    </row>
    <row r="1789">
      <c r="A1789" s="49">
        <v>44503.21585054398</v>
      </c>
      <c r="B1789" s="50">
        <v>44503.3408247569</v>
      </c>
      <c r="C1789" s="51">
        <v>1.013</v>
      </c>
      <c r="D1789" s="51">
        <v>65.0</v>
      </c>
      <c r="E1789" s="52" t="s">
        <v>25</v>
      </c>
      <c r="F1789" s="52" t="s">
        <v>26</v>
      </c>
      <c r="G1789" s="53"/>
    </row>
    <row r="1790">
      <c r="A1790" s="49">
        <v>44503.22627075232</v>
      </c>
      <c r="B1790" s="50">
        <v>44503.3512440972</v>
      </c>
      <c r="C1790" s="51">
        <v>1.013</v>
      </c>
      <c r="D1790" s="51">
        <v>65.0</v>
      </c>
      <c r="E1790" s="52" t="s">
        <v>25</v>
      </c>
      <c r="F1790" s="52" t="s">
        <v>26</v>
      </c>
      <c r="G1790" s="53"/>
    </row>
    <row r="1791">
      <c r="A1791" s="49">
        <v>44503.236695694446</v>
      </c>
      <c r="B1791" s="50">
        <v>44503.3616650231</v>
      </c>
      <c r="C1791" s="51">
        <v>1.013</v>
      </c>
      <c r="D1791" s="51">
        <v>65.0</v>
      </c>
      <c r="E1791" s="52" t="s">
        <v>25</v>
      </c>
      <c r="F1791" s="52" t="s">
        <v>26</v>
      </c>
      <c r="G1791" s="53"/>
    </row>
    <row r="1792">
      <c r="A1792" s="49">
        <v>44503.247134363424</v>
      </c>
      <c r="B1792" s="50">
        <v>44503.3720974768</v>
      </c>
      <c r="C1792" s="51">
        <v>1.013</v>
      </c>
      <c r="D1792" s="51">
        <v>65.0</v>
      </c>
      <c r="E1792" s="52" t="s">
        <v>25</v>
      </c>
      <c r="F1792" s="52" t="s">
        <v>26</v>
      </c>
      <c r="G1792" s="53"/>
    </row>
    <row r="1793">
      <c r="A1793" s="49">
        <v>44503.25754104167</v>
      </c>
      <c r="B1793" s="50">
        <v>44503.3825184375</v>
      </c>
      <c r="C1793" s="51">
        <v>1.013</v>
      </c>
      <c r="D1793" s="51">
        <v>65.0</v>
      </c>
      <c r="E1793" s="52" t="s">
        <v>25</v>
      </c>
      <c r="F1793" s="52" t="s">
        <v>26</v>
      </c>
      <c r="G1793" s="53"/>
    </row>
    <row r="1794">
      <c r="A1794" s="49">
        <v>44503.26797246528</v>
      </c>
      <c r="B1794" s="50">
        <v>44503.3929393865</v>
      </c>
      <c r="C1794" s="51">
        <v>1.013</v>
      </c>
      <c r="D1794" s="51">
        <v>65.0</v>
      </c>
      <c r="E1794" s="52" t="s">
        <v>25</v>
      </c>
      <c r="F1794" s="52" t="s">
        <v>26</v>
      </c>
      <c r="G1794" s="53"/>
    </row>
    <row r="1795">
      <c r="A1795" s="49">
        <v>44503.27838159722</v>
      </c>
      <c r="B1795" s="50">
        <v>44503.4033601041</v>
      </c>
      <c r="C1795" s="51">
        <v>1.013</v>
      </c>
      <c r="D1795" s="51">
        <v>65.0</v>
      </c>
      <c r="E1795" s="52" t="s">
        <v>25</v>
      </c>
      <c r="F1795" s="52" t="s">
        <v>26</v>
      </c>
      <c r="G1795" s="53"/>
    </row>
    <row r="1796">
      <c r="A1796" s="49">
        <v>44503.28881070601</v>
      </c>
      <c r="B1796" s="50">
        <v>44503.4137802893</v>
      </c>
      <c r="C1796" s="51">
        <v>1.013</v>
      </c>
      <c r="D1796" s="51">
        <v>65.0</v>
      </c>
      <c r="E1796" s="52" t="s">
        <v>25</v>
      </c>
      <c r="F1796" s="52" t="s">
        <v>26</v>
      </c>
      <c r="G1796" s="53"/>
    </row>
    <row r="1797">
      <c r="A1797" s="49">
        <v>44503.29923481481</v>
      </c>
      <c r="B1797" s="50">
        <v>44503.4242002314</v>
      </c>
      <c r="C1797" s="51">
        <v>1.013</v>
      </c>
      <c r="D1797" s="51">
        <v>65.0</v>
      </c>
      <c r="E1797" s="52" t="s">
        <v>25</v>
      </c>
      <c r="F1797" s="52" t="s">
        <v>26</v>
      </c>
      <c r="G1797" s="53"/>
    </row>
    <row r="1798">
      <c r="A1798" s="49">
        <v>44503.30966753472</v>
      </c>
      <c r="B1798" s="50">
        <v>44503.434633912</v>
      </c>
      <c r="C1798" s="51">
        <v>1.013</v>
      </c>
      <c r="D1798" s="51">
        <v>65.0</v>
      </c>
      <c r="E1798" s="52" t="s">
        <v>25</v>
      </c>
      <c r="F1798" s="52" t="s">
        <v>26</v>
      </c>
      <c r="G1798" s="53"/>
    </row>
    <row r="1799">
      <c r="A1799" s="49">
        <v>44503.32008777778</v>
      </c>
      <c r="B1799" s="50">
        <v>44503.4450561921</v>
      </c>
      <c r="C1799" s="51">
        <v>1.013</v>
      </c>
      <c r="D1799" s="51">
        <v>65.0</v>
      </c>
      <c r="E1799" s="52" t="s">
        <v>25</v>
      </c>
      <c r="F1799" s="52" t="s">
        <v>26</v>
      </c>
      <c r="G1799" s="53"/>
    </row>
    <row r="1800">
      <c r="A1800" s="49">
        <v>44503.33051530093</v>
      </c>
      <c r="B1800" s="50">
        <v>44503.4554901157</v>
      </c>
      <c r="C1800" s="51">
        <v>1.013</v>
      </c>
      <c r="D1800" s="51">
        <v>65.0</v>
      </c>
      <c r="E1800" s="52" t="s">
        <v>25</v>
      </c>
      <c r="F1800" s="52" t="s">
        <v>26</v>
      </c>
      <c r="G1800" s="53"/>
    </row>
    <row r="1801">
      <c r="A1801" s="49">
        <v>44503.340946111115</v>
      </c>
      <c r="B1801" s="50">
        <v>44503.4659125347</v>
      </c>
      <c r="C1801" s="51">
        <v>1.013</v>
      </c>
      <c r="D1801" s="51">
        <v>65.0</v>
      </c>
      <c r="E1801" s="52" t="s">
        <v>25</v>
      </c>
      <c r="F1801" s="52" t="s">
        <v>26</v>
      </c>
      <c r="G1801" s="53"/>
    </row>
    <row r="1802">
      <c r="A1802" s="49">
        <v>44503.35135975694</v>
      </c>
      <c r="B1802" s="50">
        <v>44503.4763351851</v>
      </c>
      <c r="C1802" s="51">
        <v>1.013</v>
      </c>
      <c r="D1802" s="51">
        <v>65.0</v>
      </c>
      <c r="E1802" s="52" t="s">
        <v>25</v>
      </c>
      <c r="F1802" s="52" t="s">
        <v>26</v>
      </c>
      <c r="G1802" s="53"/>
    </row>
    <row r="1803">
      <c r="A1803" s="49">
        <v>44503.36179541667</v>
      </c>
      <c r="B1803" s="50">
        <v>44503.4867572453</v>
      </c>
      <c r="C1803" s="51">
        <v>1.013</v>
      </c>
      <c r="D1803" s="51">
        <v>65.0</v>
      </c>
      <c r="E1803" s="52" t="s">
        <v>25</v>
      </c>
      <c r="F1803" s="52" t="s">
        <v>26</v>
      </c>
      <c r="G1803" s="53"/>
    </row>
    <row r="1804">
      <c r="A1804" s="49">
        <v>44503.37221825232</v>
      </c>
      <c r="B1804" s="50">
        <v>44503.4971783796</v>
      </c>
      <c r="C1804" s="51">
        <v>1.013</v>
      </c>
      <c r="D1804" s="51">
        <v>65.0</v>
      </c>
      <c r="E1804" s="52" t="s">
        <v>25</v>
      </c>
      <c r="F1804" s="52" t="s">
        <v>26</v>
      </c>
      <c r="G1804" s="53"/>
    </row>
    <row r="1805">
      <c r="A1805" s="49">
        <v>44503.38263400463</v>
      </c>
      <c r="B1805" s="50">
        <v>44503.5076014467</v>
      </c>
      <c r="C1805" s="51">
        <v>1.013</v>
      </c>
      <c r="D1805" s="51">
        <v>65.0</v>
      </c>
      <c r="E1805" s="52" t="s">
        <v>25</v>
      </c>
      <c r="F1805" s="52" t="s">
        <v>26</v>
      </c>
      <c r="G1805" s="53"/>
    </row>
    <row r="1806">
      <c r="A1806" s="49">
        <v>44503.39304604167</v>
      </c>
      <c r="B1806" s="50">
        <v>44503.5180208333</v>
      </c>
      <c r="C1806" s="51">
        <v>1.013</v>
      </c>
      <c r="D1806" s="51">
        <v>65.0</v>
      </c>
      <c r="E1806" s="52" t="s">
        <v>25</v>
      </c>
      <c r="F1806" s="52" t="s">
        <v>26</v>
      </c>
      <c r="G1806" s="53"/>
    </row>
    <row r="1807">
      <c r="A1807" s="49">
        <v>44503.403489062504</v>
      </c>
      <c r="B1807" s="50">
        <v>44503.5284415046</v>
      </c>
      <c r="C1807" s="51">
        <v>1.014</v>
      </c>
      <c r="D1807" s="51">
        <v>65.0</v>
      </c>
      <c r="E1807" s="52" t="s">
        <v>25</v>
      </c>
      <c r="F1807" s="52" t="s">
        <v>26</v>
      </c>
      <c r="G1807" s="53"/>
    </row>
    <row r="1808">
      <c r="A1808" s="49">
        <v>44503.413890104166</v>
      </c>
      <c r="B1808" s="50">
        <v>44503.5388625578</v>
      </c>
      <c r="C1808" s="51">
        <v>1.014</v>
      </c>
      <c r="D1808" s="51">
        <v>65.0</v>
      </c>
      <c r="E1808" s="52" t="s">
        <v>25</v>
      </c>
      <c r="F1808" s="52" t="s">
        <v>26</v>
      </c>
      <c r="G1808" s="53"/>
    </row>
    <row r="1809">
      <c r="A1809" s="49">
        <v>44503.42431825231</v>
      </c>
      <c r="B1809" s="50">
        <v>44503.5492854282</v>
      </c>
      <c r="C1809" s="51">
        <v>1.013</v>
      </c>
      <c r="D1809" s="51">
        <v>65.0</v>
      </c>
      <c r="E1809" s="52" t="s">
        <v>25</v>
      </c>
      <c r="F1809" s="52" t="s">
        <v>26</v>
      </c>
      <c r="G1809" s="53"/>
    </row>
    <row r="1810">
      <c r="A1810" s="49">
        <v>44503.434733738424</v>
      </c>
      <c r="B1810" s="50">
        <v>44503.5597061689</v>
      </c>
      <c r="C1810" s="51">
        <v>1.013</v>
      </c>
      <c r="D1810" s="51">
        <v>65.0</v>
      </c>
      <c r="E1810" s="52" t="s">
        <v>25</v>
      </c>
      <c r="F1810" s="52" t="s">
        <v>26</v>
      </c>
      <c r="G1810" s="53"/>
    </row>
    <row r="1811">
      <c r="A1811" s="49">
        <v>44503.445170625</v>
      </c>
      <c r="B1811" s="50">
        <v>44503.5701386805</v>
      </c>
      <c r="C1811" s="51">
        <v>1.013</v>
      </c>
      <c r="D1811" s="51">
        <v>65.0</v>
      </c>
      <c r="E1811" s="52" t="s">
        <v>25</v>
      </c>
      <c r="F1811" s="52" t="s">
        <v>26</v>
      </c>
      <c r="G1811" s="53"/>
    </row>
    <row r="1812">
      <c r="A1812" s="49">
        <v>44503.455597962966</v>
      </c>
      <c r="B1812" s="50">
        <v>44503.5805606944</v>
      </c>
      <c r="C1812" s="51">
        <v>1.014</v>
      </c>
      <c r="D1812" s="51">
        <v>65.0</v>
      </c>
      <c r="E1812" s="52" t="s">
        <v>25</v>
      </c>
      <c r="F1812" s="52" t="s">
        <v>26</v>
      </c>
      <c r="G1812" s="53"/>
    </row>
    <row r="1813">
      <c r="A1813" s="49">
        <v>44503.46601276621</v>
      </c>
      <c r="B1813" s="50">
        <v>44503.59098</v>
      </c>
      <c r="C1813" s="51">
        <v>1.014</v>
      </c>
      <c r="D1813" s="51">
        <v>65.0</v>
      </c>
      <c r="E1813" s="52" t="s">
        <v>25</v>
      </c>
      <c r="F1813" s="52" t="s">
        <v>26</v>
      </c>
      <c r="G1813" s="53"/>
    </row>
    <row r="1814">
      <c r="A1814" s="49">
        <v>44503.476428865746</v>
      </c>
      <c r="B1814" s="50">
        <v>44503.6013989699</v>
      </c>
      <c r="C1814" s="51">
        <v>1.013</v>
      </c>
      <c r="D1814" s="51">
        <v>65.0</v>
      </c>
      <c r="E1814" s="52" t="s">
        <v>25</v>
      </c>
      <c r="F1814" s="52" t="s">
        <v>26</v>
      </c>
      <c r="G1814" s="53"/>
    </row>
    <row r="1815">
      <c r="A1815" s="49">
        <v>44503.48685547453</v>
      </c>
      <c r="B1815" s="50">
        <v>44503.6118299189</v>
      </c>
      <c r="C1815" s="51">
        <v>1.013</v>
      </c>
      <c r="D1815" s="51">
        <v>65.0</v>
      </c>
      <c r="E1815" s="52" t="s">
        <v>25</v>
      </c>
      <c r="F1815" s="52" t="s">
        <v>26</v>
      </c>
      <c r="G1815" s="53"/>
    </row>
    <row r="1816">
      <c r="A1816" s="49">
        <v>44503.49728778935</v>
      </c>
      <c r="B1816" s="50">
        <v>44503.6222501041</v>
      </c>
      <c r="C1816" s="51">
        <v>1.013</v>
      </c>
      <c r="D1816" s="51">
        <v>65.0</v>
      </c>
      <c r="E1816" s="52" t="s">
        <v>25</v>
      </c>
      <c r="F1816" s="52" t="s">
        <v>26</v>
      </c>
      <c r="G1816" s="53"/>
    </row>
    <row r="1817">
      <c r="A1817" s="49">
        <v>44503.50771292824</v>
      </c>
      <c r="B1817" s="50">
        <v>44503.632671493</v>
      </c>
      <c r="C1817" s="51">
        <v>1.013</v>
      </c>
      <c r="D1817" s="51">
        <v>65.0</v>
      </c>
      <c r="E1817" s="52" t="s">
        <v>25</v>
      </c>
      <c r="F1817" s="52" t="s">
        <v>26</v>
      </c>
      <c r="G1817" s="53"/>
    </row>
    <row r="1818">
      <c r="A1818" s="49">
        <v>44503.5181371875</v>
      </c>
      <c r="B1818" s="50">
        <v>44503.6431040972</v>
      </c>
      <c r="C1818" s="51">
        <v>1.013</v>
      </c>
      <c r="D1818" s="51">
        <v>65.0</v>
      </c>
      <c r="E1818" s="52" t="s">
        <v>25</v>
      </c>
      <c r="F1818" s="52" t="s">
        <v>26</v>
      </c>
      <c r="G1818" s="53"/>
    </row>
    <row r="1819">
      <c r="A1819" s="49">
        <v>44503.52857403935</v>
      </c>
      <c r="B1819" s="50">
        <v>44503.6535359027</v>
      </c>
      <c r="C1819" s="51">
        <v>1.013</v>
      </c>
      <c r="D1819" s="51">
        <v>65.0</v>
      </c>
      <c r="E1819" s="52" t="s">
        <v>25</v>
      </c>
      <c r="F1819" s="52" t="s">
        <v>26</v>
      </c>
      <c r="G1819" s="53"/>
    </row>
    <row r="1820">
      <c r="A1820" s="49">
        <v>44503.538987824075</v>
      </c>
      <c r="B1820" s="50">
        <v>44503.6639570254</v>
      </c>
      <c r="C1820" s="51">
        <v>1.013</v>
      </c>
      <c r="D1820" s="51">
        <v>65.0</v>
      </c>
      <c r="E1820" s="52" t="s">
        <v>25</v>
      </c>
      <c r="F1820" s="52" t="s">
        <v>26</v>
      </c>
      <c r="G1820" s="53"/>
    </row>
    <row r="1821">
      <c r="A1821" s="49">
        <v>44503.54940960648</v>
      </c>
      <c r="B1821" s="50">
        <v>44503.6743775463</v>
      </c>
      <c r="C1821" s="51">
        <v>1.013</v>
      </c>
      <c r="D1821" s="51">
        <v>65.0</v>
      </c>
      <c r="E1821" s="52" t="s">
        <v>25</v>
      </c>
      <c r="F1821" s="52" t="s">
        <v>26</v>
      </c>
      <c r="G1821" s="53"/>
    </row>
    <row r="1822">
      <c r="A1822" s="49">
        <v>44503.55982891204</v>
      </c>
      <c r="B1822" s="50">
        <v>44503.6847971296</v>
      </c>
      <c r="C1822" s="51">
        <v>1.013</v>
      </c>
      <c r="D1822" s="51">
        <v>65.0</v>
      </c>
      <c r="E1822" s="52" t="s">
        <v>25</v>
      </c>
      <c r="F1822" s="52" t="s">
        <v>26</v>
      </c>
      <c r="G1822" s="53"/>
    </row>
    <row r="1823">
      <c r="A1823" s="49">
        <v>44503.57028666667</v>
      </c>
      <c r="B1823" s="50">
        <v>44503.6952523726</v>
      </c>
      <c r="C1823" s="51">
        <v>1.013</v>
      </c>
      <c r="D1823" s="51">
        <v>65.0</v>
      </c>
      <c r="E1823" s="52" t="s">
        <v>25</v>
      </c>
      <c r="F1823" s="52" t="s">
        <v>26</v>
      </c>
      <c r="G1823" s="53"/>
    </row>
    <row r="1824">
      <c r="A1824" s="49">
        <v>44503.58070788195</v>
      </c>
      <c r="B1824" s="50">
        <v>44503.7056738888</v>
      </c>
      <c r="C1824" s="51">
        <v>1.013</v>
      </c>
      <c r="D1824" s="51">
        <v>65.0</v>
      </c>
      <c r="E1824" s="52" t="s">
        <v>25</v>
      </c>
      <c r="F1824" s="52" t="s">
        <v>26</v>
      </c>
      <c r="G1824" s="53"/>
    </row>
    <row r="1825">
      <c r="A1825" s="49">
        <v>44503.59111971065</v>
      </c>
      <c r="B1825" s="50">
        <v>44503.7160960995</v>
      </c>
      <c r="C1825" s="51">
        <v>1.013</v>
      </c>
      <c r="D1825" s="51">
        <v>65.0</v>
      </c>
      <c r="E1825" s="52" t="s">
        <v>25</v>
      </c>
      <c r="F1825" s="52" t="s">
        <v>26</v>
      </c>
      <c r="G1825" s="53"/>
    </row>
    <row r="1826">
      <c r="A1826" s="49">
        <v>44503.60155939814</v>
      </c>
      <c r="B1826" s="50">
        <v>44503.7265199305</v>
      </c>
      <c r="C1826" s="51">
        <v>1.013</v>
      </c>
      <c r="D1826" s="51">
        <v>65.0</v>
      </c>
      <c r="E1826" s="52" t="s">
        <v>25</v>
      </c>
      <c r="F1826" s="52" t="s">
        <v>26</v>
      </c>
      <c r="G1826" s="53"/>
    </row>
    <row r="1827">
      <c r="A1827" s="49">
        <v>44503.611976527776</v>
      </c>
      <c r="B1827" s="50">
        <v>44503.7369415856</v>
      </c>
      <c r="C1827" s="51">
        <v>1.013</v>
      </c>
      <c r="D1827" s="51">
        <v>65.0</v>
      </c>
      <c r="E1827" s="52" t="s">
        <v>25</v>
      </c>
      <c r="F1827" s="52" t="s">
        <v>26</v>
      </c>
      <c r="G1827" s="53"/>
    </row>
    <row r="1828">
      <c r="A1828" s="49">
        <v>44503.62239630787</v>
      </c>
      <c r="B1828" s="50">
        <v>44503.747362743</v>
      </c>
      <c r="C1828" s="51">
        <v>1.013</v>
      </c>
      <c r="D1828" s="51">
        <v>65.0</v>
      </c>
      <c r="E1828" s="52" t="s">
        <v>25</v>
      </c>
      <c r="F1828" s="52" t="s">
        <v>26</v>
      </c>
      <c r="G1828" s="53"/>
    </row>
    <row r="1829">
      <c r="A1829" s="49">
        <v>44503.632819108796</v>
      </c>
      <c r="B1829" s="50">
        <v>44503.7577840972</v>
      </c>
      <c r="C1829" s="51">
        <v>1.013</v>
      </c>
      <c r="D1829" s="51">
        <v>65.0</v>
      </c>
      <c r="E1829" s="52" t="s">
        <v>25</v>
      </c>
      <c r="F1829" s="52" t="s">
        <v>26</v>
      </c>
      <c r="G1829" s="53"/>
    </row>
    <row r="1830">
      <c r="A1830" s="49">
        <v>44503.64325591435</v>
      </c>
      <c r="B1830" s="50">
        <v>44503.7682291666</v>
      </c>
      <c r="C1830" s="51">
        <v>1.013</v>
      </c>
      <c r="D1830" s="51">
        <v>65.0</v>
      </c>
      <c r="E1830" s="52" t="s">
        <v>25</v>
      </c>
      <c r="F1830" s="52" t="s">
        <v>26</v>
      </c>
      <c r="G1830" s="53"/>
    </row>
    <row r="1831">
      <c r="A1831" s="49">
        <v>44503.65369508102</v>
      </c>
      <c r="B1831" s="50">
        <v>44503.7786511111</v>
      </c>
      <c r="C1831" s="51">
        <v>1.013</v>
      </c>
      <c r="D1831" s="51">
        <v>65.0</v>
      </c>
      <c r="E1831" s="52" t="s">
        <v>25</v>
      </c>
      <c r="F1831" s="52" t="s">
        <v>26</v>
      </c>
      <c r="G1831" s="53"/>
    </row>
    <row r="1832">
      <c r="A1832" s="49">
        <v>44503.6641204051</v>
      </c>
      <c r="B1832" s="50">
        <v>44503.7890841782</v>
      </c>
      <c r="C1832" s="51">
        <v>1.013</v>
      </c>
      <c r="D1832" s="51">
        <v>65.0</v>
      </c>
      <c r="E1832" s="52" t="s">
        <v>25</v>
      </c>
      <c r="F1832" s="52" t="s">
        <v>26</v>
      </c>
      <c r="G1832" s="53"/>
    </row>
    <row r="1833">
      <c r="A1833" s="49">
        <v>44503.6745512037</v>
      </c>
      <c r="B1833" s="50">
        <v>44503.7995172916</v>
      </c>
      <c r="C1833" s="51">
        <v>1.013</v>
      </c>
      <c r="D1833" s="51">
        <v>65.0</v>
      </c>
      <c r="E1833" s="52" t="s">
        <v>25</v>
      </c>
      <c r="F1833" s="52" t="s">
        <v>26</v>
      </c>
      <c r="G1833" s="53"/>
    </row>
    <row r="1834">
      <c r="A1834" s="49">
        <v>44503.68497686343</v>
      </c>
      <c r="B1834" s="50">
        <v>44503.8099375</v>
      </c>
      <c r="C1834" s="51">
        <v>1.013</v>
      </c>
      <c r="D1834" s="51">
        <v>65.0</v>
      </c>
      <c r="E1834" s="52" t="s">
        <v>25</v>
      </c>
      <c r="F1834" s="52" t="s">
        <v>26</v>
      </c>
      <c r="G1834" s="53"/>
    </row>
    <row r="1835">
      <c r="A1835" s="49">
        <v>44503.695415497685</v>
      </c>
      <c r="B1835" s="50">
        <v>44503.8203821643</v>
      </c>
      <c r="C1835" s="51">
        <v>1.013</v>
      </c>
      <c r="D1835" s="51">
        <v>65.0</v>
      </c>
      <c r="E1835" s="52" t="s">
        <v>25</v>
      </c>
      <c r="F1835" s="52" t="s">
        <v>26</v>
      </c>
      <c r="G1835" s="53"/>
    </row>
    <row r="1836">
      <c r="A1836" s="49">
        <v>44503.70583877315</v>
      </c>
      <c r="B1836" s="50">
        <v>44503.830803993</v>
      </c>
      <c r="C1836" s="51">
        <v>1.013</v>
      </c>
      <c r="D1836" s="51">
        <v>65.0</v>
      </c>
      <c r="E1836" s="52" t="s">
        <v>25</v>
      </c>
      <c r="F1836" s="52" t="s">
        <v>26</v>
      </c>
      <c r="G1836" s="53"/>
    </row>
    <row r="1837">
      <c r="A1837" s="49">
        <v>44503.716271666664</v>
      </c>
      <c r="B1837" s="50">
        <v>44503.8412366782</v>
      </c>
      <c r="C1837" s="51">
        <v>1.013</v>
      </c>
      <c r="D1837" s="51">
        <v>65.0</v>
      </c>
      <c r="E1837" s="52" t="s">
        <v>25</v>
      </c>
      <c r="F1837" s="52" t="s">
        <v>26</v>
      </c>
      <c r="G1837" s="53"/>
    </row>
    <row r="1838">
      <c r="A1838" s="49">
        <v>44503.72669623843</v>
      </c>
      <c r="B1838" s="50">
        <v>44503.8516578472</v>
      </c>
      <c r="C1838" s="51">
        <v>1.013</v>
      </c>
      <c r="D1838" s="51">
        <v>65.0</v>
      </c>
      <c r="E1838" s="52" t="s">
        <v>25</v>
      </c>
      <c r="F1838" s="52" t="s">
        <v>26</v>
      </c>
      <c r="G1838" s="53"/>
    </row>
    <row r="1839">
      <c r="A1839" s="49">
        <v>44503.73713258102</v>
      </c>
      <c r="B1839" s="50">
        <v>44503.862091574</v>
      </c>
      <c r="C1839" s="51">
        <v>1.013</v>
      </c>
      <c r="D1839" s="51">
        <v>65.0</v>
      </c>
      <c r="E1839" s="52" t="s">
        <v>25</v>
      </c>
      <c r="F1839" s="52" t="s">
        <v>26</v>
      </c>
      <c r="G1839" s="53"/>
    </row>
    <row r="1840">
      <c r="A1840" s="49">
        <v>44503.74754140046</v>
      </c>
      <c r="B1840" s="50">
        <v>44503.8725141551</v>
      </c>
      <c r="C1840" s="51">
        <v>1.013</v>
      </c>
      <c r="D1840" s="51">
        <v>65.0</v>
      </c>
      <c r="E1840" s="52" t="s">
        <v>25</v>
      </c>
      <c r="F1840" s="52" t="s">
        <v>26</v>
      </c>
      <c r="G1840" s="53"/>
    </row>
    <row r="1841">
      <c r="A1841" s="49">
        <v>44503.757985856486</v>
      </c>
      <c r="B1841" s="50">
        <v>44503.8829486921</v>
      </c>
      <c r="C1841" s="51">
        <v>1.013</v>
      </c>
      <c r="D1841" s="51">
        <v>65.0</v>
      </c>
      <c r="E1841" s="52" t="s">
        <v>25</v>
      </c>
      <c r="F1841" s="52" t="s">
        <v>26</v>
      </c>
      <c r="G1841" s="53"/>
    </row>
    <row r="1842">
      <c r="A1842" s="49">
        <v>44503.76841239583</v>
      </c>
      <c r="B1842" s="50">
        <v>44503.8933824074</v>
      </c>
      <c r="C1842" s="51">
        <v>1.013</v>
      </c>
      <c r="D1842" s="51">
        <v>65.0</v>
      </c>
      <c r="E1842" s="52" t="s">
        <v>25</v>
      </c>
      <c r="F1842" s="52" t="s">
        <v>26</v>
      </c>
      <c r="G1842" s="53"/>
    </row>
    <row r="1843">
      <c r="A1843" s="49">
        <v>44503.77885166666</v>
      </c>
      <c r="B1843" s="50">
        <v>44503.903816493</v>
      </c>
      <c r="C1843" s="51">
        <v>1.013</v>
      </c>
      <c r="D1843" s="51">
        <v>65.0</v>
      </c>
      <c r="E1843" s="52" t="s">
        <v>25</v>
      </c>
      <c r="F1843" s="52" t="s">
        <v>26</v>
      </c>
      <c r="G1843" s="53"/>
    </row>
    <row r="1844">
      <c r="A1844" s="49">
        <v>44503.78927579861</v>
      </c>
      <c r="B1844" s="50">
        <v>44503.9142377083</v>
      </c>
      <c r="C1844" s="51">
        <v>1.013</v>
      </c>
      <c r="D1844" s="51">
        <v>65.0</v>
      </c>
      <c r="E1844" s="52" t="s">
        <v>25</v>
      </c>
      <c r="F1844" s="52" t="s">
        <v>26</v>
      </c>
      <c r="G1844" s="53"/>
    </row>
    <row r="1845">
      <c r="A1845" s="49">
        <v>44503.79969277778</v>
      </c>
      <c r="B1845" s="50">
        <v>44503.9246586458</v>
      </c>
      <c r="C1845" s="51">
        <v>1.013</v>
      </c>
      <c r="D1845" s="51">
        <v>65.0</v>
      </c>
      <c r="E1845" s="52" t="s">
        <v>25</v>
      </c>
      <c r="F1845" s="52" t="s">
        <v>26</v>
      </c>
      <c r="G1845" s="53"/>
    </row>
    <row r="1846">
      <c r="A1846" s="49">
        <v>44503.81010732639</v>
      </c>
      <c r="B1846" s="50">
        <v>44503.9350809027</v>
      </c>
      <c r="C1846" s="51">
        <v>1.013</v>
      </c>
      <c r="D1846" s="51">
        <v>65.0</v>
      </c>
      <c r="E1846" s="52" t="s">
        <v>25</v>
      </c>
      <c r="F1846" s="52" t="s">
        <v>26</v>
      </c>
      <c r="G1846" s="53"/>
    </row>
    <row r="1847">
      <c r="A1847" s="49">
        <v>44503.82053078704</v>
      </c>
      <c r="B1847" s="50">
        <v>44503.9455000578</v>
      </c>
      <c r="C1847" s="51">
        <v>1.013</v>
      </c>
      <c r="D1847" s="51">
        <v>65.0</v>
      </c>
      <c r="E1847" s="52" t="s">
        <v>25</v>
      </c>
      <c r="F1847" s="52" t="s">
        <v>26</v>
      </c>
      <c r="G1847" s="53"/>
    </row>
    <row r="1848">
      <c r="A1848" s="49">
        <v>44503.83097791667</v>
      </c>
      <c r="B1848" s="50">
        <v>44503.9559441782</v>
      </c>
      <c r="C1848" s="51">
        <v>1.013</v>
      </c>
      <c r="D1848" s="51">
        <v>65.0</v>
      </c>
      <c r="E1848" s="52" t="s">
        <v>25</v>
      </c>
      <c r="F1848" s="52" t="s">
        <v>26</v>
      </c>
      <c r="G1848" s="53"/>
    </row>
    <row r="1849">
      <c r="A1849" s="49">
        <v>44503.84140641204</v>
      </c>
      <c r="B1849" s="50">
        <v>44503.9663649074</v>
      </c>
      <c r="C1849" s="51">
        <v>1.013</v>
      </c>
      <c r="D1849" s="51">
        <v>65.0</v>
      </c>
      <c r="E1849" s="52" t="s">
        <v>25</v>
      </c>
      <c r="F1849" s="52" t="s">
        <v>26</v>
      </c>
      <c r="G1849" s="53"/>
    </row>
    <row r="1850">
      <c r="A1850" s="49">
        <v>44503.85183811343</v>
      </c>
      <c r="B1850" s="50">
        <v>44503.9767991782</v>
      </c>
      <c r="C1850" s="51">
        <v>1.013</v>
      </c>
      <c r="D1850" s="51">
        <v>65.0</v>
      </c>
      <c r="E1850" s="52" t="s">
        <v>25</v>
      </c>
      <c r="F1850" s="52" t="s">
        <v>26</v>
      </c>
      <c r="G1850" s="53"/>
    </row>
    <row r="1851">
      <c r="A1851" s="49">
        <v>44503.86226041667</v>
      </c>
      <c r="B1851" s="50">
        <v>44503.9872209606</v>
      </c>
      <c r="C1851" s="51">
        <v>1.013</v>
      </c>
      <c r="D1851" s="51">
        <v>65.0</v>
      </c>
      <c r="E1851" s="52" t="s">
        <v>25</v>
      </c>
      <c r="F1851" s="52" t="s">
        <v>26</v>
      </c>
      <c r="G1851" s="53"/>
    </row>
    <row r="1852">
      <c r="A1852" s="49">
        <v>44503.87267690973</v>
      </c>
      <c r="B1852" s="50">
        <v>44503.9976410185</v>
      </c>
      <c r="C1852" s="51">
        <v>1.013</v>
      </c>
      <c r="D1852" s="51">
        <v>65.0</v>
      </c>
      <c r="E1852" s="52" t="s">
        <v>25</v>
      </c>
      <c r="F1852" s="52" t="s">
        <v>26</v>
      </c>
      <c r="G1852" s="53"/>
    </row>
    <row r="1853">
      <c r="A1853" s="49">
        <v>44503.883082858796</v>
      </c>
      <c r="B1853" s="50">
        <v>44504.0080619328</v>
      </c>
      <c r="C1853" s="51">
        <v>1.013</v>
      </c>
      <c r="D1853" s="51">
        <v>65.0</v>
      </c>
      <c r="E1853" s="52" t="s">
        <v>25</v>
      </c>
      <c r="F1853" s="52" t="s">
        <v>26</v>
      </c>
      <c r="G1853" s="53"/>
    </row>
    <row r="1854">
      <c r="A1854" s="49">
        <v>44503.89351753472</v>
      </c>
      <c r="B1854" s="50">
        <v>44504.018482743</v>
      </c>
      <c r="C1854" s="51">
        <v>1.013</v>
      </c>
      <c r="D1854" s="51">
        <v>65.0</v>
      </c>
      <c r="E1854" s="52" t="s">
        <v>25</v>
      </c>
      <c r="F1854" s="52" t="s">
        <v>26</v>
      </c>
      <c r="G1854" s="53"/>
    </row>
    <row r="1855">
      <c r="A1855" s="49">
        <v>44503.90394851852</v>
      </c>
      <c r="B1855" s="50">
        <v>44504.0289063657</v>
      </c>
      <c r="C1855" s="51">
        <v>1.013</v>
      </c>
      <c r="D1855" s="51">
        <v>65.0</v>
      </c>
      <c r="E1855" s="52" t="s">
        <v>25</v>
      </c>
      <c r="F1855" s="52" t="s">
        <v>26</v>
      </c>
      <c r="G1855" s="53"/>
    </row>
    <row r="1856">
      <c r="A1856" s="49">
        <v>44503.91436446759</v>
      </c>
      <c r="B1856" s="50">
        <v>44504.0393293634</v>
      </c>
      <c r="C1856" s="51">
        <v>1.013</v>
      </c>
      <c r="D1856" s="51">
        <v>65.0</v>
      </c>
      <c r="E1856" s="52" t="s">
        <v>25</v>
      </c>
      <c r="F1856" s="52" t="s">
        <v>26</v>
      </c>
      <c r="G1856" s="53"/>
    </row>
    <row r="1857">
      <c r="A1857" s="49">
        <v>44503.92478728009</v>
      </c>
      <c r="B1857" s="50">
        <v>44504.0497507291</v>
      </c>
      <c r="C1857" s="51">
        <v>1.013</v>
      </c>
      <c r="D1857" s="51">
        <v>65.0</v>
      </c>
      <c r="E1857" s="52" t="s">
        <v>25</v>
      </c>
      <c r="F1857" s="52" t="s">
        <v>26</v>
      </c>
      <c r="G1857" s="53"/>
    </row>
    <row r="1858">
      <c r="A1858" s="49">
        <v>44503.93521189815</v>
      </c>
      <c r="B1858" s="50">
        <v>44504.0601820254</v>
      </c>
      <c r="C1858" s="51">
        <v>1.013</v>
      </c>
      <c r="D1858" s="51">
        <v>65.0</v>
      </c>
      <c r="E1858" s="52" t="s">
        <v>25</v>
      </c>
      <c r="F1858" s="52" t="s">
        <v>26</v>
      </c>
      <c r="G1858" s="53"/>
    </row>
    <row r="1859">
      <c r="A1859" s="49">
        <v>44503.94564243055</v>
      </c>
      <c r="B1859" s="50">
        <v>44504.0706032175</v>
      </c>
      <c r="C1859" s="51">
        <v>1.013</v>
      </c>
      <c r="D1859" s="51">
        <v>65.0</v>
      </c>
      <c r="E1859" s="52" t="s">
        <v>25</v>
      </c>
      <c r="F1859" s="52" t="s">
        <v>26</v>
      </c>
      <c r="G1859" s="53"/>
    </row>
    <row r="1860">
      <c r="A1860" s="49">
        <v>44503.95605767361</v>
      </c>
      <c r="B1860" s="50">
        <v>44504.0810234375</v>
      </c>
      <c r="C1860" s="51">
        <v>1.013</v>
      </c>
      <c r="D1860" s="51">
        <v>65.0</v>
      </c>
      <c r="E1860" s="52" t="s">
        <v>25</v>
      </c>
      <c r="F1860" s="52" t="s">
        <v>26</v>
      </c>
      <c r="G1860" s="53"/>
    </row>
    <row r="1861">
      <c r="A1861" s="49">
        <v>44503.966473622684</v>
      </c>
      <c r="B1861" s="50">
        <v>44504.0914459375</v>
      </c>
      <c r="C1861" s="51">
        <v>1.013</v>
      </c>
      <c r="D1861" s="51">
        <v>65.0</v>
      </c>
      <c r="E1861" s="52" t="s">
        <v>25</v>
      </c>
      <c r="F1861" s="52" t="s">
        <v>26</v>
      </c>
      <c r="G1861" s="53"/>
    </row>
    <row r="1862">
      <c r="A1862" s="49">
        <v>44503.976971446755</v>
      </c>
      <c r="B1862" s="50">
        <v>44504.1018795486</v>
      </c>
      <c r="C1862" s="51">
        <v>1.013</v>
      </c>
      <c r="D1862" s="51">
        <v>65.0</v>
      </c>
      <c r="E1862" s="52" t="s">
        <v>25</v>
      </c>
      <c r="F1862" s="52" t="s">
        <v>26</v>
      </c>
      <c r="G1862" s="53"/>
    </row>
    <row r="1863">
      <c r="A1863" s="49">
        <v>44503.98732959491</v>
      </c>
      <c r="B1863" s="50">
        <v>44504.1123010532</v>
      </c>
      <c r="C1863" s="51">
        <v>1.013</v>
      </c>
      <c r="D1863" s="51">
        <v>65.0</v>
      </c>
      <c r="E1863" s="52" t="s">
        <v>25</v>
      </c>
      <c r="F1863" s="52" t="s">
        <v>26</v>
      </c>
      <c r="G1863" s="53"/>
    </row>
    <row r="1864">
      <c r="A1864" s="49">
        <v>44503.997764050924</v>
      </c>
      <c r="B1864" s="50">
        <v>44504.1227349652</v>
      </c>
      <c r="C1864" s="51">
        <v>1.013</v>
      </c>
      <c r="D1864" s="51">
        <v>65.0</v>
      </c>
      <c r="E1864" s="52" t="s">
        <v>25</v>
      </c>
      <c r="F1864" s="52" t="s">
        <v>26</v>
      </c>
      <c r="G1864" s="53"/>
    </row>
    <row r="1865">
      <c r="A1865" s="49">
        <v>44504.00819390046</v>
      </c>
      <c r="B1865" s="50">
        <v>44504.1331573726</v>
      </c>
      <c r="C1865" s="51">
        <v>1.013</v>
      </c>
      <c r="D1865" s="51">
        <v>65.0</v>
      </c>
      <c r="E1865" s="52" t="s">
        <v>25</v>
      </c>
      <c r="F1865" s="52" t="s">
        <v>26</v>
      </c>
      <c r="G1865" s="53"/>
    </row>
    <row r="1866">
      <c r="A1866" s="49">
        <v>44504.01861349537</v>
      </c>
      <c r="B1866" s="50">
        <v>44504.1435780902</v>
      </c>
      <c r="C1866" s="51">
        <v>1.013</v>
      </c>
      <c r="D1866" s="51">
        <v>65.0</v>
      </c>
      <c r="E1866" s="52" t="s">
        <v>25</v>
      </c>
      <c r="F1866" s="52" t="s">
        <v>26</v>
      </c>
      <c r="G1866" s="53"/>
    </row>
    <row r="1867">
      <c r="A1867" s="49">
        <v>44504.029030370366</v>
      </c>
      <c r="B1867" s="50">
        <v>44504.1539980555</v>
      </c>
      <c r="C1867" s="51">
        <v>1.013</v>
      </c>
      <c r="D1867" s="51">
        <v>65.0</v>
      </c>
      <c r="E1867" s="52" t="s">
        <v>25</v>
      </c>
      <c r="F1867" s="52" t="s">
        <v>26</v>
      </c>
      <c r="G1867" s="53"/>
    </row>
    <row r="1868">
      <c r="A1868" s="49">
        <v>44504.03944877315</v>
      </c>
      <c r="B1868" s="50">
        <v>44504.1644181365</v>
      </c>
      <c r="C1868" s="51">
        <v>1.013</v>
      </c>
      <c r="D1868" s="51">
        <v>65.0</v>
      </c>
      <c r="E1868" s="52" t="s">
        <v>25</v>
      </c>
      <c r="F1868" s="52" t="s">
        <v>26</v>
      </c>
      <c r="G1868" s="53"/>
    </row>
    <row r="1869">
      <c r="A1869" s="49">
        <v>44504.04989256944</v>
      </c>
      <c r="B1869" s="50">
        <v>44504.1748515046</v>
      </c>
      <c r="C1869" s="51">
        <v>1.013</v>
      </c>
      <c r="D1869" s="51">
        <v>65.0</v>
      </c>
      <c r="E1869" s="52" t="s">
        <v>25</v>
      </c>
      <c r="F1869" s="52" t="s">
        <v>26</v>
      </c>
      <c r="G1869" s="53"/>
    </row>
    <row r="1870">
      <c r="A1870" s="49">
        <v>44504.060321620374</v>
      </c>
      <c r="B1870" s="50">
        <v>44504.1852749652</v>
      </c>
      <c r="C1870" s="51">
        <v>1.013</v>
      </c>
      <c r="D1870" s="51">
        <v>65.0</v>
      </c>
      <c r="E1870" s="52" t="s">
        <v>25</v>
      </c>
      <c r="F1870" s="52" t="s">
        <v>26</v>
      </c>
      <c r="G1870" s="53"/>
    </row>
    <row r="1871">
      <c r="A1871" s="49">
        <v>44504.07072931713</v>
      </c>
      <c r="B1871" s="50">
        <v>44504.1956964351</v>
      </c>
      <c r="C1871" s="51">
        <v>1.013</v>
      </c>
      <c r="D1871" s="51">
        <v>65.0</v>
      </c>
      <c r="E1871" s="52" t="s">
        <v>25</v>
      </c>
      <c r="F1871" s="52" t="s">
        <v>26</v>
      </c>
      <c r="G1871" s="53"/>
    </row>
    <row r="1872">
      <c r="A1872" s="49">
        <v>44504.0811555324</v>
      </c>
      <c r="B1872" s="50">
        <v>44504.2061182638</v>
      </c>
      <c r="C1872" s="51">
        <v>1.014</v>
      </c>
      <c r="D1872" s="51">
        <v>65.0</v>
      </c>
      <c r="E1872" s="52" t="s">
        <v>25</v>
      </c>
      <c r="F1872" s="52" t="s">
        <v>26</v>
      </c>
      <c r="G1872" s="53"/>
    </row>
    <row r="1873">
      <c r="A1873" s="49">
        <v>44504.09159270833</v>
      </c>
      <c r="B1873" s="50">
        <v>44504.2165517592</v>
      </c>
      <c r="C1873" s="51">
        <v>1.013</v>
      </c>
      <c r="D1873" s="51">
        <v>65.0</v>
      </c>
      <c r="E1873" s="52" t="s">
        <v>25</v>
      </c>
      <c r="F1873" s="52" t="s">
        <v>26</v>
      </c>
      <c r="G1873" s="53"/>
    </row>
    <row r="1874">
      <c r="A1874" s="49">
        <v>44504.10201850694</v>
      </c>
      <c r="B1874" s="50">
        <v>44504.2269842245</v>
      </c>
      <c r="C1874" s="51">
        <v>1.014</v>
      </c>
      <c r="D1874" s="51">
        <v>65.0</v>
      </c>
      <c r="E1874" s="52" t="s">
        <v>25</v>
      </c>
      <c r="F1874" s="52" t="s">
        <v>26</v>
      </c>
      <c r="G1874" s="53"/>
    </row>
    <row r="1875">
      <c r="A1875" s="49">
        <v>44504.11244672454</v>
      </c>
      <c r="B1875" s="50">
        <v>44504.2374027777</v>
      </c>
      <c r="C1875" s="51">
        <v>1.014</v>
      </c>
      <c r="D1875" s="51">
        <v>65.0</v>
      </c>
      <c r="E1875" s="52" t="s">
        <v>25</v>
      </c>
      <c r="F1875" s="52" t="s">
        <v>26</v>
      </c>
      <c r="G1875" s="53"/>
    </row>
    <row r="1876">
      <c r="A1876" s="49">
        <v>44504.122872708336</v>
      </c>
      <c r="B1876" s="50">
        <v>44504.2478331134</v>
      </c>
      <c r="C1876" s="51">
        <v>1.013</v>
      </c>
      <c r="D1876" s="51">
        <v>65.0</v>
      </c>
      <c r="E1876" s="52" t="s">
        <v>25</v>
      </c>
      <c r="F1876" s="52" t="s">
        <v>26</v>
      </c>
      <c r="G1876" s="53"/>
    </row>
    <row r="1877">
      <c r="A1877" s="49">
        <v>44504.1332819213</v>
      </c>
      <c r="B1877" s="50">
        <v>44504.2582531597</v>
      </c>
      <c r="C1877" s="51">
        <v>1.013</v>
      </c>
      <c r="D1877" s="51">
        <v>65.0</v>
      </c>
      <c r="E1877" s="52" t="s">
        <v>25</v>
      </c>
      <c r="F1877" s="52" t="s">
        <v>26</v>
      </c>
      <c r="G1877" s="53"/>
    </row>
    <row r="1878">
      <c r="A1878" s="49">
        <v>44504.14371284722</v>
      </c>
      <c r="B1878" s="50">
        <v>44504.2686732291</v>
      </c>
      <c r="C1878" s="51">
        <v>1.013</v>
      </c>
      <c r="D1878" s="51">
        <v>65.0</v>
      </c>
      <c r="E1878" s="52" t="s">
        <v>25</v>
      </c>
      <c r="F1878" s="52" t="s">
        <v>26</v>
      </c>
      <c r="G1878" s="53"/>
    </row>
    <row r="1879">
      <c r="A1879" s="49">
        <v>44504.154142025465</v>
      </c>
      <c r="B1879" s="50">
        <v>44504.279105</v>
      </c>
      <c r="C1879" s="51">
        <v>1.013</v>
      </c>
      <c r="D1879" s="51">
        <v>65.0</v>
      </c>
      <c r="E1879" s="52" t="s">
        <v>25</v>
      </c>
      <c r="F1879" s="52" t="s">
        <v>26</v>
      </c>
      <c r="G1879" s="53"/>
    </row>
    <row r="1880">
      <c r="A1880" s="49">
        <v>44504.16456001157</v>
      </c>
      <c r="B1880" s="50">
        <v>44504.2895268981</v>
      </c>
      <c r="C1880" s="51">
        <v>1.013</v>
      </c>
      <c r="D1880" s="51">
        <v>65.0</v>
      </c>
      <c r="E1880" s="52" t="s">
        <v>25</v>
      </c>
      <c r="F1880" s="52" t="s">
        <v>26</v>
      </c>
      <c r="G1880" s="53"/>
    </row>
    <row r="1881">
      <c r="A1881" s="49">
        <v>44504.174986365746</v>
      </c>
      <c r="B1881" s="50">
        <v>44504.2999584259</v>
      </c>
      <c r="C1881" s="51">
        <v>1.013</v>
      </c>
      <c r="D1881" s="51">
        <v>65.0</v>
      </c>
      <c r="E1881" s="52" t="s">
        <v>25</v>
      </c>
      <c r="F1881" s="52" t="s">
        <v>26</v>
      </c>
      <c r="G1881" s="53"/>
    </row>
    <row r="1882">
      <c r="A1882" s="49">
        <v>44504.18541747685</v>
      </c>
      <c r="B1882" s="50">
        <v>44504.3103795833</v>
      </c>
      <c r="C1882" s="51">
        <v>1.013</v>
      </c>
      <c r="D1882" s="51">
        <v>65.0</v>
      </c>
      <c r="E1882" s="52" t="s">
        <v>25</v>
      </c>
      <c r="F1882" s="52" t="s">
        <v>26</v>
      </c>
      <c r="G1882" s="53"/>
    </row>
    <row r="1883">
      <c r="A1883" s="49">
        <v>44504.19585347222</v>
      </c>
      <c r="B1883" s="50">
        <v>44504.3208140856</v>
      </c>
      <c r="C1883" s="51">
        <v>1.013</v>
      </c>
      <c r="D1883" s="51">
        <v>65.0</v>
      </c>
      <c r="E1883" s="52" t="s">
        <v>25</v>
      </c>
      <c r="F1883" s="52" t="s">
        <v>26</v>
      </c>
      <c r="G1883" s="53"/>
    </row>
    <row r="1884">
      <c r="A1884" s="49">
        <v>44504.20628961806</v>
      </c>
      <c r="B1884" s="50">
        <v>44504.3312340162</v>
      </c>
      <c r="C1884" s="51">
        <v>1.013</v>
      </c>
      <c r="D1884" s="51">
        <v>65.0</v>
      </c>
      <c r="E1884" s="52" t="s">
        <v>25</v>
      </c>
      <c r="F1884" s="52" t="s">
        <v>26</v>
      </c>
      <c r="G1884" s="53"/>
    </row>
    <row r="1885">
      <c r="A1885" s="49">
        <v>44504.2166928588</v>
      </c>
      <c r="B1885" s="50">
        <v>44504.3416571527</v>
      </c>
      <c r="C1885" s="51">
        <v>1.013</v>
      </c>
      <c r="D1885" s="51">
        <v>65.0</v>
      </c>
      <c r="E1885" s="52" t="s">
        <v>25</v>
      </c>
      <c r="F1885" s="52" t="s">
        <v>26</v>
      </c>
      <c r="G1885" s="53"/>
    </row>
    <row r="1886">
      <c r="A1886" s="49">
        <v>44504.22710880787</v>
      </c>
      <c r="B1886" s="50">
        <v>44504.3520782986</v>
      </c>
      <c r="C1886" s="51">
        <v>1.013</v>
      </c>
      <c r="D1886" s="51">
        <v>65.0</v>
      </c>
      <c r="E1886" s="52" t="s">
        <v>25</v>
      </c>
      <c r="F1886" s="52" t="s">
        <v>26</v>
      </c>
      <c r="G1886" s="53"/>
    </row>
    <row r="1887">
      <c r="A1887" s="49">
        <v>44504.23753064815</v>
      </c>
      <c r="B1887" s="50">
        <v>44504.362498993</v>
      </c>
      <c r="C1887" s="51">
        <v>1.013</v>
      </c>
      <c r="D1887" s="51">
        <v>65.0</v>
      </c>
      <c r="E1887" s="52" t="s">
        <v>25</v>
      </c>
      <c r="F1887" s="52" t="s">
        <v>26</v>
      </c>
      <c r="G1887" s="53"/>
    </row>
    <row r="1888">
      <c r="A1888" s="49">
        <v>44504.247959768516</v>
      </c>
      <c r="B1888" s="50">
        <v>44504.3729216203</v>
      </c>
      <c r="C1888" s="51">
        <v>1.013</v>
      </c>
      <c r="D1888" s="51">
        <v>65.0</v>
      </c>
      <c r="E1888" s="52" t="s">
        <v>25</v>
      </c>
      <c r="F1888" s="52" t="s">
        <v>26</v>
      </c>
      <c r="G1888" s="53"/>
    </row>
    <row r="1889">
      <c r="A1889" s="49">
        <v>44504.25838450232</v>
      </c>
      <c r="B1889" s="50">
        <v>44504.3833448148</v>
      </c>
      <c r="C1889" s="51">
        <v>1.013</v>
      </c>
      <c r="D1889" s="51">
        <v>65.0</v>
      </c>
      <c r="E1889" s="52" t="s">
        <v>25</v>
      </c>
      <c r="F1889" s="52" t="s">
        <v>26</v>
      </c>
      <c r="G1889" s="53"/>
    </row>
    <row r="1890">
      <c r="A1890" s="49">
        <v>44504.26880417824</v>
      </c>
      <c r="B1890" s="50">
        <v>44504.3937664814</v>
      </c>
      <c r="C1890" s="51">
        <v>1.013</v>
      </c>
      <c r="D1890" s="51">
        <v>65.0</v>
      </c>
      <c r="E1890" s="52" t="s">
        <v>25</v>
      </c>
      <c r="F1890" s="52" t="s">
        <v>26</v>
      </c>
      <c r="G1890" s="53"/>
    </row>
    <row r="1891">
      <c r="A1891" s="49">
        <v>44504.2792406713</v>
      </c>
      <c r="B1891" s="50">
        <v>44504.4041987037</v>
      </c>
      <c r="C1891" s="51">
        <v>1.013</v>
      </c>
      <c r="D1891" s="51">
        <v>65.0</v>
      </c>
      <c r="E1891" s="52" t="s">
        <v>25</v>
      </c>
      <c r="F1891" s="52" t="s">
        <v>26</v>
      </c>
      <c r="G1891" s="53"/>
    </row>
    <row r="1892">
      <c r="A1892" s="49">
        <v>44504.28966572917</v>
      </c>
      <c r="B1892" s="50">
        <v>44504.4146327777</v>
      </c>
      <c r="C1892" s="51">
        <v>1.013</v>
      </c>
      <c r="D1892" s="51">
        <v>65.0</v>
      </c>
      <c r="E1892" s="52" t="s">
        <v>25</v>
      </c>
      <c r="F1892" s="52" t="s">
        <v>26</v>
      </c>
      <c r="G1892" s="53"/>
    </row>
    <row r="1893">
      <c r="A1893" s="49">
        <v>44504.30008822917</v>
      </c>
      <c r="B1893" s="50">
        <v>44504.4250549537</v>
      </c>
      <c r="C1893" s="51">
        <v>1.013</v>
      </c>
      <c r="D1893" s="51">
        <v>65.0</v>
      </c>
      <c r="E1893" s="52" t="s">
        <v>25</v>
      </c>
      <c r="F1893" s="52" t="s">
        <v>26</v>
      </c>
      <c r="G1893" s="53"/>
    </row>
    <row r="1894">
      <c r="A1894" s="49">
        <v>44504.31052688658</v>
      </c>
      <c r="B1894" s="50">
        <v>44504.4354881944</v>
      </c>
      <c r="C1894" s="51">
        <v>1.013</v>
      </c>
      <c r="D1894" s="51">
        <v>65.0</v>
      </c>
      <c r="E1894" s="52" t="s">
        <v>25</v>
      </c>
      <c r="F1894" s="52" t="s">
        <v>26</v>
      </c>
      <c r="G1894" s="53"/>
    </row>
    <row r="1895">
      <c r="A1895" s="49">
        <v>44504.320947789354</v>
      </c>
      <c r="B1895" s="50">
        <v>44504.4459084375</v>
      </c>
      <c r="C1895" s="51">
        <v>1.013</v>
      </c>
      <c r="D1895" s="51">
        <v>65.0</v>
      </c>
      <c r="E1895" s="52" t="s">
        <v>25</v>
      </c>
      <c r="F1895" s="52" t="s">
        <v>26</v>
      </c>
      <c r="G1895" s="53"/>
    </row>
    <row r="1896">
      <c r="A1896" s="49">
        <v>44504.33135847222</v>
      </c>
      <c r="B1896" s="50">
        <v>44504.4563288541</v>
      </c>
      <c r="C1896" s="51">
        <v>1.013</v>
      </c>
      <c r="D1896" s="51">
        <v>65.0</v>
      </c>
      <c r="E1896" s="52" t="s">
        <v>25</v>
      </c>
      <c r="F1896" s="52" t="s">
        <v>26</v>
      </c>
      <c r="G1896" s="53"/>
    </row>
    <row r="1897">
      <c r="A1897" s="49">
        <v>44504.34179128472</v>
      </c>
      <c r="B1897" s="50">
        <v>44504.4667487152</v>
      </c>
      <c r="C1897" s="51">
        <v>1.013</v>
      </c>
      <c r="D1897" s="51">
        <v>65.0</v>
      </c>
      <c r="E1897" s="52" t="s">
        <v>25</v>
      </c>
      <c r="F1897" s="52" t="s">
        <v>26</v>
      </c>
      <c r="G1897" s="53"/>
    </row>
    <row r="1898">
      <c r="A1898" s="49">
        <v>44504.35219787037</v>
      </c>
      <c r="B1898" s="50">
        <v>44504.4771691898</v>
      </c>
      <c r="C1898" s="51">
        <v>1.013</v>
      </c>
      <c r="D1898" s="51">
        <v>65.0</v>
      </c>
      <c r="E1898" s="52" t="s">
        <v>25</v>
      </c>
      <c r="F1898" s="52" t="s">
        <v>26</v>
      </c>
      <c r="G1898" s="53"/>
    </row>
    <row r="1899">
      <c r="A1899" s="49">
        <v>44504.36262979166</v>
      </c>
      <c r="B1899" s="50">
        <v>44504.4875920949</v>
      </c>
      <c r="C1899" s="51">
        <v>1.013</v>
      </c>
      <c r="D1899" s="51">
        <v>65.0</v>
      </c>
      <c r="E1899" s="52" t="s">
        <v>25</v>
      </c>
      <c r="F1899" s="52" t="s">
        <v>26</v>
      </c>
      <c r="G1899" s="53"/>
    </row>
    <row r="1900">
      <c r="A1900" s="49">
        <v>44504.373047395835</v>
      </c>
      <c r="B1900" s="50">
        <v>44504.4980129861</v>
      </c>
      <c r="C1900" s="51">
        <v>1.013</v>
      </c>
      <c r="D1900" s="51">
        <v>65.0</v>
      </c>
      <c r="E1900" s="52" t="s">
        <v>25</v>
      </c>
      <c r="F1900" s="52" t="s">
        <v>26</v>
      </c>
      <c r="G1900" s="53"/>
    </row>
    <row r="1901">
      <c r="A1901" s="49">
        <v>44504.38346606481</v>
      </c>
      <c r="B1901" s="50">
        <v>44504.5084343287</v>
      </c>
      <c r="C1901" s="51">
        <v>1.013</v>
      </c>
      <c r="D1901" s="51">
        <v>65.0</v>
      </c>
      <c r="E1901" s="52" t="s">
        <v>25</v>
      </c>
      <c r="F1901" s="52" t="s">
        <v>26</v>
      </c>
      <c r="G1901" s="53"/>
    </row>
    <row r="1902">
      <c r="A1902" s="49">
        <v>44504.39389756945</v>
      </c>
      <c r="B1902" s="50">
        <v>44504.5188557986</v>
      </c>
      <c r="C1902" s="51">
        <v>1.013</v>
      </c>
      <c r="D1902" s="51">
        <v>65.0</v>
      </c>
      <c r="E1902" s="52" t="s">
        <v>25</v>
      </c>
      <c r="F1902" s="52" t="s">
        <v>26</v>
      </c>
      <c r="G1902" s="53"/>
    </row>
    <row r="1903">
      <c r="A1903" s="49">
        <v>44504.40430709491</v>
      </c>
      <c r="B1903" s="50">
        <v>44504.5292778356</v>
      </c>
      <c r="C1903" s="51">
        <v>1.013</v>
      </c>
      <c r="D1903" s="51">
        <v>65.0</v>
      </c>
      <c r="E1903" s="52" t="s">
        <v>25</v>
      </c>
      <c r="F1903" s="52" t="s">
        <v>26</v>
      </c>
      <c r="G1903" s="53"/>
    </row>
    <row r="1904">
      <c r="A1904" s="49">
        <v>44504.414734351856</v>
      </c>
      <c r="B1904" s="50">
        <v>44504.5397095138</v>
      </c>
      <c r="C1904" s="51">
        <v>1.013</v>
      </c>
      <c r="D1904" s="51">
        <v>65.0</v>
      </c>
      <c r="E1904" s="52" t="s">
        <v>25</v>
      </c>
      <c r="F1904" s="52" t="s">
        <v>26</v>
      </c>
      <c r="G1904" s="53"/>
    </row>
    <row r="1905">
      <c r="A1905" s="49">
        <v>44504.42516182871</v>
      </c>
      <c r="B1905" s="50">
        <v>44504.5501308564</v>
      </c>
      <c r="C1905" s="51">
        <v>1.013</v>
      </c>
      <c r="D1905" s="51">
        <v>65.0</v>
      </c>
      <c r="E1905" s="52" t="s">
        <v>25</v>
      </c>
      <c r="F1905" s="52" t="s">
        <v>26</v>
      </c>
      <c r="G1905" s="53"/>
    </row>
    <row r="1906">
      <c r="A1906" s="49">
        <v>44504.43560280092</v>
      </c>
      <c r="B1906" s="50">
        <v>44504.5605649652</v>
      </c>
      <c r="C1906" s="51">
        <v>1.013</v>
      </c>
      <c r="D1906" s="51">
        <v>65.0</v>
      </c>
      <c r="E1906" s="52" t="s">
        <v>25</v>
      </c>
      <c r="F1906" s="52" t="s">
        <v>26</v>
      </c>
      <c r="G1906" s="53"/>
    </row>
    <row r="1907">
      <c r="A1907" s="49">
        <v>44504.446020601856</v>
      </c>
      <c r="B1907" s="50">
        <v>44504.5709879166</v>
      </c>
      <c r="C1907" s="51">
        <v>1.013</v>
      </c>
      <c r="D1907" s="51">
        <v>65.0</v>
      </c>
      <c r="E1907" s="52" t="s">
        <v>25</v>
      </c>
      <c r="F1907" s="52" t="s">
        <v>26</v>
      </c>
      <c r="G1907" s="53"/>
    </row>
    <row r="1908">
      <c r="A1908" s="49">
        <v>44504.456435960645</v>
      </c>
      <c r="B1908" s="50">
        <v>44504.5814086111</v>
      </c>
      <c r="C1908" s="51">
        <v>1.013</v>
      </c>
      <c r="D1908" s="51">
        <v>65.0</v>
      </c>
      <c r="E1908" s="52" t="s">
        <v>25</v>
      </c>
      <c r="F1908" s="52" t="s">
        <v>26</v>
      </c>
      <c r="G1908" s="53"/>
    </row>
    <row r="1909">
      <c r="A1909" s="49">
        <v>44504.46685606481</v>
      </c>
      <c r="B1909" s="50">
        <v>44504.5918292824</v>
      </c>
      <c r="C1909" s="51">
        <v>1.013</v>
      </c>
      <c r="D1909" s="51">
        <v>65.0</v>
      </c>
      <c r="E1909" s="52" t="s">
        <v>25</v>
      </c>
      <c r="F1909" s="52" t="s">
        <v>26</v>
      </c>
      <c r="G1909" s="53"/>
    </row>
    <row r="1910">
      <c r="A1910" s="49">
        <v>44504.477277094906</v>
      </c>
      <c r="B1910" s="50">
        <v>44504.6022505671</v>
      </c>
      <c r="C1910" s="51">
        <v>1.013</v>
      </c>
      <c r="D1910" s="51">
        <v>65.0</v>
      </c>
      <c r="E1910" s="52" t="s">
        <v>25</v>
      </c>
      <c r="F1910" s="52" t="s">
        <v>26</v>
      </c>
      <c r="G1910" s="53"/>
    </row>
    <row r="1911">
      <c r="A1911" s="49">
        <v>44504.487703356484</v>
      </c>
      <c r="B1911" s="50">
        <v>44504.612672743</v>
      </c>
      <c r="C1911" s="51">
        <v>1.013</v>
      </c>
      <c r="D1911" s="51">
        <v>65.0</v>
      </c>
      <c r="E1911" s="52" t="s">
        <v>25</v>
      </c>
      <c r="F1911" s="52" t="s">
        <v>26</v>
      </c>
      <c r="G1911" s="53"/>
    </row>
    <row r="1912">
      <c r="A1912" s="49">
        <v>44504.49812550926</v>
      </c>
      <c r="B1912" s="50">
        <v>44504.6230932176</v>
      </c>
      <c r="C1912" s="51">
        <v>1.013</v>
      </c>
      <c r="D1912" s="51">
        <v>65.0</v>
      </c>
      <c r="E1912" s="52" t="s">
        <v>25</v>
      </c>
      <c r="F1912" s="52" t="s">
        <v>26</v>
      </c>
      <c r="G1912" s="53"/>
    </row>
    <row r="1913">
      <c r="A1913" s="49">
        <v>44504.50855212963</v>
      </c>
      <c r="B1913" s="50">
        <v>44504.6335263194</v>
      </c>
      <c r="C1913" s="51">
        <v>1.013</v>
      </c>
      <c r="D1913" s="51">
        <v>65.0</v>
      </c>
      <c r="E1913" s="52" t="s">
        <v>25</v>
      </c>
      <c r="F1913" s="52" t="s">
        <v>26</v>
      </c>
      <c r="G1913" s="53"/>
    </row>
    <row r="1914">
      <c r="A1914" s="49">
        <v>44504.51897497685</v>
      </c>
      <c r="B1914" s="50">
        <v>44504.6439477777</v>
      </c>
      <c r="C1914" s="51">
        <v>1.013</v>
      </c>
      <c r="D1914" s="51">
        <v>65.0</v>
      </c>
      <c r="E1914" s="52" t="s">
        <v>25</v>
      </c>
      <c r="F1914" s="52" t="s">
        <v>26</v>
      </c>
      <c r="G1914" s="53"/>
    </row>
    <row r="1915">
      <c r="A1915" s="49">
        <v>44504.529399189814</v>
      </c>
      <c r="B1915" s="50">
        <v>44504.6543689236</v>
      </c>
      <c r="C1915" s="51">
        <v>1.013</v>
      </c>
      <c r="D1915" s="51">
        <v>65.0</v>
      </c>
      <c r="E1915" s="52" t="s">
        <v>25</v>
      </c>
      <c r="F1915" s="52" t="s">
        <v>26</v>
      </c>
      <c r="G1915" s="53"/>
    </row>
    <row r="1916">
      <c r="A1916" s="49">
        <v>44504.539827280096</v>
      </c>
      <c r="B1916" s="50">
        <v>44504.6647926967</v>
      </c>
      <c r="C1916" s="51">
        <v>1.013</v>
      </c>
      <c r="D1916" s="51">
        <v>65.0</v>
      </c>
      <c r="E1916" s="52" t="s">
        <v>25</v>
      </c>
      <c r="F1916" s="52" t="s">
        <v>26</v>
      </c>
      <c r="G1916" s="53"/>
    </row>
    <row r="1917">
      <c r="A1917" s="49">
        <v>44504.55024045139</v>
      </c>
      <c r="B1917" s="50">
        <v>44504.675213912</v>
      </c>
      <c r="C1917" s="51">
        <v>1.013</v>
      </c>
      <c r="D1917" s="51">
        <v>65.0</v>
      </c>
      <c r="E1917" s="52" t="s">
        <v>25</v>
      </c>
      <c r="F1917" s="52" t="s">
        <v>26</v>
      </c>
      <c r="G1917" s="53"/>
    </row>
    <row r="1918">
      <c r="A1918" s="49">
        <v>44504.56067128472</v>
      </c>
      <c r="B1918" s="50">
        <v>44504.6856347337</v>
      </c>
      <c r="C1918" s="51">
        <v>1.013</v>
      </c>
      <c r="D1918" s="51">
        <v>65.0</v>
      </c>
      <c r="E1918" s="52" t="s">
        <v>25</v>
      </c>
      <c r="F1918" s="52" t="s">
        <v>26</v>
      </c>
      <c r="G1918" s="53"/>
    </row>
    <row r="1919">
      <c r="A1919" s="49">
        <v>44504.57108685185</v>
      </c>
      <c r="B1919" s="50">
        <v>44504.6960537847</v>
      </c>
      <c r="C1919" s="51">
        <v>1.013</v>
      </c>
      <c r="D1919" s="51">
        <v>65.0</v>
      </c>
      <c r="E1919" s="52" t="s">
        <v>25</v>
      </c>
      <c r="F1919" s="52" t="s">
        <v>26</v>
      </c>
      <c r="G1919" s="53"/>
    </row>
    <row r="1920">
      <c r="A1920" s="49">
        <v>44504.58151116898</v>
      </c>
      <c r="B1920" s="50">
        <v>44504.7064747569</v>
      </c>
      <c r="C1920" s="51">
        <v>1.013</v>
      </c>
      <c r="D1920" s="51">
        <v>65.0</v>
      </c>
      <c r="E1920" s="52" t="s">
        <v>25</v>
      </c>
      <c r="F1920" s="52" t="s">
        <v>26</v>
      </c>
      <c r="G1920" s="53"/>
    </row>
    <row r="1921">
      <c r="A1921" s="49">
        <v>44504.591935335644</v>
      </c>
      <c r="B1921" s="50">
        <v>44504.7169090162</v>
      </c>
      <c r="C1921" s="51">
        <v>1.013</v>
      </c>
      <c r="D1921" s="51">
        <v>65.0</v>
      </c>
      <c r="E1921" s="52" t="s">
        <v>25</v>
      </c>
      <c r="F1921" s="52" t="s">
        <v>26</v>
      </c>
      <c r="G1921" s="53"/>
    </row>
    <row r="1922">
      <c r="A1922" s="49">
        <v>44504.60237075231</v>
      </c>
      <c r="B1922" s="50">
        <v>44504.7273418634</v>
      </c>
      <c r="C1922" s="51">
        <v>1.013</v>
      </c>
      <c r="D1922" s="51">
        <v>65.0</v>
      </c>
      <c r="E1922" s="52" t="s">
        <v>25</v>
      </c>
      <c r="F1922" s="52" t="s">
        <v>26</v>
      </c>
      <c r="G1922" s="53"/>
    </row>
    <row r="1923">
      <c r="A1923" s="49">
        <v>44504.612793611115</v>
      </c>
      <c r="B1923" s="50">
        <v>44504.7377644791</v>
      </c>
      <c r="C1923" s="51">
        <v>1.013</v>
      </c>
      <c r="D1923" s="51">
        <v>65.0</v>
      </c>
      <c r="E1923" s="52" t="s">
        <v>25</v>
      </c>
      <c r="F1923" s="52" t="s">
        <v>26</v>
      </c>
      <c r="G1923" s="53"/>
    </row>
    <row r="1924">
      <c r="A1924" s="49">
        <v>44504.623229606485</v>
      </c>
      <c r="B1924" s="50">
        <v>44504.7481959722</v>
      </c>
      <c r="C1924" s="51">
        <v>1.013</v>
      </c>
      <c r="D1924" s="51">
        <v>65.0</v>
      </c>
      <c r="E1924" s="52" t="s">
        <v>25</v>
      </c>
      <c r="F1924" s="52" t="s">
        <v>26</v>
      </c>
      <c r="G1924" s="53"/>
    </row>
    <row r="1925">
      <c r="A1925" s="49">
        <v>44504.63364641204</v>
      </c>
      <c r="B1925" s="50">
        <v>44504.75862</v>
      </c>
      <c r="C1925" s="51">
        <v>1.013</v>
      </c>
      <c r="D1925" s="51">
        <v>65.0</v>
      </c>
      <c r="E1925" s="52" t="s">
        <v>25</v>
      </c>
      <c r="F1925" s="52" t="s">
        <v>26</v>
      </c>
      <c r="G1925" s="53"/>
    </row>
    <row r="1926">
      <c r="A1926" s="49">
        <v>44504.64407753472</v>
      </c>
      <c r="B1926" s="50">
        <v>44504.7690395949</v>
      </c>
      <c r="C1926" s="51">
        <v>1.013</v>
      </c>
      <c r="D1926" s="51">
        <v>65.0</v>
      </c>
      <c r="E1926" s="52" t="s">
        <v>25</v>
      </c>
      <c r="F1926" s="52" t="s">
        <v>26</v>
      </c>
      <c r="G1926" s="53"/>
    </row>
    <row r="1927">
      <c r="A1927" s="49">
        <v>44504.654518298616</v>
      </c>
      <c r="B1927" s="50">
        <v>44504.7794840509</v>
      </c>
      <c r="C1927" s="51">
        <v>1.013</v>
      </c>
      <c r="D1927" s="51">
        <v>65.0</v>
      </c>
      <c r="E1927" s="52" t="s">
        <v>25</v>
      </c>
      <c r="F1927" s="52" t="s">
        <v>26</v>
      </c>
      <c r="G1927" s="53"/>
    </row>
    <row r="1928">
      <c r="A1928" s="49">
        <v>44504.66493637732</v>
      </c>
      <c r="B1928" s="50">
        <v>44504.7899059375</v>
      </c>
      <c r="C1928" s="51">
        <v>1.013</v>
      </c>
      <c r="D1928" s="51">
        <v>65.0</v>
      </c>
      <c r="E1928" s="52" t="s">
        <v>25</v>
      </c>
      <c r="F1928" s="52" t="s">
        <v>26</v>
      </c>
      <c r="G1928" s="53"/>
    </row>
    <row r="1929">
      <c r="A1929" s="49">
        <v>44504.67534765047</v>
      </c>
      <c r="B1929" s="50">
        <v>44504.8003288078</v>
      </c>
      <c r="C1929" s="51">
        <v>1.013</v>
      </c>
      <c r="D1929" s="51">
        <v>65.0</v>
      </c>
      <c r="E1929" s="52" t="s">
        <v>25</v>
      </c>
      <c r="F1929" s="52" t="s">
        <v>26</v>
      </c>
      <c r="G1929" s="53"/>
    </row>
    <row r="1930">
      <c r="A1930" s="49">
        <v>44504.68579986111</v>
      </c>
      <c r="B1930" s="50">
        <v>44504.810750706</v>
      </c>
      <c r="C1930" s="51">
        <v>1.013</v>
      </c>
      <c r="D1930" s="51">
        <v>65.0</v>
      </c>
      <c r="E1930" s="52" t="s">
        <v>25</v>
      </c>
      <c r="F1930" s="52" t="s">
        <v>26</v>
      </c>
      <c r="G1930" s="53"/>
    </row>
    <row r="1931">
      <c r="A1931" s="49">
        <v>44504.696208113426</v>
      </c>
      <c r="B1931" s="50">
        <v>44504.8211720949</v>
      </c>
      <c r="C1931" s="51">
        <v>1.013</v>
      </c>
      <c r="D1931" s="51">
        <v>65.0</v>
      </c>
      <c r="E1931" s="52" t="s">
        <v>25</v>
      </c>
      <c r="F1931" s="52" t="s">
        <v>26</v>
      </c>
      <c r="G1931" s="53"/>
    </row>
    <row r="1932">
      <c r="A1932" s="49">
        <v>44504.70662240741</v>
      </c>
      <c r="B1932" s="50">
        <v>44504.8315916782</v>
      </c>
      <c r="C1932" s="51">
        <v>1.013</v>
      </c>
      <c r="D1932" s="51">
        <v>65.0</v>
      </c>
      <c r="E1932" s="52" t="s">
        <v>25</v>
      </c>
      <c r="F1932" s="52" t="s">
        <v>26</v>
      </c>
      <c r="G1932" s="53"/>
    </row>
    <row r="1933">
      <c r="A1933" s="49">
        <v>44504.717037106486</v>
      </c>
      <c r="B1933" s="50">
        <v>44504.8420120023</v>
      </c>
      <c r="C1933" s="51">
        <v>1.013</v>
      </c>
      <c r="D1933" s="51">
        <v>65.0</v>
      </c>
      <c r="E1933" s="52" t="s">
        <v>25</v>
      </c>
      <c r="F1933" s="52" t="s">
        <v>26</v>
      </c>
      <c r="G1933" s="53"/>
    </row>
    <row r="1934">
      <c r="A1934" s="49">
        <v>44504.72746459491</v>
      </c>
      <c r="B1934" s="50">
        <v>44504.8524352893</v>
      </c>
      <c r="C1934" s="51">
        <v>1.013</v>
      </c>
      <c r="D1934" s="51">
        <v>65.0</v>
      </c>
      <c r="E1934" s="52" t="s">
        <v>25</v>
      </c>
      <c r="F1934" s="52" t="s">
        <v>26</v>
      </c>
      <c r="G1934" s="53"/>
    </row>
    <row r="1935">
      <c r="A1935" s="49">
        <v>44504.737886574076</v>
      </c>
      <c r="B1935" s="50">
        <v>44504.862855324</v>
      </c>
      <c r="C1935" s="51">
        <v>1.013</v>
      </c>
      <c r="D1935" s="51">
        <v>65.0</v>
      </c>
      <c r="E1935" s="52" t="s">
        <v>25</v>
      </c>
      <c r="F1935" s="52" t="s">
        <v>26</v>
      </c>
      <c r="G1935" s="53"/>
    </row>
    <row r="1936">
      <c r="A1936" s="49">
        <v>44504.74832372685</v>
      </c>
      <c r="B1936" s="50">
        <v>44504.8732879398</v>
      </c>
      <c r="C1936" s="51">
        <v>1.013</v>
      </c>
      <c r="D1936" s="51">
        <v>65.0</v>
      </c>
      <c r="E1936" s="52" t="s">
        <v>25</v>
      </c>
      <c r="F1936" s="52" t="s">
        <v>26</v>
      </c>
      <c r="G1936" s="53"/>
    </row>
    <row r="1937">
      <c r="A1937" s="49">
        <v>44504.75873751157</v>
      </c>
      <c r="B1937" s="50">
        <v>44504.8837097916</v>
      </c>
      <c r="C1937" s="51">
        <v>1.013</v>
      </c>
      <c r="D1937" s="51">
        <v>65.0</v>
      </c>
      <c r="E1937" s="52" t="s">
        <v>25</v>
      </c>
      <c r="F1937" s="52" t="s">
        <v>26</v>
      </c>
      <c r="G1937" s="53"/>
    </row>
    <row r="1938">
      <c r="A1938" s="49">
        <v>44504.769161516204</v>
      </c>
      <c r="B1938" s="50">
        <v>44504.8941316435</v>
      </c>
      <c r="C1938" s="51">
        <v>1.013</v>
      </c>
      <c r="D1938" s="51">
        <v>65.0</v>
      </c>
      <c r="E1938" s="52" t="s">
        <v>25</v>
      </c>
      <c r="F1938" s="52" t="s">
        <v>26</v>
      </c>
      <c r="G1938" s="53"/>
    </row>
    <row r="1939">
      <c r="A1939" s="49">
        <v>44504.779587129626</v>
      </c>
      <c r="B1939" s="50">
        <v>44504.9045649537</v>
      </c>
      <c r="C1939" s="51">
        <v>1.013</v>
      </c>
      <c r="D1939" s="51">
        <v>65.0</v>
      </c>
      <c r="E1939" s="52" t="s">
        <v>25</v>
      </c>
      <c r="F1939" s="52" t="s">
        <v>26</v>
      </c>
      <c r="G1939" s="53"/>
    </row>
    <row r="1940">
      <c r="A1940" s="49">
        <v>44504.790016087965</v>
      </c>
      <c r="B1940" s="50">
        <v>44504.914987118</v>
      </c>
      <c r="C1940" s="51">
        <v>1.013</v>
      </c>
      <c r="D1940" s="51">
        <v>65.0</v>
      </c>
      <c r="E1940" s="52" t="s">
        <v>25</v>
      </c>
      <c r="F1940" s="52" t="s">
        <v>26</v>
      </c>
      <c r="G1940" s="53"/>
    </row>
    <row r="1941">
      <c r="A1941" s="49">
        <v>44504.8004343287</v>
      </c>
      <c r="B1941" s="50">
        <v>44504.9254082638</v>
      </c>
      <c r="C1941" s="51">
        <v>1.013</v>
      </c>
      <c r="D1941" s="51">
        <v>65.0</v>
      </c>
      <c r="E1941" s="52" t="s">
        <v>25</v>
      </c>
      <c r="F1941" s="52" t="s">
        <v>26</v>
      </c>
      <c r="G1941" s="53"/>
    </row>
    <row r="1942">
      <c r="A1942" s="49">
        <v>44504.81085664352</v>
      </c>
      <c r="B1942" s="50">
        <v>44504.9358308564</v>
      </c>
      <c r="C1942" s="51">
        <v>1.013</v>
      </c>
      <c r="D1942" s="51">
        <v>65.0</v>
      </c>
      <c r="E1942" s="52" t="s">
        <v>25</v>
      </c>
      <c r="F1942" s="52" t="s">
        <v>26</v>
      </c>
      <c r="G1942" s="53"/>
    </row>
    <row r="1943">
      <c r="A1943" s="49">
        <v>44504.821280289354</v>
      </c>
      <c r="B1943" s="50">
        <v>44504.9462517129</v>
      </c>
      <c r="C1943" s="51">
        <v>1.013</v>
      </c>
      <c r="D1943" s="51">
        <v>65.0</v>
      </c>
      <c r="E1943" s="52" t="s">
        <v>25</v>
      </c>
      <c r="F1943" s="52" t="s">
        <v>26</v>
      </c>
      <c r="G1943" s="53"/>
    </row>
    <row r="1944">
      <c r="A1944" s="49">
        <v>44504.831705000004</v>
      </c>
      <c r="B1944" s="50">
        <v>44504.9566714583</v>
      </c>
      <c r="C1944" s="51">
        <v>1.013</v>
      </c>
      <c r="D1944" s="51">
        <v>65.0</v>
      </c>
      <c r="E1944" s="52" t="s">
        <v>25</v>
      </c>
      <c r="F1944" s="52" t="s">
        <v>26</v>
      </c>
      <c r="G1944" s="53"/>
    </row>
    <row r="1945">
      <c r="A1945" s="49">
        <v>44504.842118773144</v>
      </c>
      <c r="B1945" s="50">
        <v>44504.9670935301</v>
      </c>
      <c r="C1945" s="51">
        <v>1.013</v>
      </c>
      <c r="D1945" s="51">
        <v>65.0</v>
      </c>
      <c r="E1945" s="52" t="s">
        <v>25</v>
      </c>
      <c r="F1945" s="52" t="s">
        <v>26</v>
      </c>
      <c r="G1945" s="53"/>
    </row>
    <row r="1946">
      <c r="A1946" s="49">
        <v>44504.85255553241</v>
      </c>
      <c r="B1946" s="50">
        <v>44504.9775258564</v>
      </c>
      <c r="C1946" s="51">
        <v>1.013</v>
      </c>
      <c r="D1946" s="51">
        <v>65.0</v>
      </c>
      <c r="E1946" s="52" t="s">
        <v>25</v>
      </c>
      <c r="F1946" s="52" t="s">
        <v>26</v>
      </c>
      <c r="G1946" s="53"/>
    </row>
    <row r="1947">
      <c r="A1947" s="49">
        <v>44504.86297714121</v>
      </c>
      <c r="B1947" s="50">
        <v>44504.9879476736</v>
      </c>
      <c r="C1947" s="51">
        <v>1.013</v>
      </c>
      <c r="D1947" s="51">
        <v>65.0</v>
      </c>
      <c r="E1947" s="52" t="s">
        <v>25</v>
      </c>
      <c r="F1947" s="52" t="s">
        <v>26</v>
      </c>
      <c r="G1947" s="53"/>
    </row>
    <row r="1948">
      <c r="A1948" s="49">
        <v>44504.87340094907</v>
      </c>
      <c r="B1948" s="50">
        <v>44504.9983672569</v>
      </c>
      <c r="C1948" s="51">
        <v>1.013</v>
      </c>
      <c r="D1948" s="51">
        <v>65.0</v>
      </c>
      <c r="E1948" s="52" t="s">
        <v>25</v>
      </c>
      <c r="F1948" s="52" t="s">
        <v>26</v>
      </c>
      <c r="G1948" s="53"/>
    </row>
    <row r="1949">
      <c r="A1949" s="49">
        <v>44504.88381638889</v>
      </c>
      <c r="B1949" s="50">
        <v>44505.0087874421</v>
      </c>
      <c r="C1949" s="51">
        <v>1.013</v>
      </c>
      <c r="D1949" s="51">
        <v>65.0</v>
      </c>
      <c r="E1949" s="52" t="s">
        <v>25</v>
      </c>
      <c r="F1949" s="52" t="s">
        <v>26</v>
      </c>
      <c r="G1949" s="53"/>
    </row>
    <row r="1950">
      <c r="A1950" s="49">
        <v>44504.894253900464</v>
      </c>
      <c r="B1950" s="50">
        <v>44505.0192094328</v>
      </c>
      <c r="C1950" s="51">
        <v>1.013</v>
      </c>
      <c r="D1950" s="51">
        <v>65.0</v>
      </c>
      <c r="E1950" s="52" t="s">
        <v>25</v>
      </c>
      <c r="F1950" s="52" t="s">
        <v>26</v>
      </c>
      <c r="G1950" s="53"/>
    </row>
    <row r="1951">
      <c r="A1951" s="49">
        <v>44504.90466021991</v>
      </c>
      <c r="B1951" s="50">
        <v>44505.0296283449</v>
      </c>
      <c r="C1951" s="51">
        <v>1.013</v>
      </c>
      <c r="D1951" s="51">
        <v>65.0</v>
      </c>
      <c r="E1951" s="52" t="s">
        <v>25</v>
      </c>
      <c r="F1951" s="52" t="s">
        <v>26</v>
      </c>
      <c r="G1951" s="53"/>
    </row>
    <row r="1952">
      <c r="A1952" s="49">
        <v>44504.9150865625</v>
      </c>
      <c r="B1952" s="50">
        <v>44505.0400606365</v>
      </c>
      <c r="C1952" s="51">
        <v>1.013</v>
      </c>
      <c r="D1952" s="51">
        <v>65.0</v>
      </c>
      <c r="E1952" s="52" t="s">
        <v>25</v>
      </c>
      <c r="F1952" s="52" t="s">
        <v>26</v>
      </c>
      <c r="G1952" s="53"/>
    </row>
    <row r="1953">
      <c r="A1953" s="49">
        <v>44504.92550380787</v>
      </c>
      <c r="B1953" s="50">
        <v>44505.050482662</v>
      </c>
      <c r="C1953" s="51">
        <v>1.013</v>
      </c>
      <c r="D1953" s="51">
        <v>65.0</v>
      </c>
      <c r="E1953" s="52" t="s">
        <v>25</v>
      </c>
      <c r="F1953" s="52" t="s">
        <v>26</v>
      </c>
      <c r="G1953" s="53"/>
    </row>
    <row r="1954">
      <c r="A1954" s="49">
        <v>44504.93593384259</v>
      </c>
      <c r="B1954" s="50">
        <v>44505.0609038194</v>
      </c>
      <c r="C1954" s="51">
        <v>1.013</v>
      </c>
      <c r="D1954" s="51">
        <v>65.0</v>
      </c>
      <c r="E1954" s="52" t="s">
        <v>25</v>
      </c>
      <c r="F1954" s="52" t="s">
        <v>26</v>
      </c>
      <c r="G1954" s="53"/>
    </row>
    <row r="1955">
      <c r="A1955" s="49">
        <v>44504.946360925926</v>
      </c>
      <c r="B1955" s="50">
        <v>44505.0713276736</v>
      </c>
      <c r="C1955" s="51">
        <v>1.013</v>
      </c>
      <c r="D1955" s="51">
        <v>65.0</v>
      </c>
      <c r="E1955" s="52" t="s">
        <v>25</v>
      </c>
      <c r="F1955" s="52" t="s">
        <v>26</v>
      </c>
      <c r="G1955" s="53"/>
    </row>
    <row r="1956">
      <c r="A1956" s="49">
        <v>44504.95679730324</v>
      </c>
      <c r="B1956" s="50">
        <v>44505.0817625</v>
      </c>
      <c r="C1956" s="51">
        <v>1.013</v>
      </c>
      <c r="D1956" s="51">
        <v>65.0</v>
      </c>
      <c r="E1956" s="52" t="s">
        <v>25</v>
      </c>
      <c r="F1956" s="52" t="s">
        <v>26</v>
      </c>
      <c r="G1956" s="53"/>
    </row>
    <row r="1957">
      <c r="A1957" s="49">
        <v>44504.96721469908</v>
      </c>
      <c r="B1957" s="50">
        <v>44505.092184155</v>
      </c>
      <c r="C1957" s="51">
        <v>1.013</v>
      </c>
      <c r="D1957" s="51">
        <v>65.0</v>
      </c>
      <c r="E1957" s="52" t="s">
        <v>25</v>
      </c>
      <c r="F1957" s="52" t="s">
        <v>26</v>
      </c>
      <c r="G1957" s="53"/>
    </row>
    <row r="1958">
      <c r="A1958" s="49">
        <v>44504.97763702546</v>
      </c>
      <c r="B1958" s="50">
        <v>44505.1026061111</v>
      </c>
      <c r="C1958" s="51">
        <v>1.013</v>
      </c>
      <c r="D1958" s="51">
        <v>65.0</v>
      </c>
      <c r="E1958" s="52" t="s">
        <v>25</v>
      </c>
      <c r="F1958" s="52" t="s">
        <v>26</v>
      </c>
      <c r="G1958" s="53"/>
    </row>
    <row r="1959">
      <c r="A1959" s="49">
        <v>44504.98805778935</v>
      </c>
      <c r="B1959" s="50">
        <v>44505.1130274305</v>
      </c>
      <c r="C1959" s="51">
        <v>1.013</v>
      </c>
      <c r="D1959" s="51">
        <v>65.0</v>
      </c>
      <c r="E1959" s="52" t="s">
        <v>25</v>
      </c>
      <c r="F1959" s="52" t="s">
        <v>26</v>
      </c>
      <c r="G1959" s="53"/>
    </row>
    <row r="1960">
      <c r="A1960" s="49">
        <v>44504.998474837965</v>
      </c>
      <c r="B1960" s="50">
        <v>44505.1234482754</v>
      </c>
      <c r="C1960" s="51">
        <v>1.013</v>
      </c>
      <c r="D1960" s="51">
        <v>65.0</v>
      </c>
      <c r="E1960" s="52" t="s">
        <v>25</v>
      </c>
      <c r="F1960" s="52" t="s">
        <v>26</v>
      </c>
      <c r="G1960" s="53"/>
    </row>
    <row r="1961">
      <c r="A1961" s="49">
        <v>44505.00890137731</v>
      </c>
      <c r="B1961" s="50">
        <v>44505.1338668171</v>
      </c>
      <c r="C1961" s="51">
        <v>1.013</v>
      </c>
      <c r="D1961" s="51">
        <v>65.0</v>
      </c>
      <c r="E1961" s="52" t="s">
        <v>25</v>
      </c>
      <c r="F1961" s="52" t="s">
        <v>26</v>
      </c>
      <c r="G1961" s="53"/>
    </row>
    <row r="1962">
      <c r="A1962" s="49">
        <v>44505.019322824075</v>
      </c>
      <c r="B1962" s="50">
        <v>44505.144299537</v>
      </c>
      <c r="C1962" s="51">
        <v>1.013</v>
      </c>
      <c r="D1962" s="51">
        <v>65.0</v>
      </c>
      <c r="E1962" s="52" t="s">
        <v>25</v>
      </c>
      <c r="F1962" s="52" t="s">
        <v>26</v>
      </c>
      <c r="G1962" s="53"/>
    </row>
    <row r="1963">
      <c r="A1963" s="49">
        <v>44505.02977743055</v>
      </c>
      <c r="B1963" s="50">
        <v>44505.1547439467</v>
      </c>
      <c r="C1963" s="51">
        <v>1.012</v>
      </c>
      <c r="D1963" s="51">
        <v>65.0</v>
      </c>
      <c r="E1963" s="52" t="s">
        <v>25</v>
      </c>
      <c r="F1963" s="52" t="s">
        <v>26</v>
      </c>
      <c r="G1963" s="53"/>
    </row>
    <row r="1964">
      <c r="A1964" s="49">
        <v>44505.04019587963</v>
      </c>
      <c r="B1964" s="50">
        <v>44505.1651649652</v>
      </c>
      <c r="C1964" s="51">
        <v>1.012</v>
      </c>
      <c r="D1964" s="51">
        <v>65.0</v>
      </c>
      <c r="E1964" s="52" t="s">
        <v>25</v>
      </c>
      <c r="F1964" s="52" t="s">
        <v>26</v>
      </c>
      <c r="G1964" s="53"/>
    </row>
    <row r="1965">
      <c r="A1965" s="49">
        <v>44505.050618946756</v>
      </c>
      <c r="B1965" s="50">
        <v>44505.1755862615</v>
      </c>
      <c r="C1965" s="51">
        <v>1.012</v>
      </c>
      <c r="D1965" s="51">
        <v>65.0</v>
      </c>
      <c r="E1965" s="52" t="s">
        <v>25</v>
      </c>
      <c r="F1965" s="52" t="s">
        <v>26</v>
      </c>
      <c r="G1965" s="53"/>
    </row>
    <row r="1966">
      <c r="A1966" s="49">
        <v>44505.06104068287</v>
      </c>
      <c r="B1966" s="50">
        <v>44505.1860066435</v>
      </c>
      <c r="C1966" s="51">
        <v>1.013</v>
      </c>
      <c r="D1966" s="51">
        <v>65.0</v>
      </c>
      <c r="E1966" s="52" t="s">
        <v>25</v>
      </c>
      <c r="F1966" s="52" t="s">
        <v>26</v>
      </c>
      <c r="G1966" s="53"/>
    </row>
    <row r="1967">
      <c r="A1967" s="49">
        <v>44505.07146276621</v>
      </c>
      <c r="B1967" s="50">
        <v>44505.1964284837</v>
      </c>
      <c r="C1967" s="51">
        <v>1.012</v>
      </c>
      <c r="D1967" s="51">
        <v>65.0</v>
      </c>
      <c r="E1967" s="52" t="s">
        <v>25</v>
      </c>
      <c r="F1967" s="52" t="s">
        <v>26</v>
      </c>
      <c r="G1967" s="53"/>
    </row>
    <row r="1968">
      <c r="A1968" s="49">
        <v>44505.08191525463</v>
      </c>
      <c r="B1968" s="50">
        <v>44505.206885706</v>
      </c>
      <c r="C1968" s="51">
        <v>1.013</v>
      </c>
      <c r="D1968" s="51">
        <v>65.0</v>
      </c>
      <c r="E1968" s="52" t="s">
        <v>25</v>
      </c>
      <c r="F1968" s="52" t="s">
        <v>26</v>
      </c>
      <c r="G1968" s="53"/>
    </row>
    <row r="1969">
      <c r="A1969" s="49">
        <v>44505.092333043984</v>
      </c>
      <c r="B1969" s="50">
        <v>44505.2173062384</v>
      </c>
      <c r="C1969" s="51">
        <v>1.013</v>
      </c>
      <c r="D1969" s="51">
        <v>65.0</v>
      </c>
      <c r="E1969" s="52" t="s">
        <v>25</v>
      </c>
      <c r="F1969" s="52" t="s">
        <v>26</v>
      </c>
      <c r="G1969" s="53"/>
    </row>
    <row r="1970">
      <c r="A1970" s="49">
        <v>44505.10275153935</v>
      </c>
      <c r="B1970" s="50">
        <v>44505.2277274189</v>
      </c>
      <c r="C1970" s="51">
        <v>1.012</v>
      </c>
      <c r="D1970" s="51">
        <v>64.0</v>
      </c>
      <c r="E1970" s="52" t="s">
        <v>25</v>
      </c>
      <c r="F1970" s="52" t="s">
        <v>26</v>
      </c>
      <c r="G1970" s="53"/>
    </row>
    <row r="1971">
      <c r="A1971" s="49">
        <v>44505.113179305554</v>
      </c>
      <c r="B1971" s="50">
        <v>44505.2381502662</v>
      </c>
      <c r="C1971" s="51">
        <v>1.013</v>
      </c>
      <c r="D1971" s="51">
        <v>65.0</v>
      </c>
      <c r="E1971" s="52" t="s">
        <v>25</v>
      </c>
      <c r="F1971" s="52" t="s">
        <v>26</v>
      </c>
      <c r="G1971" s="53"/>
    </row>
    <row r="1972">
      <c r="A1972" s="49">
        <v>44505.12360186342</v>
      </c>
      <c r="B1972" s="50">
        <v>44505.2485705208</v>
      </c>
      <c r="C1972" s="51">
        <v>1.013</v>
      </c>
      <c r="D1972" s="51">
        <v>65.0</v>
      </c>
      <c r="E1972" s="52" t="s">
        <v>25</v>
      </c>
      <c r="F1972" s="52" t="s">
        <v>26</v>
      </c>
      <c r="G1972" s="53"/>
    </row>
    <row r="1973">
      <c r="A1973" s="49">
        <v>44505.134017881945</v>
      </c>
      <c r="B1973" s="50">
        <v>44505.2589920833</v>
      </c>
      <c r="C1973" s="51">
        <v>1.012</v>
      </c>
      <c r="D1973" s="51">
        <v>65.0</v>
      </c>
      <c r="E1973" s="52" t="s">
        <v>25</v>
      </c>
      <c r="F1973" s="52" t="s">
        <v>26</v>
      </c>
      <c r="G1973" s="53"/>
    </row>
    <row r="1974">
      <c r="A1974" s="49">
        <v>44505.144442766206</v>
      </c>
      <c r="B1974" s="50">
        <v>44505.269413287</v>
      </c>
      <c r="C1974" s="51">
        <v>1.013</v>
      </c>
      <c r="D1974" s="51">
        <v>65.0</v>
      </c>
      <c r="E1974" s="52" t="s">
        <v>25</v>
      </c>
      <c r="F1974" s="52" t="s">
        <v>26</v>
      </c>
      <c r="G1974" s="53"/>
    </row>
    <row r="1975">
      <c r="A1975" s="49">
        <v>44505.15485898148</v>
      </c>
      <c r="B1975" s="50">
        <v>44505.2798322916</v>
      </c>
      <c r="C1975" s="51">
        <v>1.013</v>
      </c>
      <c r="D1975" s="51">
        <v>64.0</v>
      </c>
      <c r="E1975" s="52" t="s">
        <v>25</v>
      </c>
      <c r="F1975" s="52" t="s">
        <v>26</v>
      </c>
      <c r="G1975" s="53"/>
    </row>
    <row r="1976">
      <c r="A1976" s="49">
        <v>44505.16527409722</v>
      </c>
      <c r="B1976" s="50">
        <v>44505.2902542592</v>
      </c>
      <c r="C1976" s="51">
        <v>1.013</v>
      </c>
      <c r="D1976" s="51">
        <v>64.0</v>
      </c>
      <c r="E1976" s="52" t="s">
        <v>25</v>
      </c>
      <c r="F1976" s="52" t="s">
        <v>26</v>
      </c>
      <c r="G1976" s="53"/>
    </row>
    <row r="1977">
      <c r="A1977" s="49">
        <v>44505.17572251157</v>
      </c>
      <c r="B1977" s="50">
        <v>44505.3006994791</v>
      </c>
      <c r="C1977" s="51">
        <v>1.012</v>
      </c>
      <c r="D1977" s="51">
        <v>64.0</v>
      </c>
      <c r="E1977" s="52" t="s">
        <v>25</v>
      </c>
      <c r="F1977" s="52" t="s">
        <v>26</v>
      </c>
      <c r="G1977" s="53"/>
    </row>
    <row r="1978">
      <c r="A1978" s="49">
        <v>44505.18615096065</v>
      </c>
      <c r="B1978" s="50">
        <v>44505.3111215162</v>
      </c>
      <c r="C1978" s="51">
        <v>1.013</v>
      </c>
      <c r="D1978" s="51">
        <v>65.0</v>
      </c>
      <c r="E1978" s="52" t="s">
        <v>25</v>
      </c>
      <c r="F1978" s="52" t="s">
        <v>26</v>
      </c>
      <c r="G1978" s="53"/>
    </row>
    <row r="1979">
      <c r="A1979" s="49">
        <v>44505.19656329861</v>
      </c>
      <c r="B1979" s="50">
        <v>44505.321542037</v>
      </c>
      <c r="C1979" s="51">
        <v>1.013</v>
      </c>
      <c r="D1979" s="51">
        <v>65.0</v>
      </c>
      <c r="E1979" s="52" t="s">
        <v>25</v>
      </c>
      <c r="F1979" s="52" t="s">
        <v>26</v>
      </c>
      <c r="G1979" s="53"/>
    </row>
    <row r="1980">
      <c r="A1980" s="49">
        <v>44505.206996712965</v>
      </c>
      <c r="B1980" s="50">
        <v>44505.3319637962</v>
      </c>
      <c r="C1980" s="51">
        <v>1.013</v>
      </c>
      <c r="D1980" s="51">
        <v>65.0</v>
      </c>
      <c r="E1980" s="52" t="s">
        <v>25</v>
      </c>
      <c r="F1980" s="52" t="s">
        <v>26</v>
      </c>
      <c r="G1980" s="53"/>
    </row>
    <row r="1981">
      <c r="A1981" s="49">
        <v>44505.217417395834</v>
      </c>
      <c r="B1981" s="50">
        <v>44505.3423819213</v>
      </c>
      <c r="C1981" s="51">
        <v>1.013</v>
      </c>
      <c r="D1981" s="51">
        <v>65.0</v>
      </c>
      <c r="E1981" s="52" t="s">
        <v>25</v>
      </c>
      <c r="F1981" s="52" t="s">
        <v>26</v>
      </c>
      <c r="G1981" s="53"/>
    </row>
    <row r="1982">
      <c r="A1982" s="49">
        <v>44505.22783556713</v>
      </c>
      <c r="B1982" s="50">
        <v>44505.3528045023</v>
      </c>
      <c r="C1982" s="51">
        <v>1.012</v>
      </c>
      <c r="D1982" s="51">
        <v>65.0</v>
      </c>
      <c r="E1982" s="52" t="s">
        <v>25</v>
      </c>
      <c r="F1982" s="52" t="s">
        <v>26</v>
      </c>
      <c r="G1982" s="53"/>
    </row>
    <row r="1983">
      <c r="A1983" s="49">
        <v>44505.23824881944</v>
      </c>
      <c r="B1983" s="50">
        <v>44505.3632248264</v>
      </c>
      <c r="C1983" s="51">
        <v>1.013</v>
      </c>
      <c r="D1983" s="51">
        <v>65.0</v>
      </c>
      <c r="E1983" s="52" t="s">
        <v>25</v>
      </c>
      <c r="F1983" s="52" t="s">
        <v>26</v>
      </c>
      <c r="G1983" s="53"/>
    </row>
    <row r="1984">
      <c r="A1984" s="49">
        <v>44505.248675243056</v>
      </c>
      <c r="B1984" s="50">
        <v>44505.3736464004</v>
      </c>
      <c r="C1984" s="51">
        <v>1.013</v>
      </c>
      <c r="D1984" s="51">
        <v>65.0</v>
      </c>
      <c r="E1984" s="52" t="s">
        <v>25</v>
      </c>
      <c r="F1984" s="52" t="s">
        <v>26</v>
      </c>
      <c r="G1984" s="53"/>
    </row>
    <row r="1985">
      <c r="A1985" s="49">
        <v>44505.25910135417</v>
      </c>
      <c r="B1985" s="50">
        <v>44505.3840687037</v>
      </c>
      <c r="C1985" s="51">
        <v>1.013</v>
      </c>
      <c r="D1985" s="51">
        <v>65.0</v>
      </c>
      <c r="E1985" s="52" t="s">
        <v>25</v>
      </c>
      <c r="F1985" s="52" t="s">
        <v>26</v>
      </c>
      <c r="G1985" s="53"/>
    </row>
    <row r="1986">
      <c r="A1986" s="49">
        <v>44505.26951953703</v>
      </c>
      <c r="B1986" s="50">
        <v>44505.3944906712</v>
      </c>
      <c r="C1986" s="51">
        <v>1.013</v>
      </c>
      <c r="D1986" s="51">
        <v>65.0</v>
      </c>
      <c r="E1986" s="52" t="s">
        <v>25</v>
      </c>
      <c r="F1986" s="52" t="s">
        <v>26</v>
      </c>
      <c r="G1986" s="53"/>
    </row>
    <row r="1987">
      <c r="A1987" s="49">
        <v>44505.27993416667</v>
      </c>
      <c r="B1987" s="50">
        <v>44505.4049115625</v>
      </c>
      <c r="C1987" s="51">
        <v>1.013</v>
      </c>
      <c r="D1987" s="51">
        <v>64.0</v>
      </c>
      <c r="E1987" s="52" t="s">
        <v>25</v>
      </c>
      <c r="F1987" s="52" t="s">
        <v>26</v>
      </c>
      <c r="G1987" s="53"/>
    </row>
    <row r="1988">
      <c r="A1988" s="49">
        <v>44505.290365567125</v>
      </c>
      <c r="B1988" s="50">
        <v>44505.4153329051</v>
      </c>
      <c r="C1988" s="51">
        <v>1.013</v>
      </c>
      <c r="D1988" s="51">
        <v>65.0</v>
      </c>
      <c r="E1988" s="52" t="s">
        <v>25</v>
      </c>
      <c r="F1988" s="52" t="s">
        <v>26</v>
      </c>
      <c r="G1988" s="53"/>
    </row>
    <row r="1989">
      <c r="A1989" s="49">
        <v>44505.300783136576</v>
      </c>
      <c r="B1989" s="50">
        <v>44505.4257540277</v>
      </c>
      <c r="C1989" s="51">
        <v>1.013</v>
      </c>
      <c r="D1989" s="51">
        <v>64.0</v>
      </c>
      <c r="E1989" s="52" t="s">
        <v>25</v>
      </c>
      <c r="F1989" s="52" t="s">
        <v>26</v>
      </c>
      <c r="G1989" s="53"/>
    </row>
    <row r="1990">
      <c r="A1990" s="49">
        <v>44505.31121180556</v>
      </c>
      <c r="B1990" s="50">
        <v>44505.4361752777</v>
      </c>
      <c r="C1990" s="51">
        <v>1.013</v>
      </c>
      <c r="D1990" s="51">
        <v>64.0</v>
      </c>
      <c r="E1990" s="52" t="s">
        <v>25</v>
      </c>
      <c r="F1990" s="52" t="s">
        <v>26</v>
      </c>
      <c r="G1990" s="53"/>
    </row>
    <row r="1991">
      <c r="A1991" s="49">
        <v>44505.32163173611</v>
      </c>
      <c r="B1991" s="50">
        <v>44505.4465979976</v>
      </c>
      <c r="C1991" s="51">
        <v>1.013</v>
      </c>
      <c r="D1991" s="51">
        <v>65.0</v>
      </c>
      <c r="E1991" s="52" t="s">
        <v>25</v>
      </c>
      <c r="F1991" s="52" t="s">
        <v>26</v>
      </c>
      <c r="G1991" s="53"/>
    </row>
    <row r="1992">
      <c r="A1992" s="49">
        <v>44505.332048055556</v>
      </c>
      <c r="B1992" s="50">
        <v>44505.4570193634</v>
      </c>
      <c r="C1992" s="51">
        <v>1.013</v>
      </c>
      <c r="D1992" s="51">
        <v>64.0</v>
      </c>
      <c r="E1992" s="52" t="s">
        <v>25</v>
      </c>
      <c r="F1992" s="52" t="s">
        <v>26</v>
      </c>
      <c r="G1992" s="53"/>
    </row>
    <row r="1993">
      <c r="A1993" s="49">
        <v>44505.34246856481</v>
      </c>
      <c r="B1993" s="50">
        <v>44505.4674414699</v>
      </c>
      <c r="C1993" s="51">
        <v>1.013</v>
      </c>
      <c r="D1993" s="51">
        <v>64.0</v>
      </c>
      <c r="E1993" s="52" t="s">
        <v>25</v>
      </c>
      <c r="F1993" s="52" t="s">
        <v>26</v>
      </c>
      <c r="G1993" s="53"/>
    </row>
    <row r="1994">
      <c r="A1994" s="49">
        <v>44505.35289010417</v>
      </c>
      <c r="B1994" s="50">
        <v>44505.4778622338</v>
      </c>
      <c r="C1994" s="51">
        <v>1.013</v>
      </c>
      <c r="D1994" s="51">
        <v>64.0</v>
      </c>
      <c r="E1994" s="52" t="s">
        <v>25</v>
      </c>
      <c r="F1994" s="52" t="s">
        <v>26</v>
      </c>
      <c r="G1994" s="53"/>
    </row>
    <row r="1995">
      <c r="A1995" s="49">
        <v>44505.3633030787</v>
      </c>
      <c r="B1995" s="50">
        <v>44505.4882831828</v>
      </c>
      <c r="C1995" s="51">
        <v>1.013</v>
      </c>
      <c r="D1995" s="51">
        <v>64.0</v>
      </c>
      <c r="E1995" s="52" t="s">
        <v>25</v>
      </c>
      <c r="F1995" s="52" t="s">
        <v>26</v>
      </c>
      <c r="G1995" s="53"/>
    </row>
    <row r="1996">
      <c r="A1996" s="49">
        <v>44505.373747418984</v>
      </c>
      <c r="B1996" s="50">
        <v>44505.4987046759</v>
      </c>
      <c r="C1996" s="51">
        <v>1.013</v>
      </c>
      <c r="D1996" s="51">
        <v>64.0</v>
      </c>
      <c r="E1996" s="52" t="s">
        <v>25</v>
      </c>
      <c r="F1996" s="52" t="s">
        <v>26</v>
      </c>
      <c r="G1996" s="53"/>
    </row>
    <row r="1997">
      <c r="A1997" s="49">
        <v>44505.38415604166</v>
      </c>
      <c r="B1997" s="50">
        <v>44505.5091263773</v>
      </c>
      <c r="C1997" s="51">
        <v>1.013</v>
      </c>
      <c r="D1997" s="51">
        <v>65.0</v>
      </c>
      <c r="E1997" s="52" t="s">
        <v>25</v>
      </c>
      <c r="F1997" s="52" t="s">
        <v>26</v>
      </c>
      <c r="G1997" s="53"/>
    </row>
    <row r="1998">
      <c r="A1998" s="49">
        <v>44505.39457116898</v>
      </c>
      <c r="B1998" s="50">
        <v>44505.5195477662</v>
      </c>
      <c r="C1998" s="51">
        <v>1.013</v>
      </c>
      <c r="D1998" s="51">
        <v>64.0</v>
      </c>
      <c r="E1998" s="52" t="s">
        <v>25</v>
      </c>
      <c r="F1998" s="52" t="s">
        <v>26</v>
      </c>
      <c r="G1998" s="53"/>
    </row>
    <row r="1999">
      <c r="A1999" s="49">
        <v>44505.40501806713</v>
      </c>
      <c r="B1999" s="50">
        <v>44505.529979537</v>
      </c>
      <c r="C1999" s="51">
        <v>1.013</v>
      </c>
      <c r="D1999" s="51">
        <v>64.0</v>
      </c>
      <c r="E1999" s="52" t="s">
        <v>25</v>
      </c>
      <c r="F1999" s="52" t="s">
        <v>26</v>
      </c>
      <c r="G1999" s="53"/>
    </row>
    <row r="2000">
      <c r="A2000" s="49">
        <v>44505.4154291088</v>
      </c>
      <c r="B2000" s="50">
        <v>44505.540401574</v>
      </c>
      <c r="C2000" s="51">
        <v>1.013</v>
      </c>
      <c r="D2000" s="51">
        <v>65.0</v>
      </c>
      <c r="E2000" s="52" t="s">
        <v>25</v>
      </c>
      <c r="F2000" s="52" t="s">
        <v>26</v>
      </c>
      <c r="G2000" s="53"/>
    </row>
    <row r="2001">
      <c r="A2001" s="49">
        <v>44505.42584431713</v>
      </c>
      <c r="B2001" s="50">
        <v>44505.5508223958</v>
      </c>
      <c r="C2001" s="51">
        <v>1.013</v>
      </c>
      <c r="D2001" s="51">
        <v>64.0</v>
      </c>
      <c r="E2001" s="52" t="s">
        <v>25</v>
      </c>
      <c r="F2001" s="52" t="s">
        <v>26</v>
      </c>
      <c r="G2001" s="53"/>
    </row>
    <row r="2002">
      <c r="A2002" s="49">
        <v>44505.43626333334</v>
      </c>
      <c r="B2002" s="50">
        <v>44505.5612424074</v>
      </c>
      <c r="C2002" s="51">
        <v>1.013</v>
      </c>
      <c r="D2002" s="51">
        <v>65.0</v>
      </c>
      <c r="E2002" s="52" t="s">
        <v>25</v>
      </c>
      <c r="F2002" s="52" t="s">
        <v>26</v>
      </c>
      <c r="G2002" s="53"/>
    </row>
    <row r="2003">
      <c r="A2003" s="49">
        <v>44505.44668875</v>
      </c>
      <c r="B2003" s="50">
        <v>44505.5716639351</v>
      </c>
      <c r="C2003" s="51">
        <v>1.013</v>
      </c>
      <c r="D2003" s="51">
        <v>64.0</v>
      </c>
      <c r="E2003" s="52" t="s">
        <v>25</v>
      </c>
      <c r="F2003" s="52" t="s">
        <v>26</v>
      </c>
      <c r="G2003" s="53"/>
    </row>
    <row r="2004">
      <c r="A2004" s="49">
        <v>44505.4571089699</v>
      </c>
      <c r="B2004" s="50">
        <v>44505.5820832523</v>
      </c>
      <c r="C2004" s="51">
        <v>1.013</v>
      </c>
      <c r="D2004" s="51">
        <v>65.0</v>
      </c>
      <c r="E2004" s="52" t="s">
        <v>25</v>
      </c>
      <c r="F2004" s="52" t="s">
        <v>26</v>
      </c>
      <c r="G2004" s="53"/>
    </row>
    <row r="2005">
      <c r="A2005" s="49">
        <v>44505.46753761574</v>
      </c>
      <c r="B2005" s="50">
        <v>44505.5925038541</v>
      </c>
      <c r="C2005" s="51">
        <v>1.013</v>
      </c>
      <c r="D2005" s="51">
        <v>64.0</v>
      </c>
      <c r="E2005" s="52" t="s">
        <v>25</v>
      </c>
      <c r="F2005" s="52" t="s">
        <v>26</v>
      </c>
      <c r="G2005" s="53"/>
    </row>
    <row r="2006">
      <c r="A2006" s="49">
        <v>44505.47795425926</v>
      </c>
      <c r="B2006" s="50">
        <v>44505.6029255324</v>
      </c>
      <c r="C2006" s="51">
        <v>1.013</v>
      </c>
      <c r="D2006" s="51">
        <v>64.0</v>
      </c>
      <c r="E2006" s="52" t="s">
        <v>25</v>
      </c>
      <c r="F2006" s="52" t="s">
        <v>26</v>
      </c>
      <c r="G2006" s="53"/>
    </row>
    <row r="2007">
      <c r="A2007" s="49">
        <v>44505.48837759259</v>
      </c>
      <c r="B2007" s="50">
        <v>44505.6133467013</v>
      </c>
      <c r="C2007" s="51">
        <v>1.013</v>
      </c>
      <c r="D2007" s="51">
        <v>64.0</v>
      </c>
      <c r="E2007" s="52" t="s">
        <v>25</v>
      </c>
      <c r="F2007" s="52" t="s">
        <v>26</v>
      </c>
      <c r="G2007" s="53"/>
    </row>
    <row r="2008">
      <c r="A2008" s="49">
        <v>44505.49879560185</v>
      </c>
      <c r="B2008" s="50">
        <v>44505.6237675</v>
      </c>
      <c r="C2008" s="51">
        <v>1.014</v>
      </c>
      <c r="D2008" s="51">
        <v>65.0</v>
      </c>
      <c r="E2008" s="52" t="s">
        <v>25</v>
      </c>
      <c r="F2008" s="52" t="s">
        <v>26</v>
      </c>
      <c r="G2008" s="53"/>
    </row>
    <row r="2009">
      <c r="A2009" s="49">
        <v>44505.50921550926</v>
      </c>
      <c r="B2009" s="50">
        <v>44505.6341885069</v>
      </c>
      <c r="C2009" s="51">
        <v>1.013</v>
      </c>
      <c r="D2009" s="51">
        <v>65.0</v>
      </c>
      <c r="E2009" s="52" t="s">
        <v>25</v>
      </c>
      <c r="F2009" s="52" t="s">
        <v>26</v>
      </c>
      <c r="G2009" s="53"/>
    </row>
    <row r="2010">
      <c r="A2010" s="49">
        <v>44505.51962976852</v>
      </c>
      <c r="B2010" s="50">
        <v>44505.6446096296</v>
      </c>
      <c r="C2010" s="51">
        <v>1.013</v>
      </c>
      <c r="D2010" s="51">
        <v>64.0</v>
      </c>
      <c r="E2010" s="52" t="s">
        <v>25</v>
      </c>
      <c r="F2010" s="52" t="s">
        <v>26</v>
      </c>
      <c r="G2010" s="53"/>
    </row>
    <row r="2011">
      <c r="A2011" s="49">
        <v>44505.53006413195</v>
      </c>
      <c r="B2011" s="50">
        <v>44505.6550308449</v>
      </c>
      <c r="C2011" s="51">
        <v>1.013</v>
      </c>
      <c r="D2011" s="51">
        <v>64.0</v>
      </c>
      <c r="E2011" s="52" t="s">
        <v>25</v>
      </c>
      <c r="F2011" s="52" t="s">
        <v>26</v>
      </c>
      <c r="G2011" s="53"/>
    </row>
    <row r="2012">
      <c r="A2012" s="49">
        <v>44505.54049434028</v>
      </c>
      <c r="B2012" s="50">
        <v>44505.6654634259</v>
      </c>
      <c r="C2012" s="51">
        <v>1.013</v>
      </c>
      <c r="D2012" s="51">
        <v>64.0</v>
      </c>
      <c r="E2012" s="52" t="s">
        <v>25</v>
      </c>
      <c r="F2012" s="52" t="s">
        <v>26</v>
      </c>
      <c r="G2012" s="53"/>
    </row>
    <row r="2013">
      <c r="A2013" s="49">
        <v>44505.550935555555</v>
      </c>
      <c r="B2013" s="50">
        <v>44505.6759060879</v>
      </c>
      <c r="C2013" s="51">
        <v>1.013</v>
      </c>
      <c r="D2013" s="51">
        <v>64.0</v>
      </c>
      <c r="E2013" s="52" t="s">
        <v>25</v>
      </c>
      <c r="F2013" s="52" t="s">
        <v>26</v>
      </c>
      <c r="G2013" s="53"/>
    </row>
    <row r="2014">
      <c r="A2014" s="49">
        <v>44505.56137159722</v>
      </c>
      <c r="B2014" s="50">
        <v>44505.6863398842</v>
      </c>
      <c r="C2014" s="51">
        <v>1.013</v>
      </c>
      <c r="D2014" s="51">
        <v>64.0</v>
      </c>
      <c r="E2014" s="52" t="s">
        <v>25</v>
      </c>
      <c r="F2014" s="52" t="s">
        <v>26</v>
      </c>
      <c r="G2014" s="53"/>
    </row>
    <row r="2015">
      <c r="A2015" s="49">
        <v>44505.571799930556</v>
      </c>
      <c r="B2015" s="50">
        <v>44505.6967609722</v>
      </c>
      <c r="C2015" s="51">
        <v>1.013</v>
      </c>
      <c r="D2015" s="51">
        <v>65.0</v>
      </c>
      <c r="E2015" s="52" t="s">
        <v>25</v>
      </c>
      <c r="F2015" s="52" t="s">
        <v>26</v>
      </c>
      <c r="G2015" s="53"/>
    </row>
    <row r="2016">
      <c r="A2016" s="49">
        <v>44505.58222748843</v>
      </c>
      <c r="B2016" s="50">
        <v>44505.7071936111</v>
      </c>
      <c r="C2016" s="51">
        <v>1.013</v>
      </c>
      <c r="D2016" s="51">
        <v>64.0</v>
      </c>
      <c r="E2016" s="52" t="s">
        <v>25</v>
      </c>
      <c r="F2016" s="52" t="s">
        <v>26</v>
      </c>
      <c r="G2016" s="53"/>
    </row>
    <row r="2017">
      <c r="A2017" s="49">
        <v>44505.59266991898</v>
      </c>
      <c r="B2017" s="50">
        <v>44505.7176386342</v>
      </c>
      <c r="C2017" s="51">
        <v>1.013</v>
      </c>
      <c r="D2017" s="51">
        <v>64.0</v>
      </c>
      <c r="E2017" s="52" t="s">
        <v>25</v>
      </c>
      <c r="F2017" s="52" t="s">
        <v>26</v>
      </c>
      <c r="G2017" s="53"/>
    </row>
    <row r="2018">
      <c r="A2018" s="49">
        <v>44505.603096921295</v>
      </c>
      <c r="B2018" s="50">
        <v>44505.7280609375</v>
      </c>
      <c r="C2018" s="51">
        <v>1.013</v>
      </c>
      <c r="D2018" s="51">
        <v>65.0</v>
      </c>
      <c r="E2018" s="52" t="s">
        <v>25</v>
      </c>
      <c r="F2018" s="52" t="s">
        <v>26</v>
      </c>
      <c r="G2018" s="53"/>
    </row>
    <row r="2019">
      <c r="A2019" s="49">
        <v>44505.613516157406</v>
      </c>
      <c r="B2019" s="50">
        <v>44505.7384821527</v>
      </c>
      <c r="C2019" s="51">
        <v>1.013</v>
      </c>
      <c r="D2019" s="51">
        <v>65.0</v>
      </c>
      <c r="E2019" s="52" t="s">
        <v>25</v>
      </c>
      <c r="F2019" s="52" t="s">
        <v>26</v>
      </c>
      <c r="G2019" s="53"/>
    </row>
    <row r="2020">
      <c r="A2020" s="49">
        <v>44505.62393452546</v>
      </c>
      <c r="B2020" s="50">
        <v>44505.748902824</v>
      </c>
      <c r="C2020" s="51">
        <v>1.013</v>
      </c>
      <c r="D2020" s="51">
        <v>65.0</v>
      </c>
      <c r="E2020" s="52" t="s">
        <v>25</v>
      </c>
      <c r="F2020" s="52" t="s">
        <v>26</v>
      </c>
      <c r="G2020" s="53"/>
    </row>
    <row r="2021">
      <c r="A2021" s="49">
        <v>44505.63435310185</v>
      </c>
      <c r="B2021" s="50">
        <v>44505.7593231481</v>
      </c>
      <c r="C2021" s="51">
        <v>1.013</v>
      </c>
      <c r="D2021" s="51">
        <v>65.0</v>
      </c>
      <c r="E2021" s="52" t="s">
        <v>25</v>
      </c>
      <c r="F2021" s="52" t="s">
        <v>26</v>
      </c>
      <c r="G2021" s="53"/>
    </row>
    <row r="2022">
      <c r="A2022" s="49">
        <v>44505.64477292824</v>
      </c>
      <c r="B2022" s="50">
        <v>44505.7697435763</v>
      </c>
      <c r="C2022" s="51">
        <v>1.013</v>
      </c>
      <c r="D2022" s="51">
        <v>64.0</v>
      </c>
      <c r="E2022" s="52" t="s">
        <v>25</v>
      </c>
      <c r="F2022" s="52" t="s">
        <v>26</v>
      </c>
      <c r="G2022" s="53"/>
    </row>
    <row r="2023">
      <c r="A2023" s="49">
        <v>44505.655209131946</v>
      </c>
      <c r="B2023" s="50">
        <v>44505.7801646759</v>
      </c>
      <c r="C2023" s="51">
        <v>1.013</v>
      </c>
      <c r="D2023" s="51">
        <v>64.0</v>
      </c>
      <c r="E2023" s="52" t="s">
        <v>25</v>
      </c>
      <c r="F2023" s="52" t="s">
        <v>26</v>
      </c>
      <c r="G2023" s="53"/>
    </row>
    <row r="2024">
      <c r="A2024" s="49">
        <v>44505.665617384264</v>
      </c>
      <c r="B2024" s="50">
        <v>44505.7905881713</v>
      </c>
      <c r="C2024" s="51">
        <v>1.013</v>
      </c>
      <c r="D2024" s="51">
        <v>65.0</v>
      </c>
      <c r="E2024" s="52" t="s">
        <v>25</v>
      </c>
      <c r="F2024" s="52" t="s">
        <v>26</v>
      </c>
      <c r="G2024" s="53"/>
    </row>
    <row r="2025">
      <c r="A2025" s="49">
        <v>44505.67603967593</v>
      </c>
      <c r="B2025" s="50">
        <v>44505.801009537</v>
      </c>
      <c r="C2025" s="51">
        <v>1.013</v>
      </c>
      <c r="D2025" s="51">
        <v>65.0</v>
      </c>
      <c r="E2025" s="52" t="s">
        <v>25</v>
      </c>
      <c r="F2025" s="52" t="s">
        <v>26</v>
      </c>
      <c r="G2025" s="53"/>
    </row>
    <row r="2026">
      <c r="A2026" s="49">
        <v>44505.68646321759</v>
      </c>
      <c r="B2026" s="50">
        <v>44505.8114412384</v>
      </c>
      <c r="C2026" s="51">
        <v>1.013</v>
      </c>
      <c r="D2026" s="51">
        <v>64.0</v>
      </c>
      <c r="E2026" s="52" t="s">
        <v>25</v>
      </c>
      <c r="F2026" s="52" t="s">
        <v>26</v>
      </c>
      <c r="G2026" s="53"/>
    </row>
    <row r="2027">
      <c r="A2027" s="49">
        <v>44505.69692901621</v>
      </c>
      <c r="B2027" s="50">
        <v>44505.8218989583</v>
      </c>
      <c r="C2027" s="51">
        <v>1.013</v>
      </c>
      <c r="D2027" s="51">
        <v>65.0</v>
      </c>
      <c r="E2027" s="52" t="s">
        <v>25</v>
      </c>
      <c r="F2027" s="52" t="s">
        <v>26</v>
      </c>
      <c r="G2027" s="53"/>
    </row>
    <row r="2028">
      <c r="A2028" s="49">
        <v>44505.84285987269</v>
      </c>
      <c r="B2028" s="50">
        <v>44505.9678306597</v>
      </c>
      <c r="C2028" s="51">
        <v>1.013</v>
      </c>
      <c r="D2028" s="51">
        <v>65.0</v>
      </c>
      <c r="E2028" s="52" t="s">
        <v>25</v>
      </c>
      <c r="F2028" s="52" t="s">
        <v>26</v>
      </c>
      <c r="G2028" s="53"/>
    </row>
    <row r="2029">
      <c r="A2029" s="49">
        <v>44505.8533009838</v>
      </c>
      <c r="B2029" s="50">
        <v>44505.9782635416</v>
      </c>
      <c r="C2029" s="51">
        <v>1.013</v>
      </c>
      <c r="D2029" s="51">
        <v>64.0</v>
      </c>
      <c r="E2029" s="52" t="s">
        <v>25</v>
      </c>
      <c r="F2029" s="52" t="s">
        <v>26</v>
      </c>
      <c r="G2029" s="53"/>
    </row>
    <row r="2030">
      <c r="A2030" s="49">
        <v>44505.86371288194</v>
      </c>
      <c r="B2030" s="50">
        <v>44505.988685243</v>
      </c>
      <c r="C2030" s="51">
        <v>1.013</v>
      </c>
      <c r="D2030" s="51">
        <v>64.0</v>
      </c>
      <c r="E2030" s="52" t="s">
        <v>25</v>
      </c>
      <c r="F2030" s="52" t="s">
        <v>26</v>
      </c>
      <c r="G2030" s="53"/>
    </row>
    <row r="2031">
      <c r="A2031" s="49">
        <v>44505.87414461805</v>
      </c>
      <c r="B2031" s="50">
        <v>44505.9991168287</v>
      </c>
      <c r="C2031" s="51">
        <v>1.013</v>
      </c>
      <c r="D2031" s="51">
        <v>65.0</v>
      </c>
      <c r="E2031" s="52" t="s">
        <v>25</v>
      </c>
      <c r="F2031" s="52" t="s">
        <v>26</v>
      </c>
      <c r="G2031" s="53"/>
    </row>
    <row r="2032">
      <c r="A2032" s="49">
        <v>44505.88456329861</v>
      </c>
      <c r="B2032" s="50">
        <v>44506.0095379745</v>
      </c>
      <c r="C2032" s="51">
        <v>1.013</v>
      </c>
      <c r="D2032" s="51">
        <v>64.0</v>
      </c>
      <c r="E2032" s="52" t="s">
        <v>25</v>
      </c>
      <c r="F2032" s="52" t="s">
        <v>26</v>
      </c>
      <c r="G2032" s="53"/>
    </row>
    <row r="2033">
      <c r="A2033" s="49">
        <v>44505.89498362268</v>
      </c>
      <c r="B2033" s="50">
        <v>44506.0199596643</v>
      </c>
      <c r="C2033" s="51">
        <v>1.013</v>
      </c>
      <c r="D2033" s="51">
        <v>65.0</v>
      </c>
      <c r="E2033" s="52" t="s">
        <v>25</v>
      </c>
      <c r="F2033" s="52" t="s">
        <v>26</v>
      </c>
      <c r="G2033" s="53"/>
    </row>
    <row r="2034">
      <c r="A2034" s="49">
        <v>44505.90539944444</v>
      </c>
      <c r="B2034" s="50">
        <v>44506.0303806134</v>
      </c>
      <c r="C2034" s="51">
        <v>1.013</v>
      </c>
      <c r="D2034" s="51">
        <v>64.0</v>
      </c>
      <c r="E2034" s="52" t="s">
        <v>25</v>
      </c>
      <c r="F2034" s="52" t="s">
        <v>26</v>
      </c>
      <c r="G2034" s="53"/>
    </row>
    <row r="2035">
      <c r="A2035" s="49">
        <v>44505.91583916667</v>
      </c>
      <c r="B2035" s="50">
        <v>44506.0408114467</v>
      </c>
      <c r="C2035" s="51">
        <v>1.013</v>
      </c>
      <c r="D2035" s="51">
        <v>64.0</v>
      </c>
      <c r="E2035" s="52" t="s">
        <v>25</v>
      </c>
      <c r="F2035" s="52" t="s">
        <v>26</v>
      </c>
      <c r="G2035" s="53"/>
    </row>
    <row r="2036">
      <c r="A2036" s="49">
        <v>44505.92626765046</v>
      </c>
      <c r="B2036" s="50">
        <v>44506.0512326851</v>
      </c>
      <c r="C2036" s="51">
        <v>1.013</v>
      </c>
      <c r="D2036" s="51">
        <v>64.0</v>
      </c>
      <c r="E2036" s="52" t="s">
        <v>25</v>
      </c>
      <c r="F2036" s="52" t="s">
        <v>26</v>
      </c>
      <c r="G2036" s="53"/>
    </row>
    <row r="2037">
      <c r="A2037" s="49">
        <v>44505.93669346065</v>
      </c>
      <c r="B2037" s="50">
        <v>44506.0616545949</v>
      </c>
      <c r="C2037" s="51">
        <v>1.013</v>
      </c>
      <c r="D2037" s="51">
        <v>64.0</v>
      </c>
      <c r="E2037" s="52" t="s">
        <v>25</v>
      </c>
      <c r="F2037" s="52" t="s">
        <v>26</v>
      </c>
      <c r="G2037" s="53"/>
    </row>
    <row r="2038">
      <c r="A2038" s="49">
        <v>44505.94710597223</v>
      </c>
      <c r="B2038" s="50">
        <v>44506.0720864467</v>
      </c>
      <c r="C2038" s="51">
        <v>1.013</v>
      </c>
      <c r="D2038" s="51">
        <v>64.0</v>
      </c>
      <c r="E2038" s="52" t="s">
        <v>25</v>
      </c>
      <c r="F2038" s="52" t="s">
        <v>26</v>
      </c>
      <c r="G2038" s="53"/>
    </row>
    <row r="2039">
      <c r="A2039" s="49">
        <v>44505.9575352199</v>
      </c>
      <c r="B2039" s="50">
        <v>44506.082507199</v>
      </c>
      <c r="C2039" s="51">
        <v>1.013</v>
      </c>
      <c r="D2039" s="51">
        <v>64.0</v>
      </c>
      <c r="E2039" s="52" t="s">
        <v>25</v>
      </c>
      <c r="F2039" s="52" t="s">
        <v>26</v>
      </c>
      <c r="G2039" s="53"/>
    </row>
    <row r="2040">
      <c r="A2040" s="49">
        <v>44505.967957974535</v>
      </c>
      <c r="B2040" s="50">
        <v>44506.0929290509</v>
      </c>
      <c r="C2040" s="51">
        <v>1.013</v>
      </c>
      <c r="D2040" s="51">
        <v>64.0</v>
      </c>
      <c r="E2040" s="52" t="s">
        <v>25</v>
      </c>
      <c r="F2040" s="52" t="s">
        <v>26</v>
      </c>
      <c r="G2040" s="53"/>
    </row>
    <row r="2041">
      <c r="A2041" s="49">
        <v>44505.978384120375</v>
      </c>
      <c r="B2041" s="50">
        <v>44506.103361956</v>
      </c>
      <c r="C2041" s="51">
        <v>1.013</v>
      </c>
      <c r="D2041" s="51">
        <v>64.0</v>
      </c>
      <c r="E2041" s="52" t="s">
        <v>25</v>
      </c>
      <c r="F2041" s="52" t="s">
        <v>26</v>
      </c>
      <c r="G2041" s="53"/>
    </row>
    <row r="2042">
      <c r="A2042" s="49">
        <v>44505.98880826389</v>
      </c>
      <c r="B2042" s="50">
        <v>44506.1137826967</v>
      </c>
      <c r="C2042" s="51">
        <v>1.013</v>
      </c>
      <c r="D2042" s="51">
        <v>64.0</v>
      </c>
      <c r="E2042" s="52" t="s">
        <v>25</v>
      </c>
      <c r="F2042" s="52" t="s">
        <v>26</v>
      </c>
      <c r="G2042" s="53"/>
    </row>
    <row r="2043">
      <c r="A2043" s="49">
        <v>44505.999243321756</v>
      </c>
      <c r="B2043" s="50">
        <v>44506.1242166666</v>
      </c>
      <c r="C2043" s="51">
        <v>1.013</v>
      </c>
      <c r="D2043" s="51">
        <v>64.0</v>
      </c>
      <c r="E2043" s="52" t="s">
        <v>25</v>
      </c>
      <c r="F2043" s="52" t="s">
        <v>26</v>
      </c>
      <c r="G2043" s="53"/>
    </row>
    <row r="2044">
      <c r="A2044" s="49">
        <v>44506.009682407406</v>
      </c>
      <c r="B2044" s="50">
        <v>44506.1346504629</v>
      </c>
      <c r="C2044" s="51">
        <v>1.013</v>
      </c>
      <c r="D2044" s="51">
        <v>64.0</v>
      </c>
      <c r="E2044" s="52" t="s">
        <v>25</v>
      </c>
      <c r="F2044" s="52" t="s">
        <v>26</v>
      </c>
      <c r="G2044" s="53"/>
    </row>
    <row r="2045">
      <c r="A2045" s="49">
        <v>44506.020106875</v>
      </c>
      <c r="B2045" s="50">
        <v>44506.1450732175</v>
      </c>
      <c r="C2045" s="51">
        <v>1.013</v>
      </c>
      <c r="D2045" s="51">
        <v>64.0</v>
      </c>
      <c r="E2045" s="52" t="s">
        <v>25</v>
      </c>
      <c r="F2045" s="52" t="s">
        <v>26</v>
      </c>
      <c r="G2045" s="53"/>
    </row>
    <row r="2046">
      <c r="A2046" s="49">
        <v>44506.030525995375</v>
      </c>
      <c r="B2046" s="50">
        <v>44506.1554926967</v>
      </c>
      <c r="C2046" s="51">
        <v>1.013</v>
      </c>
      <c r="D2046" s="51">
        <v>64.0</v>
      </c>
      <c r="E2046" s="52" t="s">
        <v>25</v>
      </c>
      <c r="F2046" s="52" t="s">
        <v>26</v>
      </c>
      <c r="G2046" s="53"/>
    </row>
    <row r="2047">
      <c r="A2047" s="49">
        <v>44506.04094065972</v>
      </c>
      <c r="B2047" s="50">
        <v>44506.1659138541</v>
      </c>
      <c r="C2047" s="51">
        <v>1.013</v>
      </c>
      <c r="D2047" s="51">
        <v>64.0</v>
      </c>
      <c r="E2047" s="52" t="s">
        <v>25</v>
      </c>
      <c r="F2047" s="52" t="s">
        <v>26</v>
      </c>
      <c r="G2047" s="53"/>
    </row>
    <row r="2048">
      <c r="A2048" s="49">
        <v>44506.051361666665</v>
      </c>
      <c r="B2048" s="50">
        <v>44506.1763351851</v>
      </c>
      <c r="C2048" s="51">
        <v>1.013</v>
      </c>
      <c r="D2048" s="51">
        <v>64.0</v>
      </c>
      <c r="E2048" s="52" t="s">
        <v>25</v>
      </c>
      <c r="F2048" s="52" t="s">
        <v>26</v>
      </c>
      <c r="G2048" s="53"/>
    </row>
    <row r="2049">
      <c r="A2049" s="49">
        <v>44506.06215736111</v>
      </c>
      <c r="B2049" s="50">
        <v>44506.1867555324</v>
      </c>
      <c r="C2049" s="51">
        <v>1.013</v>
      </c>
      <c r="D2049" s="51">
        <v>64.0</v>
      </c>
      <c r="E2049" s="52" t="s">
        <v>25</v>
      </c>
      <c r="F2049" s="52" t="s">
        <v>26</v>
      </c>
      <c r="G2049" s="53"/>
    </row>
    <row r="2050">
      <c r="A2050" s="49">
        <v>44506.07221099537</v>
      </c>
      <c r="B2050" s="50">
        <v>44506.1971778472</v>
      </c>
      <c r="C2050" s="51">
        <v>1.013</v>
      </c>
      <c r="D2050" s="51">
        <v>64.0</v>
      </c>
      <c r="E2050" s="52" t="s">
        <v>25</v>
      </c>
      <c r="F2050" s="52" t="s">
        <v>26</v>
      </c>
      <c r="G2050" s="53"/>
    </row>
    <row r="2051">
      <c r="A2051" s="49">
        <v>44506.08264927083</v>
      </c>
      <c r="B2051" s="50">
        <v>44506.2076197222</v>
      </c>
      <c r="C2051" s="51">
        <v>1.013</v>
      </c>
      <c r="D2051" s="51">
        <v>64.0</v>
      </c>
      <c r="E2051" s="52" t="s">
        <v>25</v>
      </c>
      <c r="F2051" s="52" t="s">
        <v>26</v>
      </c>
      <c r="G2051" s="53"/>
    </row>
    <row r="2052">
      <c r="A2052" s="49">
        <v>44506.09308018519</v>
      </c>
      <c r="B2052" s="50">
        <v>44506.2180539583</v>
      </c>
      <c r="C2052" s="51">
        <v>1.013</v>
      </c>
      <c r="D2052" s="51">
        <v>64.0</v>
      </c>
      <c r="E2052" s="52" t="s">
        <v>25</v>
      </c>
      <c r="F2052" s="52" t="s">
        <v>26</v>
      </c>
      <c r="G2052" s="53"/>
    </row>
    <row r="2053">
      <c r="A2053" s="49">
        <v>44506.10350252315</v>
      </c>
      <c r="B2053" s="50">
        <v>44506.2284748379</v>
      </c>
      <c r="C2053" s="51">
        <v>1.013</v>
      </c>
      <c r="D2053" s="51">
        <v>64.0</v>
      </c>
      <c r="E2053" s="52" t="s">
        <v>25</v>
      </c>
      <c r="F2053" s="52" t="s">
        <v>26</v>
      </c>
      <c r="G2053" s="53"/>
    </row>
    <row r="2054">
      <c r="A2054" s="49">
        <v>44506.11394753472</v>
      </c>
      <c r="B2054" s="50">
        <v>44506.2389084027</v>
      </c>
      <c r="C2054" s="51">
        <v>1.013</v>
      </c>
      <c r="D2054" s="51">
        <v>64.0</v>
      </c>
      <c r="E2054" s="52" t="s">
        <v>25</v>
      </c>
      <c r="F2054" s="52" t="s">
        <v>26</v>
      </c>
      <c r="G2054" s="53"/>
    </row>
    <row r="2055">
      <c r="A2055" s="49">
        <v>44506.12436215278</v>
      </c>
      <c r="B2055" s="50">
        <v>44506.2493285416</v>
      </c>
      <c r="C2055" s="51">
        <v>1.013</v>
      </c>
      <c r="D2055" s="51">
        <v>64.0</v>
      </c>
      <c r="E2055" s="52" t="s">
        <v>25</v>
      </c>
      <c r="F2055" s="52" t="s">
        <v>26</v>
      </c>
      <c r="G2055" s="53"/>
    </row>
    <row r="2056">
      <c r="A2056" s="49">
        <v>44506.13478295139</v>
      </c>
      <c r="B2056" s="50">
        <v>44506.259750324</v>
      </c>
      <c r="C2056" s="51">
        <v>1.013</v>
      </c>
      <c r="D2056" s="51">
        <v>64.0</v>
      </c>
      <c r="E2056" s="52" t="s">
        <v>25</v>
      </c>
      <c r="F2056" s="52" t="s">
        <v>26</v>
      </c>
      <c r="G2056" s="53"/>
    </row>
    <row r="2057">
      <c r="A2057" s="49">
        <v>44506.14521636574</v>
      </c>
      <c r="B2057" s="50">
        <v>44506.2701842939</v>
      </c>
      <c r="C2057" s="51">
        <v>1.013</v>
      </c>
      <c r="D2057" s="51">
        <v>64.0</v>
      </c>
      <c r="E2057" s="52" t="s">
        <v>25</v>
      </c>
      <c r="F2057" s="52" t="s">
        <v>26</v>
      </c>
      <c r="G2057" s="53"/>
    </row>
    <row r="2058">
      <c r="A2058" s="49">
        <v>44506.15562449074</v>
      </c>
      <c r="B2058" s="50">
        <v>44506.2806039236</v>
      </c>
      <c r="C2058" s="51">
        <v>1.013</v>
      </c>
      <c r="D2058" s="51">
        <v>64.0</v>
      </c>
      <c r="E2058" s="52" t="s">
        <v>25</v>
      </c>
      <c r="F2058" s="52" t="s">
        <v>26</v>
      </c>
      <c r="G2058" s="53"/>
    </row>
    <row r="2059">
      <c r="A2059" s="49">
        <v>44506.16605697917</v>
      </c>
      <c r="B2059" s="50">
        <v>44506.2910263888</v>
      </c>
      <c r="C2059" s="51">
        <v>1.013</v>
      </c>
      <c r="D2059" s="51">
        <v>64.0</v>
      </c>
      <c r="E2059" s="52" t="s">
        <v>25</v>
      </c>
      <c r="F2059" s="52" t="s">
        <v>26</v>
      </c>
      <c r="G2059" s="53"/>
    </row>
    <row r="2060">
      <c r="A2060" s="49">
        <v>44506.176476030094</v>
      </c>
      <c r="B2060" s="50">
        <v>44506.3014465625</v>
      </c>
      <c r="C2060" s="51">
        <v>1.013</v>
      </c>
      <c r="D2060" s="51">
        <v>64.0</v>
      </c>
      <c r="E2060" s="52" t="s">
        <v>25</v>
      </c>
      <c r="F2060" s="52" t="s">
        <v>26</v>
      </c>
      <c r="G2060" s="53"/>
    </row>
    <row r="2061">
      <c r="A2061" s="49">
        <v>44506.18689217593</v>
      </c>
      <c r="B2061" s="50">
        <v>44506.3118675463</v>
      </c>
      <c r="C2061" s="51">
        <v>1.013</v>
      </c>
      <c r="D2061" s="51">
        <v>64.0</v>
      </c>
      <c r="E2061" s="52" t="s">
        <v>25</v>
      </c>
      <c r="F2061" s="52" t="s">
        <v>26</v>
      </c>
      <c r="G2061" s="53"/>
    </row>
    <row r="2062">
      <c r="A2062" s="49">
        <v>44506.197315185185</v>
      </c>
      <c r="B2062" s="50">
        <v>44506.3222892013</v>
      </c>
      <c r="C2062" s="51">
        <v>1.013</v>
      </c>
      <c r="D2062" s="51">
        <v>64.0</v>
      </c>
      <c r="E2062" s="52" t="s">
        <v>25</v>
      </c>
      <c r="F2062" s="52" t="s">
        <v>26</v>
      </c>
      <c r="G2062" s="53"/>
    </row>
    <row r="2063">
      <c r="A2063" s="49">
        <v>44506.20774604166</v>
      </c>
      <c r="B2063" s="50">
        <v>44506.3327102893</v>
      </c>
      <c r="C2063" s="51">
        <v>1.013</v>
      </c>
      <c r="D2063" s="51">
        <v>64.0</v>
      </c>
      <c r="E2063" s="52" t="s">
        <v>25</v>
      </c>
      <c r="F2063" s="52" t="s">
        <v>26</v>
      </c>
      <c r="G2063" s="53"/>
    </row>
    <row r="2064">
      <c r="A2064" s="49">
        <v>44506.21816413195</v>
      </c>
      <c r="B2064" s="50">
        <v>44506.3431306365</v>
      </c>
      <c r="C2064" s="51">
        <v>1.013</v>
      </c>
      <c r="D2064" s="51">
        <v>64.0</v>
      </c>
      <c r="E2064" s="52" t="s">
        <v>25</v>
      </c>
      <c r="F2064" s="52" t="s">
        <v>26</v>
      </c>
      <c r="G2064" s="53"/>
    </row>
    <row r="2065">
      <c r="A2065" s="49">
        <v>44506.228576712965</v>
      </c>
      <c r="B2065" s="50">
        <v>44506.3535503935</v>
      </c>
      <c r="C2065" s="51">
        <v>1.013</v>
      </c>
      <c r="D2065" s="51">
        <v>64.0</v>
      </c>
      <c r="E2065" s="52" t="s">
        <v>25</v>
      </c>
      <c r="F2065" s="52" t="s">
        <v>26</v>
      </c>
      <c r="G2065" s="53"/>
    </row>
    <row r="2066">
      <c r="A2066" s="49">
        <v>44506.23900299768</v>
      </c>
      <c r="B2066" s="50">
        <v>44506.3639708449</v>
      </c>
      <c r="C2066" s="51">
        <v>1.013</v>
      </c>
      <c r="D2066" s="51">
        <v>64.0</v>
      </c>
      <c r="E2066" s="52" t="s">
        <v>25</v>
      </c>
      <c r="F2066" s="52" t="s">
        <v>26</v>
      </c>
      <c r="G2066" s="53"/>
    </row>
    <row r="2067">
      <c r="A2067" s="49">
        <v>44506.249419189815</v>
      </c>
      <c r="B2067" s="50">
        <v>44506.3743911111</v>
      </c>
      <c r="C2067" s="51">
        <v>1.013</v>
      </c>
      <c r="D2067" s="51">
        <v>64.0</v>
      </c>
      <c r="E2067" s="52" t="s">
        <v>25</v>
      </c>
      <c r="F2067" s="52" t="s">
        <v>26</v>
      </c>
      <c r="G2067" s="53"/>
    </row>
    <row r="2068">
      <c r="A2068" s="49">
        <v>44506.259840659724</v>
      </c>
      <c r="B2068" s="50">
        <v>44506.3848129745</v>
      </c>
      <c r="C2068" s="51">
        <v>1.013</v>
      </c>
      <c r="D2068" s="51">
        <v>64.0</v>
      </c>
      <c r="E2068" s="52" t="s">
        <v>25</v>
      </c>
      <c r="F2068" s="52" t="s">
        <v>26</v>
      </c>
      <c r="G2068" s="53"/>
    </row>
    <row r="2069">
      <c r="A2069" s="49">
        <v>44506.27025956019</v>
      </c>
      <c r="B2069" s="50">
        <v>44506.3952328703</v>
      </c>
      <c r="C2069" s="51">
        <v>1.013</v>
      </c>
      <c r="D2069" s="51">
        <v>64.0</v>
      </c>
      <c r="E2069" s="52" t="s">
        <v>25</v>
      </c>
      <c r="F2069" s="52" t="s">
        <v>26</v>
      </c>
      <c r="G2069" s="53"/>
    </row>
    <row r="2070">
      <c r="A2070" s="49">
        <v>44506.28066974537</v>
      </c>
      <c r="B2070" s="50">
        <v>44506.4056525694</v>
      </c>
      <c r="C2070" s="51">
        <v>1.013</v>
      </c>
      <c r="D2070" s="51">
        <v>64.0</v>
      </c>
      <c r="E2070" s="52" t="s">
        <v>25</v>
      </c>
      <c r="F2070" s="52" t="s">
        <v>26</v>
      </c>
      <c r="G2070" s="53"/>
    </row>
    <row r="2071">
      <c r="A2071" s="49">
        <v>44506.29111135416</v>
      </c>
      <c r="B2071" s="50">
        <v>44506.416084375</v>
      </c>
      <c r="C2071" s="51">
        <v>1.013</v>
      </c>
      <c r="D2071" s="51">
        <v>64.0</v>
      </c>
      <c r="E2071" s="52" t="s">
        <v>25</v>
      </c>
      <c r="F2071" s="52" t="s">
        <v>26</v>
      </c>
      <c r="G2071" s="53"/>
    </row>
    <row r="2072">
      <c r="A2072" s="49">
        <v>44506.30154422454</v>
      </c>
      <c r="B2072" s="50">
        <v>44506.4265059375</v>
      </c>
      <c r="C2072" s="51">
        <v>1.013</v>
      </c>
      <c r="D2072" s="51">
        <v>64.0</v>
      </c>
      <c r="E2072" s="52" t="s">
        <v>25</v>
      </c>
      <c r="F2072" s="52" t="s">
        <v>26</v>
      </c>
      <c r="G2072" s="53"/>
    </row>
    <row r="2073">
      <c r="A2073" s="49">
        <v>44506.31195210648</v>
      </c>
      <c r="B2073" s="50">
        <v>44506.4369268402</v>
      </c>
      <c r="C2073" s="51">
        <v>1.013</v>
      </c>
      <c r="D2073" s="51">
        <v>64.0</v>
      </c>
      <c r="E2073" s="52" t="s">
        <v>25</v>
      </c>
      <c r="F2073" s="52" t="s">
        <v>26</v>
      </c>
      <c r="G2073" s="53"/>
    </row>
    <row r="2074">
      <c r="A2074" s="49">
        <v>44506.32239427083</v>
      </c>
      <c r="B2074" s="50">
        <v>44506.4473588888</v>
      </c>
      <c r="C2074" s="51">
        <v>1.013</v>
      </c>
      <c r="D2074" s="51">
        <v>64.0</v>
      </c>
      <c r="E2074" s="52" t="s">
        <v>25</v>
      </c>
      <c r="F2074" s="52" t="s">
        <v>26</v>
      </c>
      <c r="G2074" s="53"/>
    </row>
    <row r="2075">
      <c r="A2075" s="49">
        <v>44506.332829328705</v>
      </c>
      <c r="B2075" s="50">
        <v>44506.4577931018</v>
      </c>
      <c r="C2075" s="51">
        <v>1.013</v>
      </c>
      <c r="D2075" s="51">
        <v>64.0</v>
      </c>
      <c r="E2075" s="52" t="s">
        <v>25</v>
      </c>
      <c r="F2075" s="52" t="s">
        <v>26</v>
      </c>
      <c r="G2075" s="53"/>
    </row>
    <row r="2076">
      <c r="A2076" s="49">
        <v>44506.34323613426</v>
      </c>
      <c r="B2076" s="50">
        <v>44506.4682148958</v>
      </c>
      <c r="C2076" s="51">
        <v>1.013</v>
      </c>
      <c r="D2076" s="51">
        <v>64.0</v>
      </c>
      <c r="E2076" s="52" t="s">
        <v>25</v>
      </c>
      <c r="F2076" s="52" t="s">
        <v>26</v>
      </c>
      <c r="G2076" s="53"/>
    </row>
    <row r="2077">
      <c r="A2077" s="49">
        <v>44506.35365725694</v>
      </c>
      <c r="B2077" s="50">
        <v>44506.47863375</v>
      </c>
      <c r="C2077" s="51">
        <v>1.013</v>
      </c>
      <c r="D2077" s="51">
        <v>64.0</v>
      </c>
      <c r="E2077" s="52" t="s">
        <v>25</v>
      </c>
      <c r="F2077" s="52" t="s">
        <v>26</v>
      </c>
      <c r="G2077" s="53"/>
    </row>
    <row r="2078">
      <c r="A2078" s="49">
        <v>44506.36408298611</v>
      </c>
      <c r="B2078" s="50">
        <v>44506.4890547338</v>
      </c>
      <c r="C2078" s="51">
        <v>1.013</v>
      </c>
      <c r="D2078" s="51">
        <v>64.0</v>
      </c>
      <c r="E2078" s="52" t="s">
        <v>25</v>
      </c>
      <c r="F2078" s="52" t="s">
        <v>26</v>
      </c>
      <c r="G2078" s="53"/>
    </row>
    <row r="2079">
      <c r="A2079" s="49">
        <v>44506.374494097225</v>
      </c>
      <c r="B2079" s="50">
        <v>44506.4994759722</v>
      </c>
      <c r="C2079" s="51">
        <v>1.013</v>
      </c>
      <c r="D2079" s="51">
        <v>64.0</v>
      </c>
      <c r="E2079" s="52" t="s">
        <v>25</v>
      </c>
      <c r="F2079" s="52" t="s">
        <v>26</v>
      </c>
      <c r="G2079" s="53"/>
    </row>
    <row r="2080">
      <c r="A2080" s="49">
        <v>44506.38492515046</v>
      </c>
      <c r="B2080" s="50">
        <v>44506.5098992013</v>
      </c>
      <c r="C2080" s="51">
        <v>1.013</v>
      </c>
      <c r="D2080" s="51">
        <v>64.0</v>
      </c>
      <c r="E2080" s="52" t="s">
        <v>25</v>
      </c>
      <c r="F2080" s="52" t="s">
        <v>26</v>
      </c>
      <c r="G2080" s="53"/>
    </row>
    <row r="2081">
      <c r="A2081" s="49">
        <v>44506.395345937504</v>
      </c>
      <c r="B2081" s="50">
        <v>44506.5203205902</v>
      </c>
      <c r="C2081" s="51">
        <v>1.013</v>
      </c>
      <c r="D2081" s="51">
        <v>64.0</v>
      </c>
      <c r="E2081" s="52" t="s">
        <v>25</v>
      </c>
      <c r="F2081" s="52" t="s">
        <v>26</v>
      </c>
      <c r="G2081" s="53"/>
    </row>
    <row r="2082">
      <c r="A2082" s="49">
        <v>44506.40577138889</v>
      </c>
      <c r="B2082" s="50">
        <v>44506.5307529282</v>
      </c>
      <c r="C2082" s="51">
        <v>1.013</v>
      </c>
      <c r="D2082" s="51">
        <v>64.0</v>
      </c>
      <c r="E2082" s="52" t="s">
        <v>25</v>
      </c>
      <c r="F2082" s="52" t="s">
        <v>26</v>
      </c>
      <c r="G2082" s="53"/>
    </row>
    <row r="2083">
      <c r="A2083" s="49">
        <v>44506.41622326389</v>
      </c>
      <c r="B2083" s="50">
        <v>44506.5411724189</v>
      </c>
      <c r="C2083" s="51">
        <v>1.013</v>
      </c>
      <c r="D2083" s="51">
        <v>64.0</v>
      </c>
      <c r="E2083" s="52" t="s">
        <v>25</v>
      </c>
      <c r="F2083" s="52" t="s">
        <v>26</v>
      </c>
      <c r="G2083" s="53"/>
    </row>
    <row r="2084">
      <c r="A2084" s="49">
        <v>44506.426617916666</v>
      </c>
      <c r="B2084" s="50">
        <v>44506.55159375</v>
      </c>
      <c r="C2084" s="51">
        <v>1.013</v>
      </c>
      <c r="D2084" s="51">
        <v>64.0</v>
      </c>
      <c r="E2084" s="52" t="s">
        <v>25</v>
      </c>
      <c r="F2084" s="52" t="s">
        <v>26</v>
      </c>
      <c r="G2084" s="53"/>
    </row>
    <row r="2085">
      <c r="A2085" s="49">
        <v>44506.437042314814</v>
      </c>
      <c r="B2085" s="50">
        <v>44506.562015162</v>
      </c>
      <c r="C2085" s="51">
        <v>1.013</v>
      </c>
      <c r="D2085" s="51">
        <v>64.0</v>
      </c>
      <c r="E2085" s="52" t="s">
        <v>25</v>
      </c>
      <c r="F2085" s="52" t="s">
        <v>26</v>
      </c>
      <c r="G2085" s="53"/>
    </row>
    <row r="2086">
      <c r="A2086" s="49">
        <v>44506.447485972225</v>
      </c>
      <c r="B2086" s="50">
        <v>44506.5724591666</v>
      </c>
      <c r="C2086" s="51">
        <v>1.013</v>
      </c>
      <c r="D2086" s="51">
        <v>64.0</v>
      </c>
      <c r="E2086" s="52" t="s">
        <v>25</v>
      </c>
      <c r="F2086" s="52" t="s">
        <v>26</v>
      </c>
      <c r="G2086" s="53"/>
    </row>
    <row r="2087">
      <c r="A2087" s="49">
        <v>44506.45790663194</v>
      </c>
      <c r="B2087" s="50">
        <v>44506.5828796296</v>
      </c>
      <c r="C2087" s="51">
        <v>1.013</v>
      </c>
      <c r="D2087" s="51">
        <v>64.0</v>
      </c>
      <c r="E2087" s="52" t="s">
        <v>25</v>
      </c>
      <c r="F2087" s="52" t="s">
        <v>26</v>
      </c>
      <c r="G2087" s="53"/>
    </row>
    <row r="2088">
      <c r="A2088" s="49">
        <v>44506.46832594907</v>
      </c>
      <c r="B2088" s="50">
        <v>44506.5933000463</v>
      </c>
      <c r="C2088" s="51">
        <v>1.013</v>
      </c>
      <c r="D2088" s="51">
        <v>64.0</v>
      </c>
      <c r="E2088" s="52" t="s">
        <v>25</v>
      </c>
      <c r="F2088" s="52" t="s">
        <v>26</v>
      </c>
      <c r="G2088" s="53"/>
    </row>
    <row r="2089">
      <c r="A2089" s="49">
        <v>44506.47875230324</v>
      </c>
      <c r="B2089" s="50">
        <v>44506.603731956</v>
      </c>
      <c r="C2089" s="51">
        <v>1.013</v>
      </c>
      <c r="D2089" s="51">
        <v>64.0</v>
      </c>
      <c r="E2089" s="52" t="s">
        <v>25</v>
      </c>
      <c r="F2089" s="52" t="s">
        <v>26</v>
      </c>
      <c r="G2089" s="53"/>
    </row>
    <row r="2090">
      <c r="A2090" s="49">
        <v>44506.48918597223</v>
      </c>
      <c r="B2090" s="50">
        <v>44506.61415625</v>
      </c>
      <c r="C2090" s="51">
        <v>1.013</v>
      </c>
      <c r="D2090" s="51">
        <v>64.0</v>
      </c>
      <c r="E2090" s="52" t="s">
        <v>25</v>
      </c>
      <c r="F2090" s="52" t="s">
        <v>26</v>
      </c>
      <c r="G2090" s="53"/>
    </row>
    <row r="2091">
      <c r="A2091" s="49">
        <v>44506.49959666667</v>
      </c>
      <c r="B2091" s="50">
        <v>44506.6245786805</v>
      </c>
      <c r="C2091" s="51">
        <v>1.013</v>
      </c>
      <c r="D2091" s="51">
        <v>64.0</v>
      </c>
      <c r="E2091" s="52" t="s">
        <v>25</v>
      </c>
      <c r="F2091" s="52" t="s">
        <v>26</v>
      </c>
      <c r="G2091" s="53"/>
    </row>
    <row r="2092">
      <c r="A2092" s="49">
        <v>44506.51002649305</v>
      </c>
      <c r="B2092" s="50">
        <v>44506.6349996412</v>
      </c>
      <c r="C2092" s="51">
        <v>1.013</v>
      </c>
      <c r="D2092" s="51">
        <v>64.0</v>
      </c>
      <c r="E2092" s="52" t="s">
        <v>25</v>
      </c>
      <c r="F2092" s="52" t="s">
        <v>26</v>
      </c>
      <c r="G2092" s="53"/>
    </row>
    <row r="2093">
      <c r="A2093" s="49">
        <v>44506.52045964121</v>
      </c>
      <c r="B2093" s="50">
        <v>44506.6454323379</v>
      </c>
      <c r="C2093" s="51">
        <v>1.013</v>
      </c>
      <c r="D2093" s="51">
        <v>65.0</v>
      </c>
      <c r="E2093" s="52" t="s">
        <v>25</v>
      </c>
      <c r="F2093" s="52" t="s">
        <v>26</v>
      </c>
      <c r="G2093" s="53"/>
    </row>
    <row r="2094">
      <c r="A2094" s="49">
        <v>44506.53089739583</v>
      </c>
      <c r="B2094" s="50">
        <v>44506.6558651388</v>
      </c>
      <c r="C2094" s="51">
        <v>1.013</v>
      </c>
      <c r="D2094" s="51">
        <v>64.0</v>
      </c>
      <c r="E2094" s="52" t="s">
        <v>25</v>
      </c>
      <c r="F2094" s="52" t="s">
        <v>26</v>
      </c>
      <c r="G2094" s="53"/>
    </row>
    <row r="2095">
      <c r="A2095" s="49">
        <v>44506.5413119213</v>
      </c>
      <c r="B2095" s="50">
        <v>44506.6662858101</v>
      </c>
      <c r="C2095" s="51">
        <v>1.013</v>
      </c>
      <c r="D2095" s="51">
        <v>64.0</v>
      </c>
      <c r="E2095" s="52" t="s">
        <v>25</v>
      </c>
      <c r="F2095" s="52" t="s">
        <v>26</v>
      </c>
      <c r="G2095" s="53"/>
    </row>
    <row r="2096">
      <c r="A2096" s="49">
        <v>44506.55174497685</v>
      </c>
      <c r="B2096" s="50">
        <v>44506.6767189004</v>
      </c>
      <c r="C2096" s="51">
        <v>1.013</v>
      </c>
      <c r="D2096" s="51">
        <v>64.0</v>
      </c>
      <c r="E2096" s="52" t="s">
        <v>25</v>
      </c>
      <c r="F2096" s="52" t="s">
        <v>26</v>
      </c>
      <c r="G2096" s="53"/>
    </row>
    <row r="2097">
      <c r="A2097" s="49">
        <v>44506.5621596412</v>
      </c>
      <c r="B2097" s="50">
        <v>44506.6871404051</v>
      </c>
      <c r="C2097" s="51">
        <v>1.013</v>
      </c>
      <c r="D2097" s="51">
        <v>64.0</v>
      </c>
      <c r="E2097" s="52" t="s">
        <v>25</v>
      </c>
      <c r="F2097" s="52" t="s">
        <v>26</v>
      </c>
      <c r="G2097" s="53"/>
    </row>
    <row r="2098">
      <c r="A2098" s="49">
        <v>44506.572592627315</v>
      </c>
      <c r="B2098" s="50">
        <v>44506.6975605671</v>
      </c>
      <c r="C2098" s="51">
        <v>1.013</v>
      </c>
      <c r="D2098" s="51">
        <v>64.0</v>
      </c>
      <c r="E2098" s="52" t="s">
        <v>25</v>
      </c>
      <c r="F2098" s="52" t="s">
        <v>26</v>
      </c>
      <c r="G2098" s="53"/>
    </row>
    <row r="2099">
      <c r="A2099" s="49">
        <v>44506.58300752315</v>
      </c>
      <c r="B2099" s="50">
        <v>44506.7079815856</v>
      </c>
      <c r="C2099" s="51">
        <v>1.013</v>
      </c>
      <c r="D2099" s="51">
        <v>64.0</v>
      </c>
      <c r="E2099" s="52" t="s">
        <v>25</v>
      </c>
      <c r="F2099" s="52" t="s">
        <v>26</v>
      </c>
      <c r="G2099" s="53"/>
    </row>
    <row r="2100">
      <c r="A2100" s="49">
        <v>44506.59342694444</v>
      </c>
      <c r="B2100" s="50">
        <v>44506.718403125</v>
      </c>
      <c r="C2100" s="51">
        <v>1.013</v>
      </c>
      <c r="D2100" s="51">
        <v>64.0</v>
      </c>
      <c r="E2100" s="52" t="s">
        <v>25</v>
      </c>
      <c r="F2100" s="52" t="s">
        <v>26</v>
      </c>
      <c r="G2100" s="53"/>
    </row>
    <row r="2101">
      <c r="A2101" s="49">
        <v>44506.603848252314</v>
      </c>
      <c r="B2101" s="50">
        <v>44506.7288245717</v>
      </c>
      <c r="C2101" s="51">
        <v>1.013</v>
      </c>
      <c r="D2101" s="51">
        <v>64.0</v>
      </c>
      <c r="E2101" s="52" t="s">
        <v>25</v>
      </c>
      <c r="F2101" s="52" t="s">
        <v>26</v>
      </c>
      <c r="G2101" s="53"/>
    </row>
    <row r="2102">
      <c r="A2102" s="49">
        <v>44506.614276064814</v>
      </c>
      <c r="B2102" s="50">
        <v>44506.7392470486</v>
      </c>
      <c r="C2102" s="51">
        <v>1.013</v>
      </c>
      <c r="D2102" s="51">
        <v>64.0</v>
      </c>
      <c r="E2102" s="52" t="s">
        <v>25</v>
      </c>
      <c r="F2102" s="52" t="s">
        <v>26</v>
      </c>
      <c r="G2102" s="53"/>
    </row>
    <row r="2103">
      <c r="A2103" s="49">
        <v>44506.624704525464</v>
      </c>
      <c r="B2103" s="50">
        <v>44506.7496800463</v>
      </c>
      <c r="C2103" s="51">
        <v>1.013</v>
      </c>
      <c r="D2103" s="51">
        <v>64.0</v>
      </c>
      <c r="E2103" s="52" t="s">
        <v>25</v>
      </c>
      <c r="F2103" s="52" t="s">
        <v>26</v>
      </c>
      <c r="G2103" s="53"/>
    </row>
    <row r="2104">
      <c r="A2104" s="49">
        <v>44506.635135046294</v>
      </c>
      <c r="B2104" s="50">
        <v>44506.7601010185</v>
      </c>
      <c r="C2104" s="51">
        <v>1.013</v>
      </c>
      <c r="D2104" s="51">
        <v>64.0</v>
      </c>
      <c r="E2104" s="52" t="s">
        <v>25</v>
      </c>
      <c r="F2104" s="52" t="s">
        <v>26</v>
      </c>
      <c r="G2104" s="53"/>
    </row>
    <row r="2105">
      <c r="A2105" s="49">
        <v>44506.645548263885</v>
      </c>
      <c r="B2105" s="50">
        <v>44506.7705212615</v>
      </c>
      <c r="C2105" s="51">
        <v>1.013</v>
      </c>
      <c r="D2105" s="51">
        <v>64.0</v>
      </c>
      <c r="E2105" s="52" t="s">
        <v>25</v>
      </c>
      <c r="F2105" s="52" t="s">
        <v>26</v>
      </c>
      <c r="G2105" s="53"/>
    </row>
    <row r="2106">
      <c r="A2106" s="49">
        <v>44506.655960081014</v>
      </c>
      <c r="B2106" s="50">
        <v>44506.7809432986</v>
      </c>
      <c r="C2106" s="51">
        <v>1.013</v>
      </c>
      <c r="D2106" s="51">
        <v>64.0</v>
      </c>
      <c r="E2106" s="52" t="s">
        <v>25</v>
      </c>
      <c r="F2106" s="52" t="s">
        <v>26</v>
      </c>
      <c r="G2106" s="53"/>
    </row>
    <row r="2107">
      <c r="A2107" s="49">
        <v>44506.66637918982</v>
      </c>
      <c r="B2107" s="50">
        <v>44506.7913634259</v>
      </c>
      <c r="C2107" s="51">
        <v>1.013</v>
      </c>
      <c r="D2107" s="51">
        <v>64.0</v>
      </c>
      <c r="E2107" s="52" t="s">
        <v>25</v>
      </c>
      <c r="F2107" s="52" t="s">
        <v>26</v>
      </c>
      <c r="G2107" s="53"/>
    </row>
    <row r="2108">
      <c r="A2108" s="49">
        <v>44506.67681821759</v>
      </c>
      <c r="B2108" s="50">
        <v>44506.8017849768</v>
      </c>
      <c r="C2108" s="51">
        <v>1.013</v>
      </c>
      <c r="D2108" s="51">
        <v>64.0</v>
      </c>
      <c r="E2108" s="52" t="s">
        <v>25</v>
      </c>
      <c r="F2108" s="52" t="s">
        <v>26</v>
      </c>
      <c r="G2108" s="53"/>
    </row>
    <row r="2109">
      <c r="A2109" s="49">
        <v>44506.68723265047</v>
      </c>
      <c r="B2109" s="50">
        <v>44506.8122057523</v>
      </c>
      <c r="C2109" s="51">
        <v>1.013</v>
      </c>
      <c r="D2109" s="51">
        <v>64.0</v>
      </c>
      <c r="E2109" s="52" t="s">
        <v>25</v>
      </c>
      <c r="F2109" s="52" t="s">
        <v>26</v>
      </c>
      <c r="G2109" s="53"/>
    </row>
    <row r="2110">
      <c r="A2110" s="49">
        <v>44506.697685266205</v>
      </c>
      <c r="B2110" s="50">
        <v>44506.822627037</v>
      </c>
      <c r="C2110" s="51">
        <v>1.013</v>
      </c>
      <c r="D2110" s="51">
        <v>64.0</v>
      </c>
      <c r="E2110" s="52" t="s">
        <v>25</v>
      </c>
      <c r="F2110" s="52" t="s">
        <v>26</v>
      </c>
      <c r="G2110" s="53"/>
    </row>
    <row r="2111">
      <c r="A2111" s="49">
        <v>44506.708078958334</v>
      </c>
      <c r="B2111" s="50">
        <v>44506.833060405</v>
      </c>
      <c r="C2111" s="51">
        <v>1.013</v>
      </c>
      <c r="D2111" s="51">
        <v>64.0</v>
      </c>
      <c r="E2111" s="52" t="s">
        <v>25</v>
      </c>
      <c r="F2111" s="52" t="s">
        <v>26</v>
      </c>
      <c r="G2111" s="53"/>
    </row>
    <row r="2112">
      <c r="A2112" s="49">
        <v>44506.71853986111</v>
      </c>
      <c r="B2112" s="50">
        <v>44506.8434789814</v>
      </c>
      <c r="C2112" s="51">
        <v>1.013</v>
      </c>
      <c r="D2112" s="51">
        <v>64.0</v>
      </c>
      <c r="E2112" s="52" t="s">
        <v>25</v>
      </c>
      <c r="F2112" s="52" t="s">
        <v>26</v>
      </c>
      <c r="G2112" s="53"/>
    </row>
    <row r="2113">
      <c r="A2113" s="49">
        <v>44506.72895237269</v>
      </c>
      <c r="B2113" s="50">
        <v>44506.853924074</v>
      </c>
      <c r="C2113" s="51">
        <v>1.013</v>
      </c>
      <c r="D2113" s="51">
        <v>65.0</v>
      </c>
      <c r="E2113" s="52" t="s">
        <v>25</v>
      </c>
      <c r="F2113" s="52" t="s">
        <v>26</v>
      </c>
      <c r="G2113" s="53"/>
    </row>
    <row r="2114">
      <c r="A2114" s="49">
        <v>44506.739369849536</v>
      </c>
      <c r="B2114" s="50">
        <v>44506.86434625</v>
      </c>
      <c r="C2114" s="51">
        <v>1.013</v>
      </c>
      <c r="D2114" s="51">
        <v>64.0</v>
      </c>
      <c r="E2114" s="52" t="s">
        <v>25</v>
      </c>
      <c r="F2114" s="52" t="s">
        <v>26</v>
      </c>
      <c r="G2114" s="53"/>
    </row>
    <row r="2115">
      <c r="A2115" s="49">
        <v>44506.749785266205</v>
      </c>
      <c r="B2115" s="50">
        <v>44506.8747669791</v>
      </c>
      <c r="C2115" s="51">
        <v>1.013</v>
      </c>
      <c r="D2115" s="51">
        <v>64.0</v>
      </c>
      <c r="E2115" s="52" t="s">
        <v>25</v>
      </c>
      <c r="F2115" s="52" t="s">
        <v>26</v>
      </c>
      <c r="G2115" s="53"/>
    </row>
    <row r="2116">
      <c r="A2116" s="49">
        <v>44506.76022244213</v>
      </c>
      <c r="B2116" s="50">
        <v>44506.8851875926</v>
      </c>
      <c r="C2116" s="51">
        <v>1.013</v>
      </c>
      <c r="D2116" s="51">
        <v>64.0</v>
      </c>
      <c r="E2116" s="52" t="s">
        <v>25</v>
      </c>
      <c r="F2116" s="52" t="s">
        <v>26</v>
      </c>
      <c r="G2116" s="53"/>
    </row>
    <row r="2117">
      <c r="A2117" s="49">
        <v>44506.770676851855</v>
      </c>
      <c r="B2117" s="50">
        <v>44506.895644618</v>
      </c>
      <c r="C2117" s="51">
        <v>1.013</v>
      </c>
      <c r="D2117" s="51">
        <v>64.0</v>
      </c>
      <c r="E2117" s="52" t="s">
        <v>25</v>
      </c>
      <c r="F2117" s="52" t="s">
        <v>26</v>
      </c>
      <c r="G2117" s="53"/>
    </row>
    <row r="2118">
      <c r="A2118" s="49">
        <v>44506.78110731482</v>
      </c>
      <c r="B2118" s="50">
        <v>44506.9060769213</v>
      </c>
      <c r="C2118" s="51">
        <v>1.013</v>
      </c>
      <c r="D2118" s="51">
        <v>64.0</v>
      </c>
      <c r="E2118" s="52" t="s">
        <v>25</v>
      </c>
      <c r="F2118" s="52" t="s">
        <v>26</v>
      </c>
      <c r="G2118" s="53"/>
    </row>
    <row r="2119">
      <c r="A2119" s="49">
        <v>44506.791532511575</v>
      </c>
      <c r="B2119" s="50">
        <v>44506.9165091782</v>
      </c>
      <c r="C2119" s="51">
        <v>1.013</v>
      </c>
      <c r="D2119" s="51">
        <v>64.0</v>
      </c>
      <c r="E2119" s="52" t="s">
        <v>25</v>
      </c>
      <c r="F2119" s="52" t="s">
        <v>26</v>
      </c>
      <c r="G2119" s="53"/>
    </row>
    <row r="2120">
      <c r="A2120" s="49">
        <v>44506.80195245371</v>
      </c>
      <c r="B2120" s="50">
        <v>44506.9269317592</v>
      </c>
      <c r="C2120" s="51">
        <v>1.013</v>
      </c>
      <c r="D2120" s="51">
        <v>64.0</v>
      </c>
      <c r="E2120" s="52" t="s">
        <v>25</v>
      </c>
      <c r="F2120" s="52" t="s">
        <v>26</v>
      </c>
      <c r="G2120" s="53"/>
    </row>
    <row r="2121">
      <c r="A2121" s="49">
        <v>44506.812370775464</v>
      </c>
      <c r="B2121" s="50">
        <v>44506.9373537268</v>
      </c>
      <c r="C2121" s="51">
        <v>1.013</v>
      </c>
      <c r="D2121" s="51">
        <v>64.0</v>
      </c>
      <c r="E2121" s="52" t="s">
        <v>25</v>
      </c>
      <c r="F2121" s="52" t="s">
        <v>26</v>
      </c>
      <c r="G2121" s="53"/>
    </row>
    <row r="2122">
      <c r="A2122" s="49">
        <v>44506.822802696755</v>
      </c>
      <c r="B2122" s="50">
        <v>44506.947775</v>
      </c>
      <c r="C2122" s="51">
        <v>1.013</v>
      </c>
      <c r="D2122" s="51">
        <v>64.0</v>
      </c>
      <c r="E2122" s="52" t="s">
        <v>25</v>
      </c>
      <c r="F2122" s="52" t="s">
        <v>26</v>
      </c>
      <c r="G2122" s="53"/>
    </row>
    <row r="2123">
      <c r="A2123" s="49">
        <v>44506.83322015047</v>
      </c>
      <c r="B2123" s="50">
        <v>44506.9581967476</v>
      </c>
      <c r="C2123" s="51">
        <v>1.013</v>
      </c>
      <c r="D2123" s="51">
        <v>64.0</v>
      </c>
      <c r="E2123" s="52" t="s">
        <v>25</v>
      </c>
      <c r="F2123" s="52" t="s">
        <v>26</v>
      </c>
      <c r="G2123" s="53"/>
    </row>
    <row r="2124">
      <c r="A2124" s="49">
        <v>44506.84363703703</v>
      </c>
      <c r="B2124" s="50">
        <v>44506.9686181018</v>
      </c>
      <c r="C2124" s="51">
        <v>1.013</v>
      </c>
      <c r="D2124" s="51">
        <v>64.0</v>
      </c>
      <c r="E2124" s="52" t="s">
        <v>25</v>
      </c>
      <c r="F2124" s="52" t="s">
        <v>26</v>
      </c>
      <c r="G2124" s="53"/>
    </row>
    <row r="2125">
      <c r="A2125" s="49">
        <v>44506.854074421295</v>
      </c>
      <c r="B2125" s="50">
        <v>44506.9790409606</v>
      </c>
      <c r="C2125" s="51">
        <v>1.013</v>
      </c>
      <c r="D2125" s="51">
        <v>64.0</v>
      </c>
      <c r="E2125" s="52" t="s">
        <v>25</v>
      </c>
      <c r="F2125" s="52" t="s">
        <v>26</v>
      </c>
      <c r="G2125" s="53"/>
    </row>
    <row r="2126">
      <c r="A2126" s="49">
        <v>44506.86448903935</v>
      </c>
      <c r="B2126" s="50">
        <v>44506.9894618981</v>
      </c>
      <c r="C2126" s="51">
        <v>1.013</v>
      </c>
      <c r="D2126" s="51">
        <v>64.0</v>
      </c>
      <c r="E2126" s="52" t="s">
        <v>25</v>
      </c>
      <c r="F2126" s="52" t="s">
        <v>26</v>
      </c>
      <c r="G2126" s="53"/>
    </row>
    <row r="2127">
      <c r="A2127" s="49">
        <v>44506.87491100695</v>
      </c>
      <c r="B2127" s="50">
        <v>44506.9998825694</v>
      </c>
      <c r="C2127" s="51">
        <v>1.013</v>
      </c>
      <c r="D2127" s="51">
        <v>64.0</v>
      </c>
      <c r="E2127" s="52" t="s">
        <v>25</v>
      </c>
      <c r="F2127" s="52" t="s">
        <v>26</v>
      </c>
      <c r="G2127" s="53"/>
    </row>
    <row r="2128">
      <c r="A2128" s="49">
        <v>44506.88533075231</v>
      </c>
      <c r="B2128" s="50">
        <v>44507.0103037731</v>
      </c>
      <c r="C2128" s="51">
        <v>1.013</v>
      </c>
      <c r="D2128" s="51">
        <v>64.0</v>
      </c>
      <c r="E2128" s="52" t="s">
        <v>25</v>
      </c>
      <c r="F2128" s="52" t="s">
        <v>26</v>
      </c>
      <c r="G2128" s="53"/>
    </row>
    <row r="2129">
      <c r="A2129" s="49">
        <v>44506.89575982639</v>
      </c>
      <c r="B2129" s="50">
        <v>44507.0207365972</v>
      </c>
      <c r="C2129" s="51">
        <v>1.013</v>
      </c>
      <c r="D2129" s="51">
        <v>64.0</v>
      </c>
      <c r="E2129" s="52" t="s">
        <v>25</v>
      </c>
      <c r="F2129" s="52" t="s">
        <v>26</v>
      </c>
      <c r="G2129" s="53"/>
    </row>
    <row r="2130">
      <c r="A2130" s="49">
        <v>44506.90617598379</v>
      </c>
      <c r="B2130" s="50">
        <v>44507.0311571527</v>
      </c>
      <c r="C2130" s="51">
        <v>1.013</v>
      </c>
      <c r="D2130" s="51">
        <v>64.0</v>
      </c>
      <c r="E2130" s="52" t="s">
        <v>25</v>
      </c>
      <c r="F2130" s="52" t="s">
        <v>26</v>
      </c>
      <c r="G2130" s="53"/>
    </row>
    <row r="2131">
      <c r="A2131" s="49">
        <v>44506.916612939815</v>
      </c>
      <c r="B2131" s="50">
        <v>44507.0415784375</v>
      </c>
      <c r="C2131" s="51">
        <v>1.013</v>
      </c>
      <c r="D2131" s="51">
        <v>64.0</v>
      </c>
      <c r="E2131" s="52" t="s">
        <v>25</v>
      </c>
      <c r="F2131" s="52" t="s">
        <v>26</v>
      </c>
      <c r="G2131" s="53"/>
    </row>
    <row r="2132">
      <c r="A2132" s="49">
        <v>44506.927025324076</v>
      </c>
      <c r="B2132" s="50">
        <v>44507.0520005324</v>
      </c>
      <c r="C2132" s="51">
        <v>1.013</v>
      </c>
      <c r="D2132" s="51">
        <v>64.0</v>
      </c>
      <c r="E2132" s="52" t="s">
        <v>25</v>
      </c>
      <c r="F2132" s="52" t="s">
        <v>26</v>
      </c>
      <c r="G2132" s="53"/>
    </row>
    <row r="2133">
      <c r="A2133" s="49">
        <v>44506.937458622684</v>
      </c>
      <c r="B2133" s="50">
        <v>44507.0624238078</v>
      </c>
      <c r="C2133" s="51">
        <v>1.013</v>
      </c>
      <c r="D2133" s="51">
        <v>64.0</v>
      </c>
      <c r="E2133" s="52" t="s">
        <v>25</v>
      </c>
      <c r="F2133" s="52" t="s">
        <v>26</v>
      </c>
      <c r="G2133" s="53"/>
    </row>
    <row r="2134">
      <c r="A2134" s="49">
        <v>44506.94787625</v>
      </c>
      <c r="B2134" s="50">
        <v>44507.0728450463</v>
      </c>
      <c r="C2134" s="51">
        <v>1.013</v>
      </c>
      <c r="D2134" s="51">
        <v>64.0</v>
      </c>
      <c r="E2134" s="52" t="s">
        <v>25</v>
      </c>
      <c r="F2134" s="52" t="s">
        <v>26</v>
      </c>
      <c r="G2134" s="53"/>
    </row>
    <row r="2135">
      <c r="A2135" s="49">
        <v>44506.95831498843</v>
      </c>
      <c r="B2135" s="50">
        <v>44507.0832767476</v>
      </c>
      <c r="C2135" s="51">
        <v>1.013</v>
      </c>
      <c r="D2135" s="51">
        <v>64.0</v>
      </c>
      <c r="E2135" s="52" t="s">
        <v>25</v>
      </c>
      <c r="F2135" s="52" t="s">
        <v>26</v>
      </c>
      <c r="G2135" s="53"/>
    </row>
    <row r="2136">
      <c r="A2136" s="49">
        <v>44506.968723541664</v>
      </c>
      <c r="B2136" s="50">
        <v>44507.0520301388</v>
      </c>
      <c r="C2136" s="51">
        <v>1.013</v>
      </c>
      <c r="D2136" s="51">
        <v>64.0</v>
      </c>
      <c r="E2136" s="52" t="s">
        <v>25</v>
      </c>
      <c r="F2136" s="52" t="s">
        <v>26</v>
      </c>
      <c r="G2136" s="53"/>
    </row>
    <row r="2137">
      <c r="A2137" s="49">
        <v>44506.97914471065</v>
      </c>
      <c r="B2137" s="50">
        <v>44507.0624513541</v>
      </c>
      <c r="C2137" s="51">
        <v>1.013</v>
      </c>
      <c r="D2137" s="51">
        <v>64.0</v>
      </c>
      <c r="E2137" s="52" t="s">
        <v>25</v>
      </c>
      <c r="F2137" s="52" t="s">
        <v>26</v>
      </c>
      <c r="G2137" s="53"/>
    </row>
    <row r="2138">
      <c r="A2138" s="49">
        <v>44506.98957614583</v>
      </c>
      <c r="B2138" s="50">
        <v>44507.0728846064</v>
      </c>
      <c r="C2138" s="51">
        <v>1.013</v>
      </c>
      <c r="D2138" s="51">
        <v>64.0</v>
      </c>
      <c r="E2138" s="52" t="s">
        <v>25</v>
      </c>
      <c r="F2138" s="52" t="s">
        <v>26</v>
      </c>
      <c r="G2138" s="53"/>
    </row>
    <row r="2139">
      <c r="A2139" s="49">
        <v>44507.000001736116</v>
      </c>
      <c r="B2139" s="50">
        <v>44507.0833057754</v>
      </c>
      <c r="C2139" s="51">
        <v>1.013</v>
      </c>
      <c r="D2139" s="51">
        <v>64.0</v>
      </c>
      <c r="E2139" s="52" t="s">
        <v>25</v>
      </c>
      <c r="F2139" s="52" t="s">
        <v>26</v>
      </c>
      <c r="G2139" s="53"/>
    </row>
    <row r="2140">
      <c r="A2140" s="49">
        <v>44507.010419583334</v>
      </c>
      <c r="B2140" s="50">
        <v>44507.0937268287</v>
      </c>
      <c r="C2140" s="51">
        <v>1.013</v>
      </c>
      <c r="D2140" s="51">
        <v>64.0</v>
      </c>
      <c r="E2140" s="52" t="s">
        <v>25</v>
      </c>
      <c r="F2140" s="52" t="s">
        <v>26</v>
      </c>
      <c r="G2140" s="53"/>
    </row>
    <row r="2141">
      <c r="A2141" s="49">
        <v>44507.02084322917</v>
      </c>
      <c r="B2141" s="50">
        <v>44507.1041478125</v>
      </c>
      <c r="C2141" s="51">
        <v>1.013</v>
      </c>
      <c r="D2141" s="51">
        <v>64.0</v>
      </c>
      <c r="E2141" s="52" t="s">
        <v>25</v>
      </c>
      <c r="F2141" s="52" t="s">
        <v>26</v>
      </c>
      <c r="G2141" s="53"/>
    </row>
    <row r="2142">
      <c r="A2142" s="49">
        <v>44507.03125697917</v>
      </c>
      <c r="B2142" s="50">
        <v>44507.1145684027</v>
      </c>
      <c r="C2142" s="51">
        <v>1.013</v>
      </c>
      <c r="D2142" s="51">
        <v>64.0</v>
      </c>
      <c r="E2142" s="52" t="s">
        <v>25</v>
      </c>
      <c r="F2142" s="52" t="s">
        <v>26</v>
      </c>
      <c r="G2142" s="53"/>
    </row>
    <row r="2143">
      <c r="A2143" s="49">
        <v>44507.04168578704</v>
      </c>
      <c r="B2143" s="50">
        <v>44507.124990162</v>
      </c>
      <c r="C2143" s="51">
        <v>1.013</v>
      </c>
      <c r="D2143" s="51">
        <v>64.0</v>
      </c>
      <c r="E2143" s="52" t="s">
        <v>25</v>
      </c>
      <c r="F2143" s="52" t="s">
        <v>26</v>
      </c>
      <c r="G2143" s="53"/>
    </row>
    <row r="2144">
      <c r="A2144" s="49">
        <v>44507.0521062037</v>
      </c>
      <c r="B2144" s="50">
        <v>44507.1354112384</v>
      </c>
      <c r="C2144" s="51">
        <v>1.013</v>
      </c>
      <c r="D2144" s="51">
        <v>64.0</v>
      </c>
      <c r="E2144" s="52" t="s">
        <v>25</v>
      </c>
      <c r="F2144" s="52" t="s">
        <v>26</v>
      </c>
      <c r="G2144" s="53"/>
    </row>
    <row r="2145">
      <c r="A2145" s="49">
        <v>44507.06253581018</v>
      </c>
      <c r="B2145" s="50">
        <v>44507.145843993</v>
      </c>
      <c r="C2145" s="51">
        <v>1.013</v>
      </c>
      <c r="D2145" s="51">
        <v>64.0</v>
      </c>
      <c r="E2145" s="52" t="s">
        <v>25</v>
      </c>
      <c r="F2145" s="52" t="s">
        <v>26</v>
      </c>
      <c r="G2145" s="53"/>
    </row>
    <row r="2146">
      <c r="A2146" s="49">
        <v>44507.07295606482</v>
      </c>
      <c r="B2146" s="50">
        <v>44507.1562651504</v>
      </c>
      <c r="C2146" s="51">
        <v>1.013</v>
      </c>
      <c r="D2146" s="51">
        <v>64.0</v>
      </c>
      <c r="E2146" s="52" t="s">
        <v>25</v>
      </c>
      <c r="F2146" s="52" t="s">
        <v>26</v>
      </c>
      <c r="G2146" s="53"/>
    </row>
    <row r="2147">
      <c r="A2147" s="49">
        <v>44507.04172728009</v>
      </c>
      <c r="B2147" s="50">
        <v>44507.1666984722</v>
      </c>
      <c r="C2147" s="51">
        <v>1.013</v>
      </c>
      <c r="D2147" s="51">
        <v>64.0</v>
      </c>
      <c r="E2147" s="52" t="s">
        <v>25</v>
      </c>
      <c r="F2147" s="52" t="s">
        <v>26</v>
      </c>
      <c r="G2147" s="53"/>
    </row>
    <row r="2148">
      <c r="A2148" s="49">
        <v>44507.05215368056</v>
      </c>
      <c r="B2148" s="50">
        <v>44507.1771202777</v>
      </c>
      <c r="C2148" s="51">
        <v>1.013</v>
      </c>
      <c r="D2148" s="51">
        <v>64.0</v>
      </c>
      <c r="E2148" s="52" t="s">
        <v>25</v>
      </c>
      <c r="F2148" s="52" t="s">
        <v>26</v>
      </c>
      <c r="G2148" s="53"/>
    </row>
    <row r="2149">
      <c r="A2149" s="49">
        <v>44507.06256100694</v>
      </c>
      <c r="B2149" s="50">
        <v>44507.1875415393</v>
      </c>
      <c r="C2149" s="51">
        <v>1.013</v>
      </c>
      <c r="D2149" s="51">
        <v>64.0</v>
      </c>
      <c r="E2149" s="52" t="s">
        <v>25</v>
      </c>
      <c r="F2149" s="52" t="s">
        <v>26</v>
      </c>
      <c r="G2149" s="53"/>
    </row>
    <row r="2150">
      <c r="A2150" s="49">
        <v>44507.073005011574</v>
      </c>
      <c r="B2150" s="50">
        <v>44507.1979847106</v>
      </c>
      <c r="C2150" s="51">
        <v>1.013</v>
      </c>
      <c r="D2150" s="51">
        <v>64.0</v>
      </c>
      <c r="E2150" s="52" t="s">
        <v>25</v>
      </c>
      <c r="F2150" s="52" t="s">
        <v>26</v>
      </c>
      <c r="G2150" s="53"/>
    </row>
    <row r="2151">
      <c r="A2151" s="49">
        <v>44507.08343576389</v>
      </c>
      <c r="B2151" s="50">
        <v>44507.2084043518</v>
      </c>
      <c r="C2151" s="51">
        <v>1.013</v>
      </c>
      <c r="D2151" s="51">
        <v>64.0</v>
      </c>
      <c r="E2151" s="52" t="s">
        <v>25</v>
      </c>
      <c r="F2151" s="52" t="s">
        <v>26</v>
      </c>
      <c r="G2151" s="53"/>
    </row>
    <row r="2152">
      <c r="A2152" s="49">
        <v>44507.09385979167</v>
      </c>
      <c r="B2152" s="50">
        <v>44507.2188283101</v>
      </c>
      <c r="C2152" s="51">
        <v>1.013</v>
      </c>
      <c r="D2152" s="51">
        <v>64.0</v>
      </c>
      <c r="E2152" s="52" t="s">
        <v>25</v>
      </c>
      <c r="F2152" s="52" t="s">
        <v>26</v>
      </c>
      <c r="G2152" s="53"/>
    </row>
    <row r="2153">
      <c r="A2153" s="49">
        <v>44507.10426436343</v>
      </c>
      <c r="B2153" s="50">
        <v>44507.2292498842</v>
      </c>
      <c r="C2153" s="51">
        <v>1.013</v>
      </c>
      <c r="D2153" s="51">
        <v>64.0</v>
      </c>
      <c r="E2153" s="52" t="s">
        <v>25</v>
      </c>
      <c r="F2153" s="52" t="s">
        <v>26</v>
      </c>
      <c r="G2153" s="53"/>
    </row>
    <row r="2154">
      <c r="A2154" s="49">
        <v>44507.11470759259</v>
      </c>
      <c r="B2154" s="50">
        <v>44507.2396825925</v>
      </c>
      <c r="C2154" s="51">
        <v>1.013</v>
      </c>
      <c r="D2154" s="51">
        <v>64.0</v>
      </c>
      <c r="E2154" s="52" t="s">
        <v>25</v>
      </c>
      <c r="F2154" s="52" t="s">
        <v>26</v>
      </c>
      <c r="G2154" s="53"/>
    </row>
    <row r="2155">
      <c r="A2155" s="49">
        <v>44507.125130625005</v>
      </c>
      <c r="B2155" s="50">
        <v>44507.2501037268</v>
      </c>
      <c r="C2155" s="51">
        <v>1.013</v>
      </c>
      <c r="D2155" s="51">
        <v>64.0</v>
      </c>
      <c r="E2155" s="52" t="s">
        <v>25</v>
      </c>
      <c r="F2155" s="52" t="s">
        <v>26</v>
      </c>
      <c r="G2155" s="53"/>
    </row>
    <row r="2156">
      <c r="A2156" s="49">
        <v>44507.13554179398</v>
      </c>
      <c r="B2156" s="50">
        <v>44507.2605259143</v>
      </c>
      <c r="C2156" s="51">
        <v>1.013</v>
      </c>
      <c r="D2156" s="51">
        <v>64.0</v>
      </c>
      <c r="E2156" s="52" t="s">
        <v>25</v>
      </c>
      <c r="F2156" s="52" t="s">
        <v>26</v>
      </c>
      <c r="G2156" s="53"/>
    </row>
    <row r="2157">
      <c r="A2157" s="49">
        <v>44507.14597503473</v>
      </c>
      <c r="B2157" s="50">
        <v>44507.270949074</v>
      </c>
      <c r="C2157" s="51">
        <v>1.013</v>
      </c>
      <c r="D2157" s="51">
        <v>64.0</v>
      </c>
      <c r="E2157" s="52" t="s">
        <v>25</v>
      </c>
      <c r="F2157" s="52" t="s">
        <v>26</v>
      </c>
      <c r="G2157" s="53"/>
    </row>
    <row r="2158">
      <c r="A2158" s="49">
        <v>44507.156397847226</v>
      </c>
      <c r="B2158" s="50">
        <v>44507.2813699537</v>
      </c>
      <c r="C2158" s="51">
        <v>1.013</v>
      </c>
      <c r="D2158" s="51">
        <v>64.0</v>
      </c>
      <c r="E2158" s="52" t="s">
        <v>25</v>
      </c>
      <c r="F2158" s="52" t="s">
        <v>26</v>
      </c>
      <c r="G2158" s="53"/>
    </row>
    <row r="2159">
      <c r="A2159" s="49">
        <v>44507.16681608796</v>
      </c>
      <c r="B2159" s="50">
        <v>44507.29178978</v>
      </c>
      <c r="C2159" s="51">
        <v>1.013</v>
      </c>
      <c r="D2159" s="51">
        <v>64.0</v>
      </c>
      <c r="E2159" s="52" t="s">
        <v>25</v>
      </c>
      <c r="F2159" s="52" t="s">
        <v>26</v>
      </c>
      <c r="G2159" s="53"/>
    </row>
    <row r="2160">
      <c r="A2160" s="49">
        <v>44507.17723872685</v>
      </c>
      <c r="B2160" s="50">
        <v>44507.3022110185</v>
      </c>
      <c r="C2160" s="51">
        <v>1.013</v>
      </c>
      <c r="D2160" s="51">
        <v>64.0</v>
      </c>
      <c r="E2160" s="52" t="s">
        <v>25</v>
      </c>
      <c r="F2160" s="52" t="s">
        <v>26</v>
      </c>
      <c r="G2160" s="53"/>
    </row>
    <row r="2161">
      <c r="A2161" s="49">
        <v>44507.187659386575</v>
      </c>
      <c r="B2161" s="50">
        <v>44507.3126322106</v>
      </c>
      <c r="C2161" s="51">
        <v>1.013</v>
      </c>
      <c r="D2161" s="51">
        <v>64.0</v>
      </c>
      <c r="E2161" s="52" t="s">
        <v>25</v>
      </c>
      <c r="F2161" s="52" t="s">
        <v>26</v>
      </c>
      <c r="G2161" s="53"/>
    </row>
    <row r="2162">
      <c r="A2162" s="49">
        <v>44507.19808045139</v>
      </c>
      <c r="B2162" s="50">
        <v>44507.3230542592</v>
      </c>
      <c r="C2162" s="51">
        <v>1.013</v>
      </c>
      <c r="D2162" s="51">
        <v>64.0</v>
      </c>
      <c r="E2162" s="52" t="s">
        <v>25</v>
      </c>
      <c r="F2162" s="52" t="s">
        <v>26</v>
      </c>
      <c r="G2162" s="53"/>
    </row>
    <row r="2163">
      <c r="A2163" s="49">
        <v>44507.20849942129</v>
      </c>
      <c r="B2163" s="50">
        <v>44507.3334738888</v>
      </c>
      <c r="C2163" s="51">
        <v>1.013</v>
      </c>
      <c r="D2163" s="51">
        <v>64.0</v>
      </c>
      <c r="E2163" s="52" t="s">
        <v>25</v>
      </c>
      <c r="F2163" s="52" t="s">
        <v>26</v>
      </c>
      <c r="G2163" s="53"/>
    </row>
    <row r="2164">
      <c r="A2164" s="49">
        <v>44507.21892053241</v>
      </c>
      <c r="B2164" s="50">
        <v>44507.3438937037</v>
      </c>
      <c r="C2164" s="51">
        <v>1.013</v>
      </c>
      <c r="D2164" s="51">
        <v>64.0</v>
      </c>
      <c r="E2164" s="52" t="s">
        <v>25</v>
      </c>
      <c r="F2164" s="52" t="s">
        <v>26</v>
      </c>
      <c r="G2164" s="53"/>
    </row>
    <row r="2165">
      <c r="A2165" s="49">
        <v>44507.22933826389</v>
      </c>
      <c r="B2165" s="50">
        <v>44507.3543142129</v>
      </c>
      <c r="C2165" s="51">
        <v>1.013</v>
      </c>
      <c r="D2165" s="51">
        <v>64.0</v>
      </c>
      <c r="E2165" s="52" t="s">
        <v>25</v>
      </c>
      <c r="F2165" s="52" t="s">
        <v>26</v>
      </c>
      <c r="G2165" s="53"/>
    </row>
    <row r="2166">
      <c r="A2166" s="49">
        <v>44507.23977828704</v>
      </c>
      <c r="B2166" s="50">
        <v>44507.3647474768</v>
      </c>
      <c r="C2166" s="51">
        <v>1.013</v>
      </c>
      <c r="D2166" s="51">
        <v>64.0</v>
      </c>
      <c r="E2166" s="52" t="s">
        <v>25</v>
      </c>
      <c r="F2166" s="52" t="s">
        <v>26</v>
      </c>
      <c r="G2166" s="53"/>
    </row>
    <row r="2167">
      <c r="A2167" s="49">
        <v>44507.25020061343</v>
      </c>
      <c r="B2167" s="50">
        <v>44507.3751687731</v>
      </c>
      <c r="C2167" s="51">
        <v>1.013</v>
      </c>
      <c r="D2167" s="51">
        <v>64.0</v>
      </c>
      <c r="E2167" s="52" t="s">
        <v>25</v>
      </c>
      <c r="F2167" s="52" t="s">
        <v>26</v>
      </c>
      <c r="G2167" s="53"/>
    </row>
    <row r="2168">
      <c r="A2168" s="49">
        <v>44507.260622870366</v>
      </c>
      <c r="B2168" s="50">
        <v>44507.3855913657</v>
      </c>
      <c r="C2168" s="51">
        <v>1.013</v>
      </c>
      <c r="D2168" s="51">
        <v>64.0</v>
      </c>
      <c r="E2168" s="52" t="s">
        <v>25</v>
      </c>
      <c r="F2168" s="52" t="s">
        <v>26</v>
      </c>
      <c r="G2168" s="53"/>
    </row>
    <row r="2169">
      <c r="A2169" s="49">
        <v>44507.271048993054</v>
      </c>
      <c r="B2169" s="50">
        <v>44507.3960114236</v>
      </c>
      <c r="C2169" s="51">
        <v>1.013</v>
      </c>
      <c r="D2169" s="51">
        <v>64.0</v>
      </c>
      <c r="E2169" s="52" t="s">
        <v>25</v>
      </c>
      <c r="F2169" s="52" t="s">
        <v>26</v>
      </c>
      <c r="G2169" s="53"/>
    </row>
    <row r="2170">
      <c r="A2170" s="49">
        <v>44507.28146570602</v>
      </c>
      <c r="B2170" s="50">
        <v>44507.4064331944</v>
      </c>
      <c r="C2170" s="51">
        <v>1.013</v>
      </c>
      <c r="D2170" s="51">
        <v>64.0</v>
      </c>
      <c r="E2170" s="52" t="s">
        <v>25</v>
      </c>
      <c r="F2170" s="52" t="s">
        <v>26</v>
      </c>
      <c r="G2170" s="53"/>
    </row>
    <row r="2171">
      <c r="A2171" s="49">
        <v>44507.29189087963</v>
      </c>
      <c r="B2171" s="50">
        <v>44507.4168556712</v>
      </c>
      <c r="C2171" s="51">
        <v>1.013</v>
      </c>
      <c r="D2171" s="51">
        <v>64.0</v>
      </c>
      <c r="E2171" s="52" t="s">
        <v>25</v>
      </c>
      <c r="F2171" s="52" t="s">
        <v>26</v>
      </c>
      <c r="G2171" s="53"/>
    </row>
    <row r="2172">
      <c r="A2172" s="49">
        <v>44507.302320925926</v>
      </c>
      <c r="B2172" s="50">
        <v>44507.4272888773</v>
      </c>
      <c r="C2172" s="51">
        <v>1.013</v>
      </c>
      <c r="D2172" s="51">
        <v>64.0</v>
      </c>
      <c r="E2172" s="52" t="s">
        <v>25</v>
      </c>
      <c r="F2172" s="52" t="s">
        <v>26</v>
      </c>
      <c r="G2172" s="53"/>
    </row>
    <row r="2173">
      <c r="A2173" s="49">
        <v>44507.3127409838</v>
      </c>
      <c r="B2173" s="50">
        <v>44507.4377118865</v>
      </c>
      <c r="C2173" s="51">
        <v>1.013</v>
      </c>
      <c r="D2173" s="51">
        <v>64.0</v>
      </c>
      <c r="E2173" s="52" t="s">
        <v>25</v>
      </c>
      <c r="F2173" s="52" t="s">
        <v>26</v>
      </c>
      <c r="G2173" s="53"/>
    </row>
    <row r="2174">
      <c r="A2174" s="49">
        <v>44507.32316701389</v>
      </c>
      <c r="B2174" s="50">
        <v>44507.4481340972</v>
      </c>
      <c r="C2174" s="51">
        <v>1.013</v>
      </c>
      <c r="D2174" s="51">
        <v>64.0</v>
      </c>
      <c r="E2174" s="52" t="s">
        <v>25</v>
      </c>
      <c r="F2174" s="52" t="s">
        <v>26</v>
      </c>
      <c r="G2174" s="53"/>
    </row>
    <row r="2175">
      <c r="A2175" s="49">
        <v>44507.33358527778</v>
      </c>
      <c r="B2175" s="50">
        <v>44507.4585549884</v>
      </c>
      <c r="C2175" s="51">
        <v>1.013</v>
      </c>
      <c r="D2175" s="51">
        <v>64.0</v>
      </c>
      <c r="E2175" s="52" t="s">
        <v>25</v>
      </c>
      <c r="F2175" s="52" t="s">
        <v>26</v>
      </c>
      <c r="G2175" s="53"/>
    </row>
    <row r="2176">
      <c r="A2176" s="49">
        <v>44507.34402049769</v>
      </c>
      <c r="B2176" s="50">
        <v>44507.468975787</v>
      </c>
      <c r="C2176" s="51">
        <v>1.013</v>
      </c>
      <c r="D2176" s="51">
        <v>64.0</v>
      </c>
      <c r="E2176" s="52" t="s">
        <v>25</v>
      </c>
      <c r="F2176" s="52" t="s">
        <v>26</v>
      </c>
      <c r="G2176" s="53"/>
    </row>
    <row r="2177">
      <c r="A2177" s="49">
        <v>44507.354438877315</v>
      </c>
      <c r="B2177" s="50">
        <v>44507.4794092592</v>
      </c>
      <c r="C2177" s="51">
        <v>1.013</v>
      </c>
      <c r="D2177" s="51">
        <v>64.0</v>
      </c>
      <c r="E2177" s="52" t="s">
        <v>25</v>
      </c>
      <c r="F2177" s="52" t="s">
        <v>26</v>
      </c>
      <c r="G2177" s="53"/>
    </row>
    <row r="2178">
      <c r="A2178" s="49">
        <v>44507.36487640046</v>
      </c>
      <c r="B2178" s="50">
        <v>44507.489855081</v>
      </c>
      <c r="C2178" s="51">
        <v>1.013</v>
      </c>
      <c r="D2178" s="51">
        <v>64.0</v>
      </c>
      <c r="E2178" s="52" t="s">
        <v>25</v>
      </c>
      <c r="F2178" s="52" t="s">
        <v>26</v>
      </c>
      <c r="G2178" s="53"/>
    </row>
    <row r="2179">
      <c r="A2179" s="49">
        <v>44507.375305856476</v>
      </c>
      <c r="B2179" s="50">
        <v>44507.5002774421</v>
      </c>
      <c r="C2179" s="51">
        <v>1.013</v>
      </c>
      <c r="D2179" s="51">
        <v>64.0</v>
      </c>
      <c r="E2179" s="52" t="s">
        <v>25</v>
      </c>
      <c r="F2179" s="52" t="s">
        <v>26</v>
      </c>
      <c r="G2179" s="53"/>
    </row>
    <row r="2180">
      <c r="A2180" s="49">
        <v>44507.38572548611</v>
      </c>
      <c r="B2180" s="50">
        <v>44507.510698993</v>
      </c>
      <c r="C2180" s="51">
        <v>1.013</v>
      </c>
      <c r="D2180" s="51">
        <v>64.0</v>
      </c>
      <c r="E2180" s="52" t="s">
        <v>25</v>
      </c>
      <c r="F2180" s="52" t="s">
        <v>26</v>
      </c>
      <c r="G2180" s="53"/>
    </row>
    <row r="2181">
      <c r="A2181" s="49">
        <v>44507.39614527777</v>
      </c>
      <c r="B2181" s="50">
        <v>44507.5211197106</v>
      </c>
      <c r="C2181" s="51">
        <v>1.013</v>
      </c>
      <c r="D2181" s="51">
        <v>64.0</v>
      </c>
      <c r="E2181" s="52" t="s">
        <v>25</v>
      </c>
      <c r="F2181" s="52" t="s">
        <v>26</v>
      </c>
      <c r="G2181" s="53"/>
    </row>
    <row r="2182">
      <c r="A2182" s="49">
        <v>44507.40656375</v>
      </c>
      <c r="B2182" s="50">
        <v>44507.5315401157</v>
      </c>
      <c r="C2182" s="51">
        <v>1.013</v>
      </c>
      <c r="D2182" s="51">
        <v>64.0</v>
      </c>
      <c r="E2182" s="52" t="s">
        <v>25</v>
      </c>
      <c r="F2182" s="52" t="s">
        <v>26</v>
      </c>
      <c r="G2182" s="53"/>
    </row>
    <row r="2183">
      <c r="A2183" s="49">
        <v>44507.41557511574</v>
      </c>
      <c r="B2183" s="50">
        <v>44507.5404843865</v>
      </c>
      <c r="C2183" s="51">
        <v>1.013</v>
      </c>
      <c r="D2183" s="51">
        <v>64.0</v>
      </c>
      <c r="E2183" s="52" t="s">
        <v>25</v>
      </c>
      <c r="F2183" s="52" t="s">
        <v>26</v>
      </c>
      <c r="G2183" s="53"/>
    </row>
    <row r="2184">
      <c r="A2184" s="49">
        <v>44507.42595413195</v>
      </c>
      <c r="B2184" s="50">
        <v>44507.5509159606</v>
      </c>
      <c r="C2184" s="51">
        <v>1.013</v>
      </c>
      <c r="D2184" s="51">
        <v>64.0</v>
      </c>
      <c r="E2184" s="52" t="s">
        <v>25</v>
      </c>
      <c r="F2184" s="52" t="s">
        <v>26</v>
      </c>
      <c r="G2184" s="53"/>
    </row>
    <row r="2185">
      <c r="A2185" s="49">
        <v>44507.43636445602</v>
      </c>
      <c r="B2185" s="50">
        <v>44507.5613346759</v>
      </c>
      <c r="C2185" s="51">
        <v>1.013</v>
      </c>
      <c r="D2185" s="51">
        <v>64.0</v>
      </c>
      <c r="E2185" s="52" t="s">
        <v>25</v>
      </c>
      <c r="F2185" s="52" t="s">
        <v>26</v>
      </c>
      <c r="G2185" s="53"/>
    </row>
    <row r="2186">
      <c r="A2186" s="49">
        <v>44507.44678809028</v>
      </c>
      <c r="B2186" s="50">
        <v>44507.5717570486</v>
      </c>
      <c r="C2186" s="51">
        <v>1.013</v>
      </c>
      <c r="D2186" s="51">
        <v>64.0</v>
      </c>
      <c r="E2186" s="52" t="s">
        <v>25</v>
      </c>
      <c r="F2186" s="52" t="s">
        <v>26</v>
      </c>
      <c r="G2186" s="53"/>
    </row>
    <row r="2187">
      <c r="A2187" s="49">
        <v>44507.45730130787</v>
      </c>
      <c r="B2187" s="50">
        <v>44507.5822011805</v>
      </c>
      <c r="C2187" s="51">
        <v>1.013</v>
      </c>
      <c r="D2187" s="51">
        <v>64.0</v>
      </c>
      <c r="E2187" s="52" t="s">
        <v>25</v>
      </c>
      <c r="F2187" s="52" t="s">
        <v>26</v>
      </c>
      <c r="G2187" s="53"/>
    </row>
    <row r="2188">
      <c r="A2188" s="49">
        <v>44507.46766116898</v>
      </c>
      <c r="B2188" s="50">
        <v>44507.5926330671</v>
      </c>
      <c r="C2188" s="51">
        <v>1.013</v>
      </c>
      <c r="D2188" s="51">
        <v>64.0</v>
      </c>
      <c r="E2188" s="52" t="s">
        <v>25</v>
      </c>
      <c r="F2188" s="52" t="s">
        <v>26</v>
      </c>
      <c r="G2188" s="53"/>
    </row>
    <row r="2189">
      <c r="A2189" s="49">
        <v>44507.478096736115</v>
      </c>
      <c r="B2189" s="50">
        <v>44507.6030657638</v>
      </c>
      <c r="C2189" s="51">
        <v>1.013</v>
      </c>
      <c r="D2189" s="51">
        <v>64.0</v>
      </c>
      <c r="E2189" s="52" t="s">
        <v>25</v>
      </c>
      <c r="F2189" s="52" t="s">
        <v>26</v>
      </c>
      <c r="G2189" s="53"/>
    </row>
    <row r="2190">
      <c r="A2190" s="49">
        <v>44507.4885246875</v>
      </c>
      <c r="B2190" s="50">
        <v>44507.6134995023</v>
      </c>
      <c r="C2190" s="51">
        <v>1.013</v>
      </c>
      <c r="D2190" s="51">
        <v>64.0</v>
      </c>
      <c r="E2190" s="52" t="s">
        <v>25</v>
      </c>
      <c r="F2190" s="52" t="s">
        <v>26</v>
      </c>
      <c r="G2190" s="53"/>
    </row>
    <row r="2191">
      <c r="A2191" s="49">
        <v>44507.49896440972</v>
      </c>
      <c r="B2191" s="50">
        <v>44507.62393228</v>
      </c>
      <c r="C2191" s="51">
        <v>1.013</v>
      </c>
      <c r="D2191" s="51">
        <v>64.0</v>
      </c>
      <c r="E2191" s="52" t="s">
        <v>25</v>
      </c>
      <c r="F2191" s="52" t="s">
        <v>26</v>
      </c>
      <c r="G2191" s="53"/>
    </row>
    <row r="2192">
      <c r="A2192" s="49">
        <v>44507.50937482639</v>
      </c>
      <c r="B2192" s="50">
        <v>44507.6343526273</v>
      </c>
      <c r="C2192" s="51">
        <v>1.013</v>
      </c>
      <c r="D2192" s="51">
        <v>64.0</v>
      </c>
      <c r="E2192" s="52" t="s">
        <v>25</v>
      </c>
      <c r="F2192" s="52" t="s">
        <v>26</v>
      </c>
      <c r="G2192" s="53"/>
    </row>
    <row r="2193">
      <c r="A2193" s="49">
        <v>44507.519794988424</v>
      </c>
      <c r="B2193" s="50">
        <v>44507.6447724999</v>
      </c>
      <c r="C2193" s="51">
        <v>1.013</v>
      </c>
      <c r="D2193" s="51">
        <v>64.0</v>
      </c>
      <c r="E2193" s="52" t="s">
        <v>25</v>
      </c>
      <c r="F2193" s="52" t="s">
        <v>26</v>
      </c>
      <c r="G2193" s="53"/>
    </row>
    <row r="2194">
      <c r="A2194" s="49">
        <v>44507.5302283912</v>
      </c>
      <c r="B2194" s="50">
        <v>44507.6552043981</v>
      </c>
      <c r="C2194" s="51">
        <v>1.013</v>
      </c>
      <c r="D2194" s="51">
        <v>64.0</v>
      </c>
      <c r="E2194" s="52" t="s">
        <v>25</v>
      </c>
      <c r="F2194" s="52" t="s">
        <v>26</v>
      </c>
      <c r="G2194" s="53"/>
    </row>
    <row r="2195">
      <c r="A2195" s="49">
        <v>44507.5406631713</v>
      </c>
      <c r="B2195" s="50">
        <v>44507.6656371874</v>
      </c>
      <c r="C2195" s="51">
        <v>1.013</v>
      </c>
      <c r="D2195" s="51">
        <v>64.0</v>
      </c>
      <c r="E2195" s="52" t="s">
        <v>25</v>
      </c>
      <c r="F2195" s="52" t="s">
        <v>26</v>
      </c>
      <c r="G2195" s="53"/>
    </row>
    <row r="2196">
      <c r="A2196" s="49">
        <v>44507.551082569444</v>
      </c>
      <c r="B2196" s="50">
        <v>44507.6760589467</v>
      </c>
      <c r="C2196" s="51">
        <v>1.013</v>
      </c>
      <c r="D2196" s="51">
        <v>64.0</v>
      </c>
      <c r="E2196" s="52" t="s">
        <v>25</v>
      </c>
      <c r="F2196" s="52" t="s">
        <v>26</v>
      </c>
      <c r="G2196" s="53"/>
    </row>
    <row r="2197">
      <c r="A2197" s="49">
        <v>44507.561501944445</v>
      </c>
      <c r="B2197" s="50">
        <v>44507.686478912</v>
      </c>
      <c r="C2197" s="51">
        <v>1.013</v>
      </c>
      <c r="D2197" s="51">
        <v>64.0</v>
      </c>
      <c r="E2197" s="52" t="s">
        <v>25</v>
      </c>
      <c r="F2197" s="52" t="s">
        <v>26</v>
      </c>
      <c r="G2197" s="53"/>
    </row>
    <row r="2198">
      <c r="A2198" s="49">
        <v>44507.57192630787</v>
      </c>
      <c r="B2198" s="50">
        <v>44507.6968994328</v>
      </c>
      <c r="C2198" s="51">
        <v>1.013</v>
      </c>
      <c r="D2198" s="51">
        <v>65.0</v>
      </c>
      <c r="E2198" s="52" t="s">
        <v>25</v>
      </c>
      <c r="F2198" s="52" t="s">
        <v>26</v>
      </c>
      <c r="G2198" s="53"/>
    </row>
    <row r="2199">
      <c r="A2199" s="49">
        <v>44507.58234194445</v>
      </c>
      <c r="B2199" s="50">
        <v>44507.7073213888</v>
      </c>
      <c r="C2199" s="51">
        <v>1.013</v>
      </c>
      <c r="D2199" s="51">
        <v>64.0</v>
      </c>
      <c r="E2199" s="52" t="s">
        <v>25</v>
      </c>
      <c r="F2199" s="52" t="s">
        <v>26</v>
      </c>
      <c r="G2199" s="53"/>
    </row>
    <row r="2200">
      <c r="A2200" s="49">
        <v>44507.59276788194</v>
      </c>
      <c r="B2200" s="50">
        <v>44507.7177419328</v>
      </c>
      <c r="C2200" s="51">
        <v>1.013</v>
      </c>
      <c r="D2200" s="51">
        <v>64.0</v>
      </c>
      <c r="E2200" s="52" t="s">
        <v>25</v>
      </c>
      <c r="F2200" s="52" t="s">
        <v>26</v>
      </c>
      <c r="G2200" s="53"/>
    </row>
    <row r="2201">
      <c r="A2201" s="49">
        <v>44507.60318172454</v>
      </c>
      <c r="B2201" s="50">
        <v>44507.7281638078</v>
      </c>
      <c r="C2201" s="51">
        <v>1.013</v>
      </c>
      <c r="D2201" s="51">
        <v>64.0</v>
      </c>
      <c r="E2201" s="52" t="s">
        <v>25</v>
      </c>
      <c r="F2201" s="52" t="s">
        <v>26</v>
      </c>
      <c r="G2201" s="53"/>
    </row>
    <row r="2202">
      <c r="A2202" s="49">
        <v>44507.613612581015</v>
      </c>
      <c r="B2202" s="50">
        <v>44507.7385858449</v>
      </c>
      <c r="C2202" s="51">
        <v>1.013</v>
      </c>
      <c r="D2202" s="51">
        <v>64.0</v>
      </c>
      <c r="E2202" s="52" t="s">
        <v>25</v>
      </c>
      <c r="F2202" s="52" t="s">
        <v>26</v>
      </c>
      <c r="G2202" s="53"/>
    </row>
    <row r="2203">
      <c r="A2203" s="49">
        <v>44507.624035127315</v>
      </c>
      <c r="B2203" s="50">
        <v>44507.749007199</v>
      </c>
      <c r="C2203" s="51">
        <v>1.013</v>
      </c>
      <c r="D2203" s="51">
        <v>64.0</v>
      </c>
      <c r="E2203" s="52" t="s">
        <v>25</v>
      </c>
      <c r="F2203" s="52" t="s">
        <v>26</v>
      </c>
      <c r="G2203" s="53"/>
    </row>
    <row r="2204">
      <c r="A2204" s="49">
        <v>44507.63447118056</v>
      </c>
      <c r="B2204" s="50">
        <v>44507.7594401851</v>
      </c>
      <c r="C2204" s="51">
        <v>1.013</v>
      </c>
      <c r="D2204" s="51">
        <v>65.0</v>
      </c>
      <c r="E2204" s="52" t="s">
        <v>25</v>
      </c>
      <c r="F2204" s="52" t="s">
        <v>26</v>
      </c>
      <c r="G2204" s="53"/>
    </row>
    <row r="2205">
      <c r="A2205" s="49">
        <v>44507.644891909724</v>
      </c>
      <c r="B2205" s="50">
        <v>44507.7698620023</v>
      </c>
      <c r="C2205" s="51">
        <v>1.013</v>
      </c>
      <c r="D2205" s="51">
        <v>64.0</v>
      </c>
      <c r="E2205" s="52" t="s">
        <v>25</v>
      </c>
      <c r="F2205" s="52" t="s">
        <v>26</v>
      </c>
      <c r="G2205" s="53"/>
    </row>
    <row r="2206">
      <c r="A2206" s="49">
        <v>44507.65530012731</v>
      </c>
      <c r="B2206" s="50">
        <v>44507.7802834953</v>
      </c>
      <c r="C2206" s="51">
        <v>1.013</v>
      </c>
      <c r="D2206" s="51">
        <v>64.0</v>
      </c>
      <c r="E2206" s="52" t="s">
        <v>25</v>
      </c>
      <c r="F2206" s="52" t="s">
        <v>26</v>
      </c>
      <c r="G2206" s="53"/>
    </row>
    <row r="2207">
      <c r="A2207" s="49">
        <v>44507.66572575232</v>
      </c>
      <c r="B2207" s="50">
        <v>44507.7907045023</v>
      </c>
      <c r="C2207" s="51">
        <v>1.013</v>
      </c>
      <c r="D2207" s="51">
        <v>64.0</v>
      </c>
      <c r="E2207" s="52" t="s">
        <v>25</v>
      </c>
      <c r="F2207" s="52" t="s">
        <v>26</v>
      </c>
      <c r="G2207" s="53"/>
    </row>
    <row r="2208">
      <c r="A2208" s="49">
        <v>44507.67615194444</v>
      </c>
      <c r="B2208" s="50">
        <v>44507.8011266898</v>
      </c>
      <c r="C2208" s="51">
        <v>1.013</v>
      </c>
      <c r="D2208" s="51">
        <v>64.0</v>
      </c>
      <c r="E2208" s="52" t="s">
        <v>25</v>
      </c>
      <c r="F2208" s="52" t="s">
        <v>26</v>
      </c>
      <c r="G2208" s="53"/>
    </row>
    <row r="2209">
      <c r="A2209" s="49">
        <v>44507.686571342594</v>
      </c>
      <c r="B2209" s="50">
        <v>44507.8115498611</v>
      </c>
      <c r="C2209" s="51">
        <v>1.013</v>
      </c>
      <c r="D2209" s="51">
        <v>64.0</v>
      </c>
      <c r="E2209" s="52" t="s">
        <v>25</v>
      </c>
      <c r="F2209" s="52" t="s">
        <v>26</v>
      </c>
      <c r="G2209" s="53"/>
    </row>
    <row r="2210">
      <c r="A2210" s="49">
        <v>44507.69700355324</v>
      </c>
      <c r="B2210" s="50">
        <v>44507.8219728356</v>
      </c>
      <c r="C2210" s="51">
        <v>1.013</v>
      </c>
      <c r="D2210" s="51">
        <v>64.0</v>
      </c>
      <c r="E2210" s="52" t="s">
        <v>25</v>
      </c>
      <c r="F2210" s="52" t="s">
        <v>26</v>
      </c>
      <c r="G2210" s="53"/>
    </row>
    <row r="2211">
      <c r="A2211" s="49">
        <v>44507.70743206018</v>
      </c>
      <c r="B2211" s="50">
        <v>44507.8324066666</v>
      </c>
      <c r="C2211" s="51">
        <v>1.013</v>
      </c>
      <c r="D2211" s="51">
        <v>64.0</v>
      </c>
      <c r="E2211" s="52" t="s">
        <v>25</v>
      </c>
      <c r="F2211" s="52" t="s">
        <v>26</v>
      </c>
      <c r="G2211" s="53"/>
    </row>
    <row r="2212">
      <c r="A2212" s="49">
        <v>44507.71786445602</v>
      </c>
      <c r="B2212" s="50">
        <v>44507.8428390393</v>
      </c>
      <c r="C2212" s="51">
        <v>1.013</v>
      </c>
      <c r="D2212" s="51">
        <v>65.0</v>
      </c>
      <c r="E2212" s="52" t="s">
        <v>25</v>
      </c>
      <c r="F2212" s="52" t="s">
        <v>26</v>
      </c>
      <c r="G2212" s="53"/>
    </row>
    <row r="2213">
      <c r="A2213" s="49">
        <v>44507.7282841088</v>
      </c>
      <c r="B2213" s="50">
        <v>44507.8532585185</v>
      </c>
      <c r="C2213" s="51">
        <v>1.013</v>
      </c>
      <c r="D2213" s="51">
        <v>64.0</v>
      </c>
      <c r="E2213" s="52" t="s">
        <v>25</v>
      </c>
      <c r="F2213" s="52" t="s">
        <v>26</v>
      </c>
      <c r="G2213" s="53"/>
    </row>
    <row r="2214">
      <c r="A2214" s="49">
        <v>44507.738706504635</v>
      </c>
      <c r="B2214" s="50">
        <v>44507.8636788773</v>
      </c>
      <c r="C2214" s="51">
        <v>1.013</v>
      </c>
      <c r="D2214" s="51">
        <v>65.0</v>
      </c>
      <c r="E2214" s="52" t="s">
        <v>25</v>
      </c>
      <c r="F2214" s="52" t="s">
        <v>26</v>
      </c>
      <c r="G2214" s="53"/>
    </row>
    <row r="2215">
      <c r="A2215" s="49">
        <v>44507.74913013889</v>
      </c>
      <c r="B2215" s="50">
        <v>44507.8741000694</v>
      </c>
      <c r="C2215" s="51">
        <v>1.013</v>
      </c>
      <c r="D2215" s="51">
        <v>64.0</v>
      </c>
      <c r="E2215" s="52" t="s">
        <v>25</v>
      </c>
      <c r="F2215" s="52" t="s">
        <v>26</v>
      </c>
      <c r="G2215" s="53"/>
    </row>
    <row r="2216">
      <c r="A2216" s="49">
        <v>44507.75956305556</v>
      </c>
      <c r="B2216" s="50">
        <v>44507.8845342245</v>
      </c>
      <c r="C2216" s="51">
        <v>1.013</v>
      </c>
      <c r="D2216" s="51">
        <v>64.0</v>
      </c>
      <c r="E2216" s="52" t="s">
        <v>25</v>
      </c>
      <c r="F2216" s="52" t="s">
        <v>26</v>
      </c>
      <c r="G2216" s="53"/>
    </row>
    <row r="2217">
      <c r="A2217" s="49">
        <v>44507.770006122686</v>
      </c>
      <c r="B2217" s="50">
        <v>44507.8949660532</v>
      </c>
      <c r="C2217" s="51">
        <v>1.013</v>
      </c>
      <c r="D2217" s="51">
        <v>64.0</v>
      </c>
      <c r="E2217" s="52" t="s">
        <v>25</v>
      </c>
      <c r="F2217" s="52" t="s">
        <v>26</v>
      </c>
      <c r="G2217" s="53"/>
    </row>
    <row r="2218">
      <c r="A2218" s="49">
        <v>44507.780417974536</v>
      </c>
      <c r="B2218" s="50">
        <v>44507.9053889351</v>
      </c>
      <c r="C2218" s="51">
        <v>1.013</v>
      </c>
      <c r="D2218" s="51">
        <v>64.0</v>
      </c>
      <c r="E2218" s="52" t="s">
        <v>25</v>
      </c>
      <c r="F2218" s="52" t="s">
        <v>26</v>
      </c>
      <c r="G2218" s="53"/>
    </row>
    <row r="2219">
      <c r="A2219" s="49">
        <v>44507.790842476854</v>
      </c>
      <c r="B2219" s="50">
        <v>44507.9158090625</v>
      </c>
      <c r="C2219" s="51">
        <v>1.013</v>
      </c>
      <c r="D2219" s="51">
        <v>64.0</v>
      </c>
      <c r="E2219" s="52" t="s">
        <v>25</v>
      </c>
      <c r="F2219" s="52" t="s">
        <v>26</v>
      </c>
      <c r="G2219" s="53"/>
    </row>
    <row r="2220">
      <c r="A2220" s="49">
        <v>44507.80125564815</v>
      </c>
      <c r="B2220" s="50">
        <v>44507.9262305671</v>
      </c>
      <c r="C2220" s="51">
        <v>1.013</v>
      </c>
      <c r="D2220" s="51">
        <v>65.0</v>
      </c>
      <c r="E2220" s="52" t="s">
        <v>25</v>
      </c>
      <c r="F2220" s="52" t="s">
        <v>26</v>
      </c>
      <c r="G2220" s="53"/>
    </row>
    <row r="2221">
      <c r="A2221" s="49">
        <v>44507.81167086806</v>
      </c>
      <c r="B2221" s="50">
        <v>44507.9366520601</v>
      </c>
      <c r="C2221" s="51">
        <v>1.013</v>
      </c>
      <c r="D2221" s="51">
        <v>65.0</v>
      </c>
      <c r="E2221" s="52" t="s">
        <v>25</v>
      </c>
      <c r="F2221" s="52" t="s">
        <v>26</v>
      </c>
      <c r="G2221" s="53"/>
    </row>
    <row r="2222">
      <c r="A2222" s="49">
        <v>44507.8220996875</v>
      </c>
      <c r="B2222" s="50">
        <v>44507.9470712847</v>
      </c>
      <c r="C2222" s="51">
        <v>1.013</v>
      </c>
      <c r="D2222" s="51">
        <v>65.0</v>
      </c>
      <c r="E2222" s="52" t="s">
        <v>25</v>
      </c>
      <c r="F2222" s="52" t="s">
        <v>26</v>
      </c>
      <c r="G2222" s="53"/>
    </row>
    <row r="2223">
      <c r="A2223" s="49">
        <v>44507.83251810185</v>
      </c>
      <c r="B2223" s="50">
        <v>44507.9574934837</v>
      </c>
      <c r="C2223" s="51">
        <v>1.013</v>
      </c>
      <c r="D2223" s="51">
        <v>65.0</v>
      </c>
      <c r="E2223" s="52" t="s">
        <v>25</v>
      </c>
      <c r="F2223" s="52" t="s">
        <v>26</v>
      </c>
      <c r="G2223" s="53"/>
    </row>
    <row r="2224">
      <c r="A2224" s="49">
        <v>44507.84294104167</v>
      </c>
      <c r="B2224" s="50">
        <v>44507.9679165046</v>
      </c>
      <c r="C2224" s="51">
        <v>1.013</v>
      </c>
      <c r="D2224" s="51">
        <v>65.0</v>
      </c>
      <c r="E2224" s="52" t="s">
        <v>25</v>
      </c>
      <c r="F2224" s="52" t="s">
        <v>26</v>
      </c>
      <c r="G2224" s="53"/>
    </row>
    <row r="2225">
      <c r="A2225" s="49">
        <v>44507.853368321754</v>
      </c>
      <c r="B2225" s="50">
        <v>44507.9783474537</v>
      </c>
      <c r="C2225" s="51">
        <v>1.013</v>
      </c>
      <c r="D2225" s="51">
        <v>65.0</v>
      </c>
      <c r="E2225" s="52" t="s">
        <v>25</v>
      </c>
      <c r="F2225" s="52" t="s">
        <v>26</v>
      </c>
      <c r="G2225" s="53"/>
    </row>
    <row r="2226">
      <c r="A2226" s="49">
        <v>44507.863824942135</v>
      </c>
      <c r="B2226" s="50">
        <v>44507.9888028124</v>
      </c>
      <c r="C2226" s="51">
        <v>1.013</v>
      </c>
      <c r="D2226" s="51">
        <v>65.0</v>
      </c>
      <c r="E2226" s="52" t="s">
        <v>25</v>
      </c>
      <c r="F2226" s="52" t="s">
        <v>26</v>
      </c>
      <c r="G2226" s="53"/>
    </row>
    <row r="2227">
      <c r="A2227" s="49">
        <v>44507.87424449074</v>
      </c>
      <c r="B2227" s="50">
        <v>44507.9992248495</v>
      </c>
      <c r="C2227" s="51">
        <v>1.013</v>
      </c>
      <c r="D2227" s="51">
        <v>65.0</v>
      </c>
      <c r="E2227" s="52" t="s">
        <v>25</v>
      </c>
      <c r="F2227" s="52" t="s">
        <v>26</v>
      </c>
      <c r="G2227" s="53"/>
    </row>
    <row r="2228">
      <c r="A2228" s="49">
        <v>44507.884671527776</v>
      </c>
      <c r="B2228" s="50">
        <v>44508.0096455208</v>
      </c>
      <c r="C2228" s="51">
        <v>1.013</v>
      </c>
      <c r="D2228" s="51">
        <v>65.0</v>
      </c>
      <c r="E2228" s="52" t="s">
        <v>25</v>
      </c>
      <c r="F2228" s="52" t="s">
        <v>26</v>
      </c>
      <c r="G2228" s="53"/>
    </row>
    <row r="2229">
      <c r="A2229" s="49">
        <v>44507.89509710648</v>
      </c>
      <c r="B2229" s="50">
        <v>44508.0200674305</v>
      </c>
      <c r="C2229" s="51">
        <v>1.013</v>
      </c>
      <c r="D2229" s="51">
        <v>65.0</v>
      </c>
      <c r="E2229" s="52" t="s">
        <v>25</v>
      </c>
      <c r="F2229" s="52" t="s">
        <v>26</v>
      </c>
      <c r="G2229" s="53"/>
    </row>
    <row r="2230">
      <c r="A2230" s="49">
        <v>44507.9055191088</v>
      </c>
      <c r="B2230" s="50">
        <v>44508.0304885416</v>
      </c>
      <c r="C2230" s="51">
        <v>1.013</v>
      </c>
      <c r="D2230" s="51">
        <v>65.0</v>
      </c>
      <c r="E2230" s="52" t="s">
        <v>25</v>
      </c>
      <c r="F2230" s="52" t="s">
        <v>26</v>
      </c>
      <c r="G2230" s="53"/>
    </row>
    <row r="2231">
      <c r="A2231" s="49">
        <v>44507.91595190972</v>
      </c>
      <c r="B2231" s="50">
        <v>44508.0409208217</v>
      </c>
      <c r="C2231" s="51">
        <v>1.013</v>
      </c>
      <c r="D2231" s="51">
        <v>65.0</v>
      </c>
      <c r="E2231" s="52" t="s">
        <v>25</v>
      </c>
      <c r="F2231" s="52" t="s">
        <v>26</v>
      </c>
      <c r="G2231" s="53"/>
    </row>
    <row r="2232">
      <c r="A2232" s="49">
        <v>44507.92637208333</v>
      </c>
      <c r="B2232" s="50">
        <v>44508.0513427546</v>
      </c>
      <c r="C2232" s="51">
        <v>1.012</v>
      </c>
      <c r="D2232" s="51">
        <v>65.0</v>
      </c>
      <c r="E2232" s="52" t="s">
        <v>25</v>
      </c>
      <c r="F2232" s="52" t="s">
        <v>26</v>
      </c>
      <c r="G2232" s="53"/>
    </row>
    <row r="2233">
      <c r="A2233" s="49">
        <v>44507.93678564815</v>
      </c>
      <c r="B2233" s="50">
        <v>44508.061764456</v>
      </c>
      <c r="C2233" s="51">
        <v>1.013</v>
      </c>
      <c r="D2233" s="51">
        <v>64.0</v>
      </c>
      <c r="E2233" s="52" t="s">
        <v>25</v>
      </c>
      <c r="F2233" s="52" t="s">
        <v>26</v>
      </c>
      <c r="G2233" s="53"/>
    </row>
    <row r="2234">
      <c r="A2234" s="49">
        <v>44507.94722628473</v>
      </c>
      <c r="B2234" s="50">
        <v>44508.0721870023</v>
      </c>
      <c r="C2234" s="51">
        <v>1.013</v>
      </c>
      <c r="D2234" s="51">
        <v>65.0</v>
      </c>
      <c r="E2234" s="52" t="s">
        <v>25</v>
      </c>
      <c r="F2234" s="52" t="s">
        <v>26</v>
      </c>
      <c r="G2234" s="53"/>
    </row>
    <row r="2235">
      <c r="A2235" s="49">
        <v>44507.95767206018</v>
      </c>
      <c r="B2235" s="50">
        <v>44508.0826318634</v>
      </c>
      <c r="C2235" s="51">
        <v>1.013</v>
      </c>
      <c r="D2235" s="51">
        <v>65.0</v>
      </c>
      <c r="E2235" s="52" t="s">
        <v>25</v>
      </c>
      <c r="F2235" s="52" t="s">
        <v>26</v>
      </c>
      <c r="G2235" s="53"/>
    </row>
    <row r="2236">
      <c r="A2236" s="49">
        <v>44507.96807832176</v>
      </c>
      <c r="B2236" s="50">
        <v>44508.09305375</v>
      </c>
      <c r="C2236" s="51">
        <v>1.013</v>
      </c>
      <c r="D2236" s="51">
        <v>65.0</v>
      </c>
      <c r="E2236" s="52" t="s">
        <v>25</v>
      </c>
      <c r="F2236" s="52" t="s">
        <v>26</v>
      </c>
      <c r="G2236" s="53"/>
    </row>
    <row r="2237">
      <c r="A2237" s="49">
        <v>44507.9785003125</v>
      </c>
      <c r="B2237" s="50">
        <v>44508.1034737152</v>
      </c>
      <c r="C2237" s="51">
        <v>1.013</v>
      </c>
      <c r="D2237" s="51">
        <v>64.0</v>
      </c>
      <c r="E2237" s="52" t="s">
        <v>25</v>
      </c>
      <c r="F2237" s="52" t="s">
        <v>26</v>
      </c>
      <c r="G2237" s="53"/>
    </row>
    <row r="2238">
      <c r="A2238" s="49">
        <v>44507.988918020834</v>
      </c>
      <c r="B2238" s="50">
        <v>44508.1138931249</v>
      </c>
      <c r="C2238" s="51">
        <v>1.013</v>
      </c>
      <c r="D2238" s="51">
        <v>65.0</v>
      </c>
      <c r="E2238" s="52" t="s">
        <v>25</v>
      </c>
      <c r="F2238" s="52" t="s">
        <v>26</v>
      </c>
      <c r="G2238" s="53"/>
    </row>
    <row r="2239">
      <c r="A2239" s="49">
        <v>44507.99938112269</v>
      </c>
      <c r="B2239" s="50">
        <v>44508.1243273495</v>
      </c>
      <c r="C2239" s="51">
        <v>1.013</v>
      </c>
      <c r="D2239" s="51">
        <v>64.0</v>
      </c>
      <c r="E2239" s="52" t="s">
        <v>25</v>
      </c>
      <c r="F2239" s="52" t="s">
        <v>26</v>
      </c>
      <c r="G2239" s="53"/>
    </row>
    <row r="2240">
      <c r="A2240" s="49">
        <v>44508.009784594906</v>
      </c>
      <c r="B2240" s="50">
        <v>44508.13474728</v>
      </c>
      <c r="C2240" s="51">
        <v>1.013</v>
      </c>
      <c r="D2240" s="51">
        <v>64.0</v>
      </c>
      <c r="E2240" s="52" t="s">
        <v>25</v>
      </c>
      <c r="F2240" s="52" t="s">
        <v>26</v>
      </c>
      <c r="G2240" s="53"/>
    </row>
    <row r="2241">
      <c r="A2241" s="49">
        <v>44508.020204942135</v>
      </c>
      <c r="B2241" s="50">
        <v>44508.1451696064</v>
      </c>
      <c r="C2241" s="51">
        <v>1.013</v>
      </c>
      <c r="D2241" s="51">
        <v>64.0</v>
      </c>
      <c r="E2241" s="52" t="s">
        <v>25</v>
      </c>
      <c r="F2241" s="52" t="s">
        <v>26</v>
      </c>
      <c r="G2241" s="53"/>
    </row>
    <row r="2242">
      <c r="A2242" s="49">
        <v>44508.03061548611</v>
      </c>
      <c r="B2242" s="50">
        <v>44508.1555915625</v>
      </c>
      <c r="C2242" s="51">
        <v>1.013</v>
      </c>
      <c r="D2242" s="51">
        <v>64.0</v>
      </c>
      <c r="E2242" s="52" t="s">
        <v>25</v>
      </c>
      <c r="F2242" s="52" t="s">
        <v>26</v>
      </c>
      <c r="G2242" s="53"/>
    </row>
    <row r="2243">
      <c r="A2243" s="49">
        <v>44508.04103962963</v>
      </c>
      <c r="B2243" s="50">
        <v>44508.1660125925</v>
      </c>
      <c r="C2243" s="51">
        <v>1.013</v>
      </c>
      <c r="D2243" s="51">
        <v>64.0</v>
      </c>
      <c r="E2243" s="52" t="s">
        <v>25</v>
      </c>
      <c r="F2243" s="52" t="s">
        <v>26</v>
      </c>
      <c r="G2243" s="53"/>
    </row>
    <row r="2244">
      <c r="A2244" s="49">
        <v>44508.06190559028</v>
      </c>
      <c r="B2244" s="50">
        <v>44508.1868679861</v>
      </c>
      <c r="C2244" s="51">
        <v>1.013</v>
      </c>
      <c r="D2244" s="51">
        <v>64.0</v>
      </c>
      <c r="E2244" s="52" t="s">
        <v>25</v>
      </c>
      <c r="F2244" s="52" t="s">
        <v>26</v>
      </c>
      <c r="G2244" s="53"/>
    </row>
    <row r="2245">
      <c r="A2245" s="49">
        <v>44508.07231988426</v>
      </c>
      <c r="B2245" s="50">
        <v>44508.1972898611</v>
      </c>
      <c r="C2245" s="51">
        <v>1.013</v>
      </c>
      <c r="D2245" s="51">
        <v>64.0</v>
      </c>
      <c r="E2245" s="52" t="s">
        <v>25</v>
      </c>
      <c r="F2245" s="52" t="s">
        <v>26</v>
      </c>
      <c r="G2245" s="53"/>
    </row>
    <row r="2246">
      <c r="A2246" s="49">
        <v>44508.082731319446</v>
      </c>
      <c r="B2246" s="50">
        <v>44508.2077112152</v>
      </c>
      <c r="C2246" s="51">
        <v>1.013</v>
      </c>
      <c r="D2246" s="51">
        <v>64.0</v>
      </c>
      <c r="E2246" s="52" t="s">
        <v>25</v>
      </c>
      <c r="F2246" s="52" t="s">
        <v>26</v>
      </c>
      <c r="G2246" s="53"/>
    </row>
    <row r="2247">
      <c r="A2247" s="49">
        <v>44508.09317028935</v>
      </c>
      <c r="B2247" s="50">
        <v>44508.2181447685</v>
      </c>
      <c r="C2247" s="51">
        <v>1.013</v>
      </c>
      <c r="D2247" s="51">
        <v>64.0</v>
      </c>
      <c r="E2247" s="52" t="s">
        <v>25</v>
      </c>
      <c r="F2247" s="52" t="s">
        <v>26</v>
      </c>
      <c r="G2247" s="53"/>
    </row>
    <row r="2248">
      <c r="A2248" s="49">
        <v>44508.10360307871</v>
      </c>
      <c r="B2248" s="50">
        <v>44508.228567037</v>
      </c>
      <c r="C2248" s="51">
        <v>1.013</v>
      </c>
      <c r="D2248" s="51">
        <v>64.0</v>
      </c>
      <c r="E2248" s="52" t="s">
        <v>25</v>
      </c>
      <c r="F2248" s="52" t="s">
        <v>26</v>
      </c>
      <c r="G2248" s="53"/>
    </row>
    <row r="2249">
      <c r="A2249" s="49">
        <v>44508.11402324074</v>
      </c>
      <c r="B2249" s="50">
        <v>44508.2389878472</v>
      </c>
      <c r="C2249" s="51">
        <v>1.013</v>
      </c>
      <c r="D2249" s="51">
        <v>64.0</v>
      </c>
      <c r="E2249" s="52" t="s">
        <v>25</v>
      </c>
      <c r="F2249" s="52" t="s">
        <v>26</v>
      </c>
      <c r="G2249" s="53"/>
    </row>
    <row r="2250">
      <c r="A2250" s="49">
        <v>44508.124440162035</v>
      </c>
      <c r="B2250" s="50">
        <v>44508.2494086342</v>
      </c>
      <c r="C2250" s="51">
        <v>1.013</v>
      </c>
      <c r="D2250" s="51">
        <v>64.0</v>
      </c>
      <c r="E2250" s="52" t="s">
        <v>25</v>
      </c>
      <c r="F2250" s="52" t="s">
        <v>26</v>
      </c>
      <c r="G2250" s="53"/>
    </row>
    <row r="2251">
      <c r="A2251" s="49">
        <v>44508.134870277776</v>
      </c>
      <c r="B2251" s="50">
        <v>44508.2598392013</v>
      </c>
      <c r="C2251" s="51">
        <v>1.013</v>
      </c>
      <c r="D2251" s="51">
        <v>64.0</v>
      </c>
      <c r="E2251" s="52" t="s">
        <v>25</v>
      </c>
      <c r="F2251" s="52" t="s">
        <v>26</v>
      </c>
      <c r="G2251" s="53"/>
    </row>
    <row r="2252">
      <c r="A2252" s="49">
        <v>44508.14531258102</v>
      </c>
      <c r="B2252" s="50">
        <v>44508.2702831481</v>
      </c>
      <c r="C2252" s="51">
        <v>1.013</v>
      </c>
      <c r="D2252" s="51">
        <v>64.0</v>
      </c>
      <c r="E2252" s="52" t="s">
        <v>25</v>
      </c>
      <c r="F2252" s="52" t="s">
        <v>26</v>
      </c>
      <c r="G2252" s="53"/>
    </row>
    <row r="2253">
      <c r="A2253" s="49">
        <v>44508.155738217596</v>
      </c>
      <c r="B2253" s="50">
        <v>44508.2807068865</v>
      </c>
      <c r="C2253" s="51">
        <v>1.013</v>
      </c>
      <c r="D2253" s="51">
        <v>64.0</v>
      </c>
      <c r="E2253" s="52" t="s">
        <v>25</v>
      </c>
      <c r="F2253" s="52" t="s">
        <v>26</v>
      </c>
      <c r="G2253" s="53"/>
    </row>
    <row r="2254">
      <c r="A2254" s="49">
        <v>44508.166156886575</v>
      </c>
      <c r="B2254" s="50">
        <v>44508.2911275694</v>
      </c>
      <c r="C2254" s="51">
        <v>1.013</v>
      </c>
      <c r="D2254" s="51">
        <v>64.0</v>
      </c>
      <c r="E2254" s="52" t="s">
        <v>25</v>
      </c>
      <c r="F2254" s="52" t="s">
        <v>26</v>
      </c>
      <c r="G2254" s="53"/>
    </row>
    <row r="2255">
      <c r="A2255" s="49">
        <v>44508.17659508102</v>
      </c>
      <c r="B2255" s="50">
        <v>44508.3015489004</v>
      </c>
      <c r="C2255" s="51">
        <v>1.013</v>
      </c>
      <c r="D2255" s="51">
        <v>64.0</v>
      </c>
      <c r="E2255" s="52" t="s">
        <v>25</v>
      </c>
      <c r="F2255" s="52" t="s">
        <v>26</v>
      </c>
      <c r="G2255" s="53"/>
    </row>
    <row r="2256">
      <c r="A2256" s="49">
        <v>44508.18700005787</v>
      </c>
      <c r="B2256" s="50">
        <v>44508.3119699305</v>
      </c>
      <c r="C2256" s="51">
        <v>1.013</v>
      </c>
      <c r="D2256" s="51">
        <v>64.0</v>
      </c>
      <c r="E2256" s="52" t="s">
        <v>25</v>
      </c>
      <c r="F2256" s="52" t="s">
        <v>26</v>
      </c>
      <c r="G2256" s="53"/>
    </row>
    <row r="2257">
      <c r="A2257" s="49">
        <v>44508.1974162963</v>
      </c>
      <c r="B2257" s="50">
        <v>44508.3223897222</v>
      </c>
      <c r="C2257" s="51">
        <v>1.013</v>
      </c>
      <c r="D2257" s="51">
        <v>64.0</v>
      </c>
      <c r="E2257" s="52" t="s">
        <v>25</v>
      </c>
      <c r="F2257" s="52" t="s">
        <v>26</v>
      </c>
      <c r="G2257" s="53"/>
    </row>
    <row r="2258">
      <c r="A2258" s="49">
        <v>44508.20784747685</v>
      </c>
      <c r="B2258" s="50">
        <v>44508.3328122685</v>
      </c>
      <c r="C2258" s="51">
        <v>1.013</v>
      </c>
      <c r="D2258" s="51">
        <v>64.0</v>
      </c>
      <c r="E2258" s="52" t="s">
        <v>25</v>
      </c>
      <c r="F2258" s="52" t="s">
        <v>26</v>
      </c>
      <c r="G2258" s="53"/>
    </row>
    <row r="2259">
      <c r="A2259" s="49">
        <v>44508.21827052083</v>
      </c>
      <c r="B2259" s="50">
        <v>44508.3432322453</v>
      </c>
      <c r="C2259" s="51">
        <v>1.013</v>
      </c>
      <c r="D2259" s="51">
        <v>64.0</v>
      </c>
      <c r="E2259" s="52" t="s">
        <v>25</v>
      </c>
      <c r="F2259" s="52" t="s">
        <v>26</v>
      </c>
      <c r="G2259" s="53"/>
    </row>
    <row r="2260">
      <c r="A2260" s="49">
        <v>44508.228708009265</v>
      </c>
      <c r="B2260" s="50">
        <v>44508.353664375</v>
      </c>
      <c r="C2260" s="51">
        <v>1.013</v>
      </c>
      <c r="D2260" s="51">
        <v>65.0</v>
      </c>
      <c r="E2260" s="52" t="s">
        <v>25</v>
      </c>
      <c r="F2260" s="52" t="s">
        <v>26</v>
      </c>
      <c r="G2260" s="53"/>
    </row>
    <row r="2261">
      <c r="A2261" s="49">
        <v>44508.23912561343</v>
      </c>
      <c r="B2261" s="50">
        <v>44508.364085324</v>
      </c>
      <c r="C2261" s="51">
        <v>1.013</v>
      </c>
      <c r="D2261" s="51">
        <v>64.0</v>
      </c>
      <c r="E2261" s="52" t="s">
        <v>25</v>
      </c>
      <c r="F2261" s="52" t="s">
        <v>26</v>
      </c>
      <c r="G2261" s="53"/>
    </row>
    <row r="2262">
      <c r="A2262" s="49">
        <v>44508.249622268515</v>
      </c>
      <c r="B2262" s="50">
        <v>44508.3745090509</v>
      </c>
      <c r="C2262" s="51">
        <v>1.013</v>
      </c>
      <c r="D2262" s="51">
        <v>64.0</v>
      </c>
      <c r="E2262" s="52" t="s">
        <v>25</v>
      </c>
      <c r="F2262" s="52" t="s">
        <v>26</v>
      </c>
      <c r="G2262" s="53"/>
    </row>
    <row r="2263">
      <c r="A2263" s="49">
        <v>44508.259972395834</v>
      </c>
      <c r="B2263" s="50">
        <v>44508.3849305439</v>
      </c>
      <c r="C2263" s="51">
        <v>1.013</v>
      </c>
      <c r="D2263" s="51">
        <v>64.0</v>
      </c>
      <c r="E2263" s="52" t="s">
        <v>25</v>
      </c>
      <c r="F2263" s="52" t="s">
        <v>26</v>
      </c>
      <c r="G2263" s="53"/>
    </row>
    <row r="2264">
      <c r="A2264" s="49">
        <v>44508.27043104167</v>
      </c>
      <c r="B2264" s="50">
        <v>44508.3953626157</v>
      </c>
      <c r="C2264" s="51">
        <v>1.013</v>
      </c>
      <c r="D2264" s="51">
        <v>64.0</v>
      </c>
      <c r="E2264" s="52" t="s">
        <v>25</v>
      </c>
      <c r="F2264" s="52" t="s">
        <v>26</v>
      </c>
      <c r="G2264" s="53"/>
    </row>
    <row r="2265">
      <c r="A2265" s="49">
        <v>44508.28082302083</v>
      </c>
      <c r="B2265" s="50">
        <v>44508.4057851041</v>
      </c>
      <c r="C2265" s="51">
        <v>1.013</v>
      </c>
      <c r="D2265" s="51">
        <v>64.0</v>
      </c>
      <c r="E2265" s="52" t="s">
        <v>25</v>
      </c>
      <c r="F2265" s="52" t="s">
        <v>26</v>
      </c>
      <c r="G2265" s="53"/>
    </row>
    <row r="2266">
      <c r="A2266" s="49">
        <v>44508.29128931713</v>
      </c>
      <c r="B2266" s="50">
        <v>44508.4162177662</v>
      </c>
      <c r="C2266" s="51">
        <v>1.013</v>
      </c>
      <c r="D2266" s="51">
        <v>64.0</v>
      </c>
      <c r="E2266" s="52" t="s">
        <v>25</v>
      </c>
      <c r="F2266" s="52" t="s">
        <v>26</v>
      </c>
      <c r="G2266" s="53"/>
    </row>
    <row r="2267">
      <c r="A2267" s="49">
        <v>44508.30172137731</v>
      </c>
      <c r="B2267" s="50">
        <v>44508.4266391435</v>
      </c>
      <c r="C2267" s="51">
        <v>1.013</v>
      </c>
      <c r="D2267" s="51">
        <v>64.0</v>
      </c>
      <c r="E2267" s="52" t="s">
        <v>25</v>
      </c>
      <c r="F2267" s="52" t="s">
        <v>26</v>
      </c>
      <c r="G2267" s="53"/>
    </row>
    <row r="2268">
      <c r="A2268" s="49">
        <v>44508.31237053241</v>
      </c>
      <c r="B2268" s="50">
        <v>44508.4370737731</v>
      </c>
      <c r="C2268" s="51">
        <v>1.013</v>
      </c>
      <c r="D2268" s="51">
        <v>64.0</v>
      </c>
      <c r="E2268" s="52" t="s">
        <v>25</v>
      </c>
      <c r="F2268" s="52" t="s">
        <v>26</v>
      </c>
      <c r="G2268" s="53"/>
    </row>
    <row r="2269">
      <c r="A2269" s="49">
        <v>44508.32258195602</v>
      </c>
      <c r="B2269" s="50">
        <v>44508.4474960995</v>
      </c>
      <c r="C2269" s="51">
        <v>1.013</v>
      </c>
      <c r="D2269" s="51">
        <v>64.0</v>
      </c>
      <c r="E2269" s="52" t="s">
        <v>25</v>
      </c>
      <c r="F2269" s="52" t="s">
        <v>26</v>
      </c>
      <c r="G2269" s="53"/>
    </row>
    <row r="2270">
      <c r="A2270" s="49">
        <v>44508.33297258102</v>
      </c>
      <c r="B2270" s="50">
        <v>44508.457917581</v>
      </c>
      <c r="C2270" s="51">
        <v>1.013</v>
      </c>
      <c r="D2270" s="51">
        <v>64.0</v>
      </c>
      <c r="E2270" s="52" t="s">
        <v>25</v>
      </c>
      <c r="F2270" s="52" t="s">
        <v>26</v>
      </c>
      <c r="G2270" s="53"/>
    </row>
    <row r="2271">
      <c r="A2271" s="49">
        <v>44508.34338559028</v>
      </c>
      <c r="B2271" s="50">
        <v>44508.4683516203</v>
      </c>
      <c r="C2271" s="51">
        <v>1.013</v>
      </c>
      <c r="D2271" s="51">
        <v>64.0</v>
      </c>
      <c r="E2271" s="52" t="s">
        <v>25</v>
      </c>
      <c r="F2271" s="52" t="s">
        <v>26</v>
      </c>
      <c r="G2271" s="53"/>
    </row>
    <row r="2272">
      <c r="A2272" s="49">
        <v>44508.353806377316</v>
      </c>
      <c r="B2272" s="50">
        <v>44508.4787727546</v>
      </c>
      <c r="C2272" s="51">
        <v>1.013</v>
      </c>
      <c r="D2272" s="51">
        <v>64.0</v>
      </c>
      <c r="E2272" s="52" t="s">
        <v>25</v>
      </c>
      <c r="F2272" s="52" t="s">
        <v>26</v>
      </c>
      <c r="G2272" s="53"/>
    </row>
    <row r="2273">
      <c r="A2273" s="49">
        <v>44508.364248541664</v>
      </c>
      <c r="B2273" s="50">
        <v>44508.4891943402</v>
      </c>
      <c r="C2273" s="51">
        <v>1.013</v>
      </c>
      <c r="D2273" s="51">
        <v>65.0</v>
      </c>
      <c r="E2273" s="52" t="s">
        <v>25</v>
      </c>
      <c r="F2273" s="52" t="s">
        <v>26</v>
      </c>
      <c r="G2273" s="53"/>
    </row>
    <row r="2274">
      <c r="A2274" s="49">
        <v>44508.3746541088</v>
      </c>
      <c r="B2274" s="50">
        <v>44508.4996149652</v>
      </c>
      <c r="C2274" s="51">
        <v>1.013</v>
      </c>
      <c r="D2274" s="51">
        <v>65.0</v>
      </c>
      <c r="E2274" s="52" t="s">
        <v>25</v>
      </c>
      <c r="F2274" s="52" t="s">
        <v>26</v>
      </c>
      <c r="G2274" s="53"/>
    </row>
    <row r="2275">
      <c r="A2275" s="49">
        <v>44508.38509814815</v>
      </c>
      <c r="B2275" s="50">
        <v>44508.5100592939</v>
      </c>
      <c r="C2275" s="51">
        <v>1.013</v>
      </c>
      <c r="D2275" s="51">
        <v>64.0</v>
      </c>
      <c r="E2275" s="52" t="s">
        <v>25</v>
      </c>
      <c r="F2275" s="52" t="s">
        <v>26</v>
      </c>
      <c r="G2275" s="53"/>
    </row>
    <row r="2276">
      <c r="A2276" s="49">
        <v>44508.3955324537</v>
      </c>
      <c r="B2276" s="50">
        <v>44508.520492118</v>
      </c>
      <c r="C2276" s="51">
        <v>1.013</v>
      </c>
      <c r="D2276" s="51">
        <v>64.0</v>
      </c>
      <c r="E2276" s="52" t="s">
        <v>25</v>
      </c>
      <c r="F2276" s="52" t="s">
        <v>26</v>
      </c>
      <c r="G2276" s="53"/>
    </row>
    <row r="2277">
      <c r="A2277" s="49">
        <v>44508.40603037037</v>
      </c>
      <c r="B2277" s="50">
        <v>44508.5309484027</v>
      </c>
      <c r="C2277" s="51">
        <v>1.013</v>
      </c>
      <c r="D2277" s="51">
        <v>64.0</v>
      </c>
      <c r="E2277" s="52" t="s">
        <v>25</v>
      </c>
      <c r="F2277" s="52" t="s">
        <v>26</v>
      </c>
      <c r="G2277" s="53"/>
    </row>
    <row r="2278">
      <c r="A2278" s="49">
        <v>44508.416430972225</v>
      </c>
      <c r="B2278" s="50">
        <v>44508.5413702777</v>
      </c>
      <c r="C2278" s="51">
        <v>1.013</v>
      </c>
      <c r="D2278" s="51">
        <v>64.0</v>
      </c>
      <c r="E2278" s="52" t="s">
        <v>25</v>
      </c>
      <c r="F2278" s="52" t="s">
        <v>26</v>
      </c>
      <c r="G2278" s="53"/>
    </row>
    <row r="2279">
      <c r="A2279" s="49">
        <v>44508.42681916666</v>
      </c>
      <c r="B2279" s="50">
        <v>44508.551789375</v>
      </c>
      <c r="C2279" s="51">
        <v>1.013</v>
      </c>
      <c r="D2279" s="51">
        <v>64.0</v>
      </c>
      <c r="E2279" s="52" t="s">
        <v>25</v>
      </c>
      <c r="F2279" s="52" t="s">
        <v>26</v>
      </c>
      <c r="G2279" s="53"/>
    </row>
    <row r="2280">
      <c r="A2280" s="49">
        <v>44508.43729809028</v>
      </c>
      <c r="B2280" s="50">
        <v>44508.5622090046</v>
      </c>
      <c r="C2280" s="51">
        <v>1.013</v>
      </c>
      <c r="D2280" s="51">
        <v>64.0</v>
      </c>
      <c r="E2280" s="52" t="s">
        <v>25</v>
      </c>
      <c r="F2280" s="52" t="s">
        <v>26</v>
      </c>
      <c r="G2280" s="53"/>
    </row>
    <row r="2281">
      <c r="A2281" s="49">
        <v>44508.44766090278</v>
      </c>
      <c r="B2281" s="50">
        <v>44508.5726295601</v>
      </c>
      <c r="C2281" s="51">
        <v>1.013</v>
      </c>
      <c r="D2281" s="51">
        <v>64.0</v>
      </c>
      <c r="E2281" s="52" t="s">
        <v>25</v>
      </c>
      <c r="F2281" s="52" t="s">
        <v>26</v>
      </c>
      <c r="G2281" s="53"/>
    </row>
    <row r="2282">
      <c r="A2282" s="49">
        <v>44508.45807840278</v>
      </c>
      <c r="B2282" s="50">
        <v>44508.5830494444</v>
      </c>
      <c r="C2282" s="51">
        <v>1.013</v>
      </c>
      <c r="D2282" s="51">
        <v>64.0</v>
      </c>
      <c r="E2282" s="52" t="s">
        <v>25</v>
      </c>
      <c r="F2282" s="52" t="s">
        <v>26</v>
      </c>
      <c r="G2282" s="53"/>
    </row>
    <row r="2283">
      <c r="A2283" s="49">
        <v>44508.468527476856</v>
      </c>
      <c r="B2283" s="50">
        <v>44508.5934928703</v>
      </c>
      <c r="C2283" s="51">
        <v>1.013</v>
      </c>
      <c r="D2283" s="51">
        <v>64.0</v>
      </c>
      <c r="E2283" s="52" t="s">
        <v>25</v>
      </c>
      <c r="F2283" s="52" t="s">
        <v>26</v>
      </c>
      <c r="G2283" s="53"/>
    </row>
    <row r="2284">
      <c r="A2284" s="49">
        <v>44508.47898866898</v>
      </c>
      <c r="B2284" s="50">
        <v>44508.6039142013</v>
      </c>
      <c r="C2284" s="51">
        <v>1.013</v>
      </c>
      <c r="D2284" s="51">
        <v>64.0</v>
      </c>
      <c r="E2284" s="52" t="s">
        <v>25</v>
      </c>
      <c r="F2284" s="52" t="s">
        <v>26</v>
      </c>
      <c r="G2284" s="53"/>
    </row>
    <row r="2285">
      <c r="A2285" s="49">
        <v>44508.4893749537</v>
      </c>
      <c r="B2285" s="50">
        <v>44508.614348206</v>
      </c>
      <c r="C2285" s="51">
        <v>1.013</v>
      </c>
      <c r="D2285" s="51">
        <v>64.0</v>
      </c>
      <c r="E2285" s="52" t="s">
        <v>25</v>
      </c>
      <c r="F2285" s="52" t="s">
        <v>26</v>
      </c>
      <c r="G2285" s="53"/>
    </row>
    <row r="2286">
      <c r="A2286" s="49">
        <v>44508.499852650464</v>
      </c>
      <c r="B2286" s="50">
        <v>44508.6247698032</v>
      </c>
      <c r="C2286" s="51">
        <v>1.013</v>
      </c>
      <c r="D2286" s="51">
        <v>64.0</v>
      </c>
      <c r="E2286" s="52" t="s">
        <v>25</v>
      </c>
      <c r="F2286" s="52" t="s">
        <v>26</v>
      </c>
      <c r="G2286" s="53"/>
    </row>
    <row r="2287">
      <c r="A2287" s="49">
        <v>44508.51025994213</v>
      </c>
      <c r="B2287" s="50">
        <v>44508.6351911226</v>
      </c>
      <c r="C2287" s="51">
        <v>1.013</v>
      </c>
      <c r="D2287" s="51">
        <v>64.0</v>
      </c>
      <c r="E2287" s="52" t="s">
        <v>25</v>
      </c>
      <c r="F2287" s="52" t="s">
        <v>26</v>
      </c>
      <c r="G2287" s="53"/>
    </row>
    <row r="2288">
      <c r="A2288" s="49">
        <v>44508.520647060184</v>
      </c>
      <c r="B2288" s="50">
        <v>44508.6456111458</v>
      </c>
      <c r="C2288" s="51">
        <v>1.013</v>
      </c>
      <c r="D2288" s="51">
        <v>64.0</v>
      </c>
      <c r="E2288" s="52" t="s">
        <v>25</v>
      </c>
      <c r="F2288" s="52" t="s">
        <v>26</v>
      </c>
      <c r="G2288" s="53"/>
    </row>
    <row r="2289">
      <c r="A2289" s="49">
        <v>44508.531077638894</v>
      </c>
      <c r="B2289" s="50">
        <v>44508.6560421759</v>
      </c>
      <c r="C2289" s="51">
        <v>1.013</v>
      </c>
      <c r="D2289" s="51">
        <v>64.0</v>
      </c>
      <c r="E2289" s="52" t="s">
        <v>25</v>
      </c>
      <c r="F2289" s="52" t="s">
        <v>26</v>
      </c>
      <c r="G2289" s="53"/>
    </row>
    <row r="2290">
      <c r="A2290" s="49">
        <v>44508.54149693287</v>
      </c>
      <c r="B2290" s="50">
        <v>44508.666463831</v>
      </c>
      <c r="C2290" s="51">
        <v>1.013</v>
      </c>
      <c r="D2290" s="51">
        <v>64.0</v>
      </c>
      <c r="E2290" s="52" t="s">
        <v>25</v>
      </c>
      <c r="F2290" s="52" t="s">
        <v>26</v>
      </c>
      <c r="G2290" s="53"/>
    </row>
    <row r="2291">
      <c r="A2291" s="49">
        <v>44508.551920625</v>
      </c>
      <c r="B2291" s="50">
        <v>44508.6768849074</v>
      </c>
      <c r="C2291" s="51">
        <v>1.013</v>
      </c>
      <c r="D2291" s="51">
        <v>64.0</v>
      </c>
      <c r="E2291" s="52" t="s">
        <v>25</v>
      </c>
      <c r="F2291" s="52" t="s">
        <v>26</v>
      </c>
      <c r="G2291" s="53"/>
    </row>
    <row r="2292">
      <c r="A2292" s="49">
        <v>44508.56239056713</v>
      </c>
      <c r="B2292" s="50">
        <v>44508.6873041319</v>
      </c>
      <c r="C2292" s="51">
        <v>1.013</v>
      </c>
      <c r="D2292" s="51">
        <v>64.0</v>
      </c>
      <c r="E2292" s="52" t="s">
        <v>25</v>
      </c>
      <c r="F2292" s="52" t="s">
        <v>26</v>
      </c>
      <c r="G2292" s="53"/>
    </row>
    <row r="2293">
      <c r="A2293" s="49">
        <v>44508.57276871528</v>
      </c>
      <c r="B2293" s="50">
        <v>44508.6977374305</v>
      </c>
      <c r="C2293" s="51">
        <v>1.013</v>
      </c>
      <c r="D2293" s="51">
        <v>64.0</v>
      </c>
      <c r="E2293" s="52" t="s">
        <v>25</v>
      </c>
      <c r="F2293" s="52" t="s">
        <v>26</v>
      </c>
      <c r="G2293" s="53"/>
    </row>
    <row r="2294">
      <c r="A2294" s="49">
        <v>44508.583197361106</v>
      </c>
      <c r="B2294" s="50">
        <v>44508.7081589236</v>
      </c>
      <c r="C2294" s="51">
        <v>1.013</v>
      </c>
      <c r="D2294" s="51">
        <v>64.0</v>
      </c>
      <c r="E2294" s="52" t="s">
        <v>25</v>
      </c>
      <c r="F2294" s="52" t="s">
        <v>26</v>
      </c>
      <c r="G2294" s="53"/>
    </row>
    <row r="2295">
      <c r="A2295" s="49">
        <v>44508.593626747686</v>
      </c>
      <c r="B2295" s="50">
        <v>44508.718590324</v>
      </c>
      <c r="C2295" s="51">
        <v>1.013</v>
      </c>
      <c r="D2295" s="51">
        <v>64.0</v>
      </c>
      <c r="E2295" s="52" t="s">
        <v>25</v>
      </c>
      <c r="F2295" s="52" t="s">
        <v>26</v>
      </c>
      <c r="G2295" s="53"/>
    </row>
    <row r="2296">
      <c r="A2296" s="49">
        <v>44508.60403747685</v>
      </c>
      <c r="B2296" s="50">
        <v>44508.7290130902</v>
      </c>
      <c r="C2296" s="51">
        <v>1.013</v>
      </c>
      <c r="D2296" s="51">
        <v>64.0</v>
      </c>
      <c r="E2296" s="52" t="s">
        <v>25</v>
      </c>
      <c r="F2296" s="52" t="s">
        <v>26</v>
      </c>
      <c r="G2296" s="53"/>
    </row>
    <row r="2297">
      <c r="A2297" s="49">
        <v>44508.614459432865</v>
      </c>
      <c r="B2297" s="50">
        <v>44508.7394326851</v>
      </c>
      <c r="C2297" s="51">
        <v>1.013</v>
      </c>
      <c r="D2297" s="51">
        <v>64.0</v>
      </c>
      <c r="E2297" s="52" t="s">
        <v>25</v>
      </c>
      <c r="F2297" s="52" t="s">
        <v>26</v>
      </c>
      <c r="G2297" s="53"/>
    </row>
    <row r="2298">
      <c r="A2298" s="49">
        <v>44508.62487693287</v>
      </c>
      <c r="B2298" s="50">
        <v>44508.7498543287</v>
      </c>
      <c r="C2298" s="51">
        <v>1.013</v>
      </c>
      <c r="D2298" s="51">
        <v>64.0</v>
      </c>
      <c r="E2298" s="52" t="s">
        <v>25</v>
      </c>
      <c r="F2298" s="52" t="s">
        <v>26</v>
      </c>
      <c r="G2298" s="53"/>
    </row>
    <row r="2299">
      <c r="A2299" s="49">
        <v>44508.63530263889</v>
      </c>
      <c r="B2299" s="50">
        <v>44508.7602757986</v>
      </c>
      <c r="C2299" s="51">
        <v>1.013</v>
      </c>
      <c r="D2299" s="51">
        <v>64.0</v>
      </c>
      <c r="E2299" s="52" t="s">
        <v>25</v>
      </c>
      <c r="F2299" s="52" t="s">
        <v>26</v>
      </c>
      <c r="G2299" s="53"/>
    </row>
    <row r="2300">
      <c r="A2300" s="49">
        <v>44508.64572173611</v>
      </c>
      <c r="B2300" s="50">
        <v>44508.7706982523</v>
      </c>
      <c r="C2300" s="51">
        <v>1.013</v>
      </c>
      <c r="D2300" s="51">
        <v>64.0</v>
      </c>
      <c r="E2300" s="52" t="s">
        <v>25</v>
      </c>
      <c r="F2300" s="52" t="s">
        <v>26</v>
      </c>
      <c r="G2300" s="53"/>
    </row>
    <row r="2301">
      <c r="A2301" s="49">
        <v>44508.65616644676</v>
      </c>
      <c r="B2301" s="50">
        <v>44508.7811429629</v>
      </c>
      <c r="C2301" s="51">
        <v>1.013</v>
      </c>
      <c r="D2301" s="51">
        <v>64.0</v>
      </c>
      <c r="E2301" s="52" t="s">
        <v>25</v>
      </c>
      <c r="F2301" s="52" t="s">
        <v>26</v>
      </c>
      <c r="G2301" s="53"/>
    </row>
    <row r="2302">
      <c r="A2302" s="49">
        <v>44508.666595497685</v>
      </c>
      <c r="B2302" s="50">
        <v>44508.7915635763</v>
      </c>
      <c r="C2302" s="51">
        <v>1.013</v>
      </c>
      <c r="D2302" s="51">
        <v>64.0</v>
      </c>
      <c r="E2302" s="52" t="s">
        <v>25</v>
      </c>
      <c r="F2302" s="52" t="s">
        <v>26</v>
      </c>
      <c r="G2302" s="53"/>
    </row>
    <row r="2303">
      <c r="A2303" s="49">
        <v>44508.67700952546</v>
      </c>
      <c r="B2303" s="50">
        <v>44508.8019849305</v>
      </c>
      <c r="C2303" s="51">
        <v>1.013</v>
      </c>
      <c r="D2303" s="51">
        <v>64.0</v>
      </c>
      <c r="E2303" s="52" t="s">
        <v>25</v>
      </c>
      <c r="F2303" s="52" t="s">
        <v>26</v>
      </c>
      <c r="G2303" s="53"/>
    </row>
    <row r="2304">
      <c r="A2304" s="49">
        <v>44508.68744674769</v>
      </c>
      <c r="B2304" s="50">
        <v>44508.8124184837</v>
      </c>
      <c r="C2304" s="51">
        <v>1.013</v>
      </c>
      <c r="D2304" s="51">
        <v>64.0</v>
      </c>
      <c r="E2304" s="52" t="s">
        <v>25</v>
      </c>
      <c r="F2304" s="52" t="s">
        <v>26</v>
      </c>
      <c r="G2304" s="53"/>
    </row>
    <row r="2305">
      <c r="A2305" s="49">
        <v>44508.69787046296</v>
      </c>
      <c r="B2305" s="50">
        <v>44508.8228403703</v>
      </c>
      <c r="C2305" s="51">
        <v>1.013</v>
      </c>
      <c r="D2305" s="51">
        <v>64.0</v>
      </c>
      <c r="E2305" s="52" t="s">
        <v>25</v>
      </c>
      <c r="F2305" s="52" t="s">
        <v>26</v>
      </c>
      <c r="G2305" s="53"/>
    </row>
    <row r="2306">
      <c r="A2306" s="49">
        <v>44508.70830053241</v>
      </c>
      <c r="B2306" s="50">
        <v>44508.8332734374</v>
      </c>
      <c r="C2306" s="51">
        <v>1.013</v>
      </c>
      <c r="D2306" s="51">
        <v>64.0</v>
      </c>
      <c r="E2306" s="52" t="s">
        <v>25</v>
      </c>
      <c r="F2306" s="52" t="s">
        <v>26</v>
      </c>
      <c r="G2306" s="53"/>
    </row>
    <row r="2307">
      <c r="A2307" s="49">
        <v>44508.718719780096</v>
      </c>
      <c r="B2307" s="50">
        <v>44508.8436969444</v>
      </c>
      <c r="C2307" s="51">
        <v>1.013</v>
      </c>
      <c r="D2307" s="51">
        <v>64.0</v>
      </c>
      <c r="E2307" s="52" t="s">
        <v>25</v>
      </c>
      <c r="F2307" s="52" t="s">
        <v>26</v>
      </c>
      <c r="G2307" s="53"/>
    </row>
    <row r="2308">
      <c r="A2308" s="49">
        <v>44508.72913894676</v>
      </c>
      <c r="B2308" s="50">
        <v>44508.8541182291</v>
      </c>
      <c r="C2308" s="51">
        <v>1.013</v>
      </c>
      <c r="D2308" s="51">
        <v>64.0</v>
      </c>
      <c r="E2308" s="52" t="s">
        <v>25</v>
      </c>
      <c r="F2308" s="52" t="s">
        <v>26</v>
      </c>
      <c r="G2308" s="53"/>
    </row>
    <row r="2309">
      <c r="A2309" s="49">
        <v>44508.73955643519</v>
      </c>
      <c r="B2309" s="50">
        <v>44508.8645385416</v>
      </c>
      <c r="C2309" s="51">
        <v>1.013</v>
      </c>
      <c r="D2309" s="51">
        <v>64.0</v>
      </c>
      <c r="E2309" s="52" t="s">
        <v>25</v>
      </c>
      <c r="F2309" s="52" t="s">
        <v>26</v>
      </c>
      <c r="G2309" s="53"/>
    </row>
    <row r="2310">
      <c r="A2310" s="49">
        <v>44508.75000112268</v>
      </c>
      <c r="B2310" s="50">
        <v>44508.8749707638</v>
      </c>
      <c r="C2310" s="51">
        <v>1.013</v>
      </c>
      <c r="D2310" s="51">
        <v>65.0</v>
      </c>
      <c r="E2310" s="52" t="s">
        <v>25</v>
      </c>
      <c r="F2310" s="52" t="s">
        <v>26</v>
      </c>
      <c r="G2310" s="53"/>
    </row>
    <row r="2311">
      <c r="A2311" s="49">
        <v>44508.76041853009</v>
      </c>
      <c r="B2311" s="50">
        <v>44508.885393831</v>
      </c>
      <c r="C2311" s="51">
        <v>1.013</v>
      </c>
      <c r="D2311" s="51">
        <v>64.0</v>
      </c>
      <c r="E2311" s="52" t="s">
        <v>25</v>
      </c>
      <c r="F2311" s="52" t="s">
        <v>26</v>
      </c>
      <c r="G2311" s="53"/>
    </row>
    <row r="2312">
      <c r="A2312" s="49">
        <v>44508.770865115745</v>
      </c>
      <c r="B2312" s="50">
        <v>44508.8958160416</v>
      </c>
      <c r="C2312" s="51">
        <v>1.013</v>
      </c>
      <c r="D2312" s="51">
        <v>64.0</v>
      </c>
      <c r="E2312" s="52" t="s">
        <v>25</v>
      </c>
      <c r="F2312" s="52" t="s">
        <v>26</v>
      </c>
      <c r="G2312" s="53"/>
    </row>
    <row r="2313">
      <c r="A2313" s="49">
        <v>44508.78126438658</v>
      </c>
      <c r="B2313" s="50">
        <v>44508.9062375347</v>
      </c>
      <c r="C2313" s="51">
        <v>1.013</v>
      </c>
      <c r="D2313" s="51">
        <v>64.0</v>
      </c>
      <c r="E2313" s="52" t="s">
        <v>25</v>
      </c>
      <c r="F2313" s="52" t="s">
        <v>26</v>
      </c>
      <c r="G2313" s="53"/>
    </row>
    <row r="2314">
      <c r="A2314" s="49">
        <v>44508.791698217596</v>
      </c>
      <c r="B2314" s="50">
        <v>44508.9166695833</v>
      </c>
      <c r="C2314" s="51">
        <v>1.013</v>
      </c>
      <c r="D2314" s="51">
        <v>64.0</v>
      </c>
      <c r="E2314" s="52" t="s">
        <v>25</v>
      </c>
      <c r="F2314" s="52" t="s">
        <v>26</v>
      </c>
      <c r="G2314" s="53"/>
    </row>
    <row r="2315">
      <c r="A2315" s="49">
        <v>44508.81255297454</v>
      </c>
      <c r="B2315" s="50">
        <v>44508.9375230439</v>
      </c>
      <c r="C2315" s="51">
        <v>1.013</v>
      </c>
      <c r="D2315" s="51">
        <v>64.0</v>
      </c>
      <c r="E2315" s="52" t="s">
        <v>25</v>
      </c>
      <c r="F2315" s="52" t="s">
        <v>26</v>
      </c>
      <c r="G2315" s="53"/>
    </row>
    <row r="2316">
      <c r="A2316" s="49">
        <v>44508.822971180554</v>
      </c>
      <c r="B2316" s="50">
        <v>44508.9479448958</v>
      </c>
      <c r="C2316" s="51">
        <v>1.013</v>
      </c>
      <c r="D2316" s="51">
        <v>64.0</v>
      </c>
      <c r="E2316" s="52" t="s">
        <v>25</v>
      </c>
      <c r="F2316" s="52" t="s">
        <v>26</v>
      </c>
      <c r="G2316" s="53"/>
    </row>
    <row r="2317">
      <c r="A2317" s="49">
        <v>44508.83340512731</v>
      </c>
      <c r="B2317" s="50">
        <v>44508.9583673148</v>
      </c>
      <c r="C2317" s="51">
        <v>1.013</v>
      </c>
      <c r="D2317" s="51">
        <v>64.0</v>
      </c>
      <c r="E2317" s="52" t="s">
        <v>25</v>
      </c>
      <c r="F2317" s="52" t="s">
        <v>26</v>
      </c>
      <c r="G2317" s="53"/>
    </row>
    <row r="2318">
      <c r="A2318" s="49">
        <v>44508.84381814815</v>
      </c>
      <c r="B2318" s="50">
        <v>44508.9687896527</v>
      </c>
      <c r="C2318" s="51">
        <v>1.013</v>
      </c>
      <c r="D2318" s="51">
        <v>64.0</v>
      </c>
      <c r="E2318" s="52" t="s">
        <v>25</v>
      </c>
      <c r="F2318" s="52" t="s">
        <v>26</v>
      </c>
      <c r="G2318" s="53"/>
    </row>
    <row r="2319">
      <c r="A2319" s="49">
        <v>44508.85423917824</v>
      </c>
      <c r="B2319" s="50">
        <v>44508.9792117708</v>
      </c>
      <c r="C2319" s="51">
        <v>1.013</v>
      </c>
      <c r="D2319" s="51">
        <v>64.0</v>
      </c>
      <c r="E2319" s="52" t="s">
        <v>25</v>
      </c>
      <c r="F2319" s="52" t="s">
        <v>26</v>
      </c>
      <c r="G2319" s="53"/>
    </row>
    <row r="2320">
      <c r="A2320" s="49">
        <v>44508.86466063657</v>
      </c>
      <c r="B2320" s="50">
        <v>44508.9896308101</v>
      </c>
      <c r="C2320" s="51">
        <v>1.013</v>
      </c>
      <c r="D2320" s="51">
        <v>64.0</v>
      </c>
      <c r="E2320" s="52" t="s">
        <v>25</v>
      </c>
      <c r="F2320" s="52" t="s">
        <v>26</v>
      </c>
      <c r="G2320" s="53"/>
    </row>
    <row r="2321">
      <c r="A2321" s="49">
        <v>44508.87508170139</v>
      </c>
      <c r="B2321" s="50">
        <v>44509.0000507754</v>
      </c>
      <c r="C2321" s="51">
        <v>1.013</v>
      </c>
      <c r="D2321" s="51">
        <v>64.0</v>
      </c>
      <c r="E2321" s="52" t="s">
        <v>25</v>
      </c>
      <c r="F2321" s="52" t="s">
        <v>26</v>
      </c>
      <c r="G2321" s="53"/>
    </row>
    <row r="2322">
      <c r="A2322" s="49">
        <v>44508.88553560185</v>
      </c>
      <c r="B2322" s="50">
        <v>44509.0104936342</v>
      </c>
      <c r="C2322" s="51">
        <v>1.013</v>
      </c>
      <c r="D2322" s="51">
        <v>64.0</v>
      </c>
      <c r="E2322" s="52" t="s">
        <v>25</v>
      </c>
      <c r="F2322" s="52" t="s">
        <v>26</v>
      </c>
      <c r="G2322" s="53"/>
    </row>
    <row r="2323">
      <c r="A2323" s="49">
        <v>44508.89594640046</v>
      </c>
      <c r="B2323" s="50">
        <v>44509.0209145023</v>
      </c>
      <c r="C2323" s="51">
        <v>1.013</v>
      </c>
      <c r="D2323" s="51">
        <v>64.0</v>
      </c>
      <c r="E2323" s="52" t="s">
        <v>25</v>
      </c>
      <c r="F2323" s="52" t="s">
        <v>26</v>
      </c>
      <c r="G2323" s="53"/>
    </row>
    <row r="2324">
      <c r="A2324" s="49">
        <v>44508.9063678588</v>
      </c>
      <c r="B2324" s="50">
        <v>44509.0313361921</v>
      </c>
      <c r="C2324" s="51">
        <v>1.013</v>
      </c>
      <c r="D2324" s="51">
        <v>64.0</v>
      </c>
      <c r="E2324" s="52" t="s">
        <v>25</v>
      </c>
      <c r="F2324" s="52" t="s">
        <v>26</v>
      </c>
      <c r="G2324" s="53"/>
    </row>
    <row r="2325">
      <c r="A2325" s="49">
        <v>44508.91678783565</v>
      </c>
      <c r="B2325" s="50">
        <v>44509.0417589351</v>
      </c>
      <c r="C2325" s="51">
        <v>1.013</v>
      </c>
      <c r="D2325" s="51">
        <v>64.0</v>
      </c>
      <c r="E2325" s="52" t="s">
        <v>25</v>
      </c>
      <c r="F2325" s="52" t="s">
        <v>26</v>
      </c>
      <c r="G2325" s="53"/>
    </row>
    <row r="2326">
      <c r="A2326" s="49">
        <v>44508.92721224537</v>
      </c>
      <c r="B2326" s="50">
        <v>44509.0521811458</v>
      </c>
      <c r="C2326" s="51">
        <v>1.013</v>
      </c>
      <c r="D2326" s="51">
        <v>64.0</v>
      </c>
      <c r="E2326" s="52" t="s">
        <v>25</v>
      </c>
      <c r="F2326" s="52" t="s">
        <v>26</v>
      </c>
      <c r="G2326" s="53"/>
    </row>
    <row r="2327">
      <c r="A2327" s="49">
        <v>44508.93764023148</v>
      </c>
      <c r="B2327" s="50">
        <v>44509.0626040161</v>
      </c>
      <c r="C2327" s="51">
        <v>1.013</v>
      </c>
      <c r="D2327" s="51">
        <v>64.0</v>
      </c>
      <c r="E2327" s="52" t="s">
        <v>25</v>
      </c>
      <c r="F2327" s="52" t="s">
        <v>26</v>
      </c>
      <c r="G2327" s="53"/>
    </row>
    <row r="2328">
      <c r="A2328" s="49">
        <v>44508.948055162036</v>
      </c>
      <c r="B2328" s="50">
        <v>44509.0730249074</v>
      </c>
      <c r="C2328" s="51">
        <v>1.013</v>
      </c>
      <c r="D2328" s="51">
        <v>65.0</v>
      </c>
      <c r="E2328" s="52" t="s">
        <v>25</v>
      </c>
      <c r="F2328" s="52" t="s">
        <v>26</v>
      </c>
      <c r="G2328" s="53"/>
    </row>
    <row r="2329">
      <c r="A2329" s="49">
        <v>44508.95848612269</v>
      </c>
      <c r="B2329" s="50">
        <v>44509.0834460532</v>
      </c>
      <c r="C2329" s="51">
        <v>1.013</v>
      </c>
      <c r="D2329" s="51">
        <v>64.0</v>
      </c>
      <c r="E2329" s="52" t="s">
        <v>25</v>
      </c>
      <c r="F2329" s="52" t="s">
        <v>26</v>
      </c>
      <c r="G2329" s="53"/>
    </row>
    <row r="2330">
      <c r="A2330" s="49">
        <v>44508.96890140046</v>
      </c>
      <c r="B2330" s="50">
        <v>44509.0938676041</v>
      </c>
      <c r="C2330" s="51">
        <v>1.013</v>
      </c>
      <c r="D2330" s="51">
        <v>64.0</v>
      </c>
      <c r="E2330" s="52" t="s">
        <v>25</v>
      </c>
      <c r="F2330" s="52" t="s">
        <v>26</v>
      </c>
      <c r="G2330" s="53"/>
    </row>
    <row r="2331">
      <c r="A2331" s="49">
        <v>44508.979327152774</v>
      </c>
      <c r="B2331" s="50">
        <v>44509.1043015972</v>
      </c>
      <c r="C2331" s="51">
        <v>1.013</v>
      </c>
      <c r="D2331" s="51">
        <v>64.0</v>
      </c>
      <c r="E2331" s="52" t="s">
        <v>25</v>
      </c>
      <c r="F2331" s="52" t="s">
        <v>26</v>
      </c>
      <c r="G2331" s="53"/>
    </row>
    <row r="2332">
      <c r="A2332" s="49">
        <v>44508.98977008102</v>
      </c>
      <c r="B2332" s="50">
        <v>44509.1147353356</v>
      </c>
      <c r="C2332" s="51">
        <v>1.013</v>
      </c>
      <c r="D2332" s="51">
        <v>64.0</v>
      </c>
      <c r="E2332" s="52" t="s">
        <v>25</v>
      </c>
      <c r="F2332" s="52" t="s">
        <v>26</v>
      </c>
      <c r="G2332" s="53"/>
    </row>
    <row r="2333">
      <c r="A2333" s="49">
        <v>44509.000210439815</v>
      </c>
      <c r="B2333" s="50">
        <v>44509.125167824</v>
      </c>
      <c r="C2333" s="51">
        <v>1.013</v>
      </c>
      <c r="D2333" s="51">
        <v>64.0</v>
      </c>
      <c r="E2333" s="52" t="s">
        <v>25</v>
      </c>
      <c r="F2333" s="52" t="s">
        <v>26</v>
      </c>
      <c r="G2333" s="53"/>
    </row>
    <row r="2334">
      <c r="A2334" s="49">
        <v>44509.0106187037</v>
      </c>
      <c r="B2334" s="50">
        <v>44509.1355888425</v>
      </c>
      <c r="C2334" s="51">
        <v>1.013</v>
      </c>
      <c r="D2334" s="51">
        <v>64.0</v>
      </c>
      <c r="E2334" s="52" t="s">
        <v>25</v>
      </c>
      <c r="F2334" s="52" t="s">
        <v>26</v>
      </c>
      <c r="G2334" s="53"/>
    </row>
    <row r="2335">
      <c r="A2335" s="49">
        <v>44509.021056620375</v>
      </c>
      <c r="B2335" s="50">
        <v>44509.1460227199</v>
      </c>
      <c r="C2335" s="51">
        <v>1.013</v>
      </c>
      <c r="D2335" s="51">
        <v>64.0</v>
      </c>
      <c r="E2335" s="52" t="s">
        <v>25</v>
      </c>
      <c r="F2335" s="52" t="s">
        <v>26</v>
      </c>
      <c r="G2335" s="53"/>
    </row>
    <row r="2336">
      <c r="A2336" s="49">
        <v>44509.0314779051</v>
      </c>
      <c r="B2336" s="50">
        <v>44509.1564436111</v>
      </c>
      <c r="C2336" s="51">
        <v>1.013</v>
      </c>
      <c r="D2336" s="51">
        <v>65.0</v>
      </c>
      <c r="E2336" s="52" t="s">
        <v>25</v>
      </c>
      <c r="F2336" s="52" t="s">
        <v>26</v>
      </c>
      <c r="G2336" s="53"/>
    </row>
    <row r="2337">
      <c r="A2337" s="49">
        <v>44509.04191260417</v>
      </c>
      <c r="B2337" s="50">
        <v>44509.1668645833</v>
      </c>
      <c r="C2337" s="51">
        <v>1.013</v>
      </c>
      <c r="D2337" s="51">
        <v>64.0</v>
      </c>
      <c r="E2337" s="52" t="s">
        <v>25</v>
      </c>
      <c r="F2337" s="52" t="s">
        <v>26</v>
      </c>
      <c r="G2337" s="53"/>
    </row>
    <row r="2338">
      <c r="A2338" s="49">
        <v>44509.05240315972</v>
      </c>
      <c r="B2338" s="50">
        <v>44509.1772849884</v>
      </c>
      <c r="C2338" s="51">
        <v>1.013</v>
      </c>
      <c r="D2338" s="51">
        <v>64.0</v>
      </c>
      <c r="E2338" s="52" t="s">
        <v>25</v>
      </c>
      <c r="F2338" s="52" t="s">
        <v>26</v>
      </c>
      <c r="G2338" s="53"/>
    </row>
    <row r="2339">
      <c r="A2339" s="49">
        <v>44509.062740023146</v>
      </c>
      <c r="B2339" s="50">
        <v>44509.1877073495</v>
      </c>
      <c r="C2339" s="51">
        <v>1.013</v>
      </c>
      <c r="D2339" s="51">
        <v>64.0</v>
      </c>
      <c r="E2339" s="52" t="s">
        <v>25</v>
      </c>
      <c r="F2339" s="52" t="s">
        <v>26</v>
      </c>
      <c r="G2339" s="53"/>
    </row>
    <row r="2340">
      <c r="A2340" s="49">
        <v>44509.073242847226</v>
      </c>
      <c r="B2340" s="50">
        <v>44509.1981285185</v>
      </c>
      <c r="C2340" s="51">
        <v>1.013</v>
      </c>
      <c r="D2340" s="51">
        <v>64.0</v>
      </c>
      <c r="E2340" s="52" t="s">
        <v>25</v>
      </c>
      <c r="F2340" s="52" t="s">
        <v>26</v>
      </c>
      <c r="G2340" s="53"/>
    </row>
    <row r="2341">
      <c r="A2341" s="49">
        <v>44509.08357768519</v>
      </c>
      <c r="B2341" s="50">
        <v>44509.2085491898</v>
      </c>
      <c r="C2341" s="51">
        <v>1.013</v>
      </c>
      <c r="D2341" s="51">
        <v>64.0</v>
      </c>
      <c r="E2341" s="52" t="s">
        <v>25</v>
      </c>
      <c r="F2341" s="52" t="s">
        <v>26</v>
      </c>
      <c r="G2341" s="53"/>
    </row>
    <row r="2342">
      <c r="A2342" s="49">
        <v>44509.094011388894</v>
      </c>
      <c r="B2342" s="50">
        <v>44509.2189695486</v>
      </c>
      <c r="C2342" s="51">
        <v>1.013</v>
      </c>
      <c r="D2342" s="51">
        <v>64.0</v>
      </c>
      <c r="E2342" s="52" t="s">
        <v>25</v>
      </c>
      <c r="F2342" s="52" t="s">
        <v>26</v>
      </c>
      <c r="G2342" s="53"/>
    </row>
    <row r="2343">
      <c r="A2343" s="49">
        <v>44509.10442909722</v>
      </c>
      <c r="B2343" s="50">
        <v>44509.2294026041</v>
      </c>
      <c r="C2343" s="51">
        <v>1.013</v>
      </c>
      <c r="D2343" s="51">
        <v>64.0</v>
      </c>
      <c r="E2343" s="52" t="s">
        <v>25</v>
      </c>
      <c r="F2343" s="52" t="s">
        <v>26</v>
      </c>
      <c r="G2343" s="53"/>
    </row>
    <row r="2344">
      <c r="A2344" s="49">
        <v>44509.11485506945</v>
      </c>
      <c r="B2344" s="50">
        <v>44509.2398233101</v>
      </c>
      <c r="C2344" s="51">
        <v>1.013</v>
      </c>
      <c r="D2344" s="51">
        <v>64.0</v>
      </c>
      <c r="E2344" s="52" t="s">
        <v>25</v>
      </c>
      <c r="F2344" s="52" t="s">
        <v>26</v>
      </c>
      <c r="G2344" s="53"/>
    </row>
    <row r="2345">
      <c r="A2345" s="49">
        <v>44509.12526878472</v>
      </c>
      <c r="B2345" s="50">
        <v>44509.2502422337</v>
      </c>
      <c r="C2345" s="51">
        <v>1.013</v>
      </c>
      <c r="D2345" s="51">
        <v>64.0</v>
      </c>
      <c r="E2345" s="52" t="s">
        <v>25</v>
      </c>
      <c r="F2345" s="52" t="s">
        <v>26</v>
      </c>
      <c r="G2345" s="53"/>
    </row>
    <row r="2346">
      <c r="A2346" s="49">
        <v>44509.13568890047</v>
      </c>
      <c r="B2346" s="50">
        <v>44509.260662824</v>
      </c>
      <c r="C2346" s="51">
        <v>1.013</v>
      </c>
      <c r="D2346" s="51">
        <v>64.0</v>
      </c>
      <c r="E2346" s="52" t="s">
        <v>25</v>
      </c>
      <c r="F2346" s="52" t="s">
        <v>26</v>
      </c>
      <c r="G2346" s="53"/>
    </row>
    <row r="2347">
      <c r="A2347" s="49">
        <v>44509.146119467594</v>
      </c>
      <c r="B2347" s="50">
        <v>44509.2710835532</v>
      </c>
      <c r="C2347" s="51">
        <v>1.013</v>
      </c>
      <c r="D2347" s="51">
        <v>64.0</v>
      </c>
      <c r="E2347" s="52" t="s">
        <v>25</v>
      </c>
      <c r="F2347" s="52" t="s">
        <v>26</v>
      </c>
      <c r="G2347" s="53"/>
    </row>
    <row r="2348">
      <c r="A2348" s="49">
        <v>44509.15654777778</v>
      </c>
      <c r="B2348" s="50">
        <v>44509.2815044097</v>
      </c>
      <c r="C2348" s="51">
        <v>1.013</v>
      </c>
      <c r="D2348" s="51">
        <v>64.0</v>
      </c>
      <c r="E2348" s="52" t="s">
        <v>25</v>
      </c>
      <c r="F2348" s="52" t="s">
        <v>26</v>
      </c>
      <c r="G2348" s="53"/>
    </row>
    <row r="2349">
      <c r="A2349" s="49">
        <v>44509.16697351851</v>
      </c>
      <c r="B2349" s="50">
        <v>44509.291936493</v>
      </c>
      <c r="C2349" s="51">
        <v>1.013</v>
      </c>
      <c r="D2349" s="51">
        <v>64.0</v>
      </c>
      <c r="E2349" s="52" t="s">
        <v>25</v>
      </c>
      <c r="F2349" s="52" t="s">
        <v>26</v>
      </c>
      <c r="G2349" s="53"/>
    </row>
    <row r="2350">
      <c r="A2350" s="49">
        <v>44509.177391053236</v>
      </c>
      <c r="B2350" s="50">
        <v>44509.3023569444</v>
      </c>
      <c r="C2350" s="51">
        <v>1.013</v>
      </c>
      <c r="D2350" s="51">
        <v>64.0</v>
      </c>
      <c r="E2350" s="52" t="s">
        <v>25</v>
      </c>
      <c r="F2350" s="52" t="s">
        <v>26</v>
      </c>
      <c r="G2350" s="53"/>
    </row>
    <row r="2351">
      <c r="A2351" s="49">
        <v>44509.18780971065</v>
      </c>
      <c r="B2351" s="50">
        <v>44509.312778287</v>
      </c>
      <c r="C2351" s="51">
        <v>1.013</v>
      </c>
      <c r="D2351" s="51">
        <v>64.0</v>
      </c>
      <c r="E2351" s="52" t="s">
        <v>25</v>
      </c>
      <c r="F2351" s="52" t="s">
        <v>26</v>
      </c>
      <c r="G2351" s="53"/>
    </row>
    <row r="2352">
      <c r="A2352" s="49">
        <v>44509.198238125</v>
      </c>
      <c r="B2352" s="50">
        <v>44509.3231998726</v>
      </c>
      <c r="C2352" s="51">
        <v>1.013</v>
      </c>
      <c r="D2352" s="51">
        <v>64.0</v>
      </c>
      <c r="E2352" s="52" t="s">
        <v>25</v>
      </c>
      <c r="F2352" s="52" t="s">
        <v>26</v>
      </c>
      <c r="G2352" s="53"/>
    </row>
    <row r="2353">
      <c r="A2353" s="49">
        <v>44509.20865945602</v>
      </c>
      <c r="B2353" s="50">
        <v>44509.3336226504</v>
      </c>
      <c r="C2353" s="51">
        <v>1.013</v>
      </c>
      <c r="D2353" s="51">
        <v>64.0</v>
      </c>
      <c r="E2353" s="52" t="s">
        <v>25</v>
      </c>
      <c r="F2353" s="52" t="s">
        <v>26</v>
      </c>
      <c r="G2353" s="53"/>
    </row>
    <row r="2354">
      <c r="A2354" s="49">
        <v>44509.21913048611</v>
      </c>
      <c r="B2354" s="50">
        <v>44509.3440443518</v>
      </c>
      <c r="C2354" s="51">
        <v>1.013</v>
      </c>
      <c r="D2354" s="51">
        <v>64.0</v>
      </c>
      <c r="E2354" s="52" t="s">
        <v>25</v>
      </c>
      <c r="F2354" s="52" t="s">
        <v>26</v>
      </c>
      <c r="G2354" s="53"/>
    </row>
    <row r="2355">
      <c r="A2355" s="49">
        <v>44509.22951243055</v>
      </c>
      <c r="B2355" s="50">
        <v>44509.3544755324</v>
      </c>
      <c r="C2355" s="51">
        <v>1.013</v>
      </c>
      <c r="D2355" s="51">
        <v>64.0</v>
      </c>
      <c r="E2355" s="52" t="s">
        <v>25</v>
      </c>
      <c r="F2355" s="52" t="s">
        <v>26</v>
      </c>
      <c r="G2355" s="53"/>
    </row>
    <row r="2356">
      <c r="A2356" s="49">
        <v>44509.23993574074</v>
      </c>
      <c r="B2356" s="50">
        <v>44509.3648970601</v>
      </c>
      <c r="C2356" s="51">
        <v>1.013</v>
      </c>
      <c r="D2356" s="51">
        <v>64.0</v>
      </c>
      <c r="E2356" s="52" t="s">
        <v>25</v>
      </c>
      <c r="F2356" s="52" t="s">
        <v>26</v>
      </c>
      <c r="G2356" s="53"/>
    </row>
    <row r="2357">
      <c r="A2357" s="49">
        <v>44509.25036546296</v>
      </c>
      <c r="B2357" s="50">
        <v>44509.3753297222</v>
      </c>
      <c r="C2357" s="51">
        <v>1.013</v>
      </c>
      <c r="D2357" s="51">
        <v>65.0</v>
      </c>
      <c r="E2357" s="52" t="s">
        <v>25</v>
      </c>
      <c r="F2357" s="52" t="s">
        <v>26</v>
      </c>
      <c r="G2357" s="53"/>
    </row>
    <row r="2358">
      <c r="A2358" s="49">
        <v>44509.260780613426</v>
      </c>
      <c r="B2358" s="50">
        <v>44509.3857501504</v>
      </c>
      <c r="C2358" s="51">
        <v>1.013</v>
      </c>
      <c r="D2358" s="51">
        <v>65.0</v>
      </c>
      <c r="E2358" s="52" t="s">
        <v>25</v>
      </c>
      <c r="F2358" s="52" t="s">
        <v>26</v>
      </c>
      <c r="G2358" s="53"/>
    </row>
    <row r="2359">
      <c r="A2359" s="49">
        <v>44509.27120929398</v>
      </c>
      <c r="B2359" s="50">
        <v>44509.3961727199</v>
      </c>
      <c r="C2359" s="51">
        <v>1.013</v>
      </c>
      <c r="D2359" s="51">
        <v>65.0</v>
      </c>
      <c r="E2359" s="52" t="s">
        <v>25</v>
      </c>
      <c r="F2359" s="52" t="s">
        <v>26</v>
      </c>
      <c r="G2359" s="53"/>
    </row>
    <row r="2360">
      <c r="A2360" s="49">
        <v>44509.28163150463</v>
      </c>
      <c r="B2360" s="50">
        <v>44509.4065954629</v>
      </c>
      <c r="C2360" s="51">
        <v>1.013</v>
      </c>
      <c r="D2360" s="51">
        <v>65.0</v>
      </c>
      <c r="E2360" s="52" t="s">
        <v>25</v>
      </c>
      <c r="F2360" s="52" t="s">
        <v>26</v>
      </c>
      <c r="G2360" s="53"/>
    </row>
    <row r="2361">
      <c r="A2361" s="49">
        <v>44509.29206112269</v>
      </c>
      <c r="B2361" s="50">
        <v>44509.417029074</v>
      </c>
      <c r="C2361" s="51">
        <v>1.013</v>
      </c>
      <c r="D2361" s="51">
        <v>65.0</v>
      </c>
      <c r="E2361" s="52" t="s">
        <v>25</v>
      </c>
      <c r="F2361" s="52" t="s">
        <v>26</v>
      </c>
      <c r="G2361" s="53"/>
    </row>
    <row r="2362">
      <c r="A2362" s="49">
        <v>44509.30253748843</v>
      </c>
      <c r="B2362" s="50">
        <v>44509.4274510416</v>
      </c>
      <c r="C2362" s="51">
        <v>1.013</v>
      </c>
      <c r="D2362" s="51">
        <v>65.0</v>
      </c>
      <c r="E2362" s="52" t="s">
        <v>25</v>
      </c>
      <c r="F2362" s="52" t="s">
        <v>26</v>
      </c>
      <c r="G2362" s="53"/>
    </row>
    <row r="2363">
      <c r="A2363" s="49">
        <v>44509.312932280096</v>
      </c>
      <c r="B2363" s="50">
        <v>44509.4378843171</v>
      </c>
      <c r="C2363" s="51">
        <v>1.013</v>
      </c>
      <c r="D2363" s="51">
        <v>65.0</v>
      </c>
      <c r="E2363" s="52" t="s">
        <v>25</v>
      </c>
      <c r="F2363" s="52" t="s">
        <v>26</v>
      </c>
      <c r="G2363" s="53"/>
    </row>
    <row r="2364">
      <c r="A2364" s="49">
        <v>44509.32335155093</v>
      </c>
      <c r="B2364" s="50">
        <v>44509.4483162152</v>
      </c>
      <c r="C2364" s="51">
        <v>1.013</v>
      </c>
      <c r="D2364" s="51">
        <v>64.0</v>
      </c>
      <c r="E2364" s="52" t="s">
        <v>25</v>
      </c>
      <c r="F2364" s="52" t="s">
        <v>26</v>
      </c>
      <c r="G2364" s="53"/>
    </row>
    <row r="2365">
      <c r="A2365" s="49">
        <v>44509.333779050925</v>
      </c>
      <c r="B2365" s="50">
        <v>44509.458736574</v>
      </c>
      <c r="C2365" s="51">
        <v>1.013</v>
      </c>
      <c r="D2365" s="51">
        <v>65.0</v>
      </c>
      <c r="E2365" s="52" t="s">
        <v>25</v>
      </c>
      <c r="F2365" s="52" t="s">
        <v>26</v>
      </c>
      <c r="G2365" s="53"/>
    </row>
    <row r="2366">
      <c r="A2366" s="49">
        <v>44509.34421232639</v>
      </c>
      <c r="B2366" s="50">
        <v>44509.4691569444</v>
      </c>
      <c r="C2366" s="51">
        <v>1.013</v>
      </c>
      <c r="D2366" s="51">
        <v>65.0</v>
      </c>
      <c r="E2366" s="52" t="s">
        <v>25</v>
      </c>
      <c r="F2366" s="52" t="s">
        <v>26</v>
      </c>
      <c r="G2366" s="53"/>
    </row>
    <row r="2367">
      <c r="A2367" s="49">
        <v>44509.35460351851</v>
      </c>
      <c r="B2367" s="50">
        <v>44509.4795776967</v>
      </c>
      <c r="C2367" s="51">
        <v>1.013</v>
      </c>
      <c r="D2367" s="51">
        <v>64.0</v>
      </c>
      <c r="E2367" s="52" t="s">
        <v>25</v>
      </c>
      <c r="F2367" s="52" t="s">
        <v>26</v>
      </c>
      <c r="G2367" s="53"/>
    </row>
    <row r="2368">
      <c r="A2368" s="49">
        <v>44509.365065289356</v>
      </c>
      <c r="B2368" s="50">
        <v>44509.4900094907</v>
      </c>
      <c r="C2368" s="51">
        <v>1.013</v>
      </c>
      <c r="D2368" s="51">
        <v>65.0</v>
      </c>
      <c r="E2368" s="52" t="s">
        <v>25</v>
      </c>
      <c r="F2368" s="52" t="s">
        <v>26</v>
      </c>
      <c r="G2368" s="53"/>
    </row>
    <row r="2369">
      <c r="A2369" s="49">
        <v>44509.37546465278</v>
      </c>
      <c r="B2369" s="50">
        <v>44509.5004312962</v>
      </c>
      <c r="C2369" s="51">
        <v>1.013</v>
      </c>
      <c r="D2369" s="51">
        <v>65.0</v>
      </c>
      <c r="E2369" s="52" t="s">
        <v>25</v>
      </c>
      <c r="F2369" s="52" t="s">
        <v>26</v>
      </c>
      <c r="G2369" s="53"/>
    </row>
    <row r="2370">
      <c r="A2370" s="49">
        <v>44509.38590702546</v>
      </c>
      <c r="B2370" s="50">
        <v>44509.5108636458</v>
      </c>
      <c r="C2370" s="51">
        <v>1.013</v>
      </c>
      <c r="D2370" s="51">
        <v>64.0</v>
      </c>
      <c r="E2370" s="52" t="s">
        <v>25</v>
      </c>
      <c r="F2370" s="52" t="s">
        <v>26</v>
      </c>
      <c r="G2370" s="53"/>
    </row>
    <row r="2371">
      <c r="A2371" s="49">
        <v>44509.39632143518</v>
      </c>
      <c r="B2371" s="50">
        <v>44509.5212848032</v>
      </c>
      <c r="C2371" s="51">
        <v>1.013</v>
      </c>
      <c r="D2371" s="51">
        <v>64.0</v>
      </c>
      <c r="E2371" s="52" t="s">
        <v>25</v>
      </c>
      <c r="F2371" s="52" t="s">
        <v>26</v>
      </c>
      <c r="G2371" s="53"/>
    </row>
    <row r="2372">
      <c r="A2372" s="49">
        <v>44509.40674320602</v>
      </c>
      <c r="B2372" s="50">
        <v>44509.5317074768</v>
      </c>
      <c r="C2372" s="51">
        <v>1.013</v>
      </c>
      <c r="D2372" s="51">
        <v>65.0</v>
      </c>
      <c r="E2372" s="52" t="s">
        <v>25</v>
      </c>
      <c r="F2372" s="52" t="s">
        <v>26</v>
      </c>
      <c r="G2372" s="53"/>
    </row>
    <row r="2373">
      <c r="A2373" s="49">
        <v>44509.41716028935</v>
      </c>
      <c r="B2373" s="50">
        <v>44509.5421274652</v>
      </c>
      <c r="C2373" s="51">
        <v>1.013</v>
      </c>
      <c r="D2373" s="51">
        <v>64.0</v>
      </c>
      <c r="E2373" s="52" t="s">
        <v>25</v>
      </c>
      <c r="F2373" s="52" t="s">
        <v>26</v>
      </c>
      <c r="G2373" s="53"/>
    </row>
    <row r="2374">
      <c r="A2374" s="49">
        <v>44509.42759597222</v>
      </c>
      <c r="B2374" s="50">
        <v>44509.5525506481</v>
      </c>
      <c r="C2374" s="51">
        <v>1.013</v>
      </c>
      <c r="D2374" s="51">
        <v>64.0</v>
      </c>
      <c r="E2374" s="52" t="s">
        <v>25</v>
      </c>
      <c r="F2374" s="52" t="s">
        <v>26</v>
      </c>
      <c r="G2374" s="53"/>
    </row>
    <row r="2375">
      <c r="A2375" s="49">
        <v>44509.438021828704</v>
      </c>
      <c r="B2375" s="50">
        <v>44509.5629832175</v>
      </c>
      <c r="C2375" s="51">
        <v>1.013</v>
      </c>
      <c r="D2375" s="51">
        <v>65.0</v>
      </c>
      <c r="E2375" s="52" t="s">
        <v>25</v>
      </c>
      <c r="F2375" s="52" t="s">
        <v>26</v>
      </c>
      <c r="G2375" s="53"/>
    </row>
    <row r="2376">
      <c r="A2376" s="49">
        <v>44509.448441817134</v>
      </c>
      <c r="B2376" s="50">
        <v>44509.5734049074</v>
      </c>
      <c r="C2376" s="51">
        <v>1.013</v>
      </c>
      <c r="D2376" s="51">
        <v>64.0</v>
      </c>
      <c r="E2376" s="52" t="s">
        <v>25</v>
      </c>
      <c r="F2376" s="52" t="s">
        <v>26</v>
      </c>
      <c r="G2376" s="53"/>
    </row>
    <row r="2377">
      <c r="A2377" s="49">
        <v>44509.45888818287</v>
      </c>
      <c r="B2377" s="50">
        <v>44509.5838488657</v>
      </c>
      <c r="C2377" s="51">
        <v>1.013</v>
      </c>
      <c r="D2377" s="51">
        <v>65.0</v>
      </c>
      <c r="E2377" s="52" t="s">
        <v>25</v>
      </c>
      <c r="F2377" s="52" t="s">
        <v>26</v>
      </c>
      <c r="G2377" s="53"/>
    </row>
    <row r="2378">
      <c r="A2378" s="49">
        <v>44509.46930247685</v>
      </c>
      <c r="B2378" s="50">
        <v>44509.5942711805</v>
      </c>
      <c r="C2378" s="51">
        <v>1.013</v>
      </c>
      <c r="D2378" s="51">
        <v>65.0</v>
      </c>
      <c r="E2378" s="52" t="s">
        <v>25</v>
      </c>
      <c r="F2378" s="52" t="s">
        <v>26</v>
      </c>
      <c r="G2378" s="53"/>
    </row>
    <row r="2379">
      <c r="A2379" s="49">
        <v>44509.47973440972</v>
      </c>
      <c r="B2379" s="50">
        <v>44509.6046943634</v>
      </c>
      <c r="C2379" s="51">
        <v>1.013</v>
      </c>
      <c r="D2379" s="51">
        <v>64.0</v>
      </c>
      <c r="E2379" s="52" t="s">
        <v>25</v>
      </c>
      <c r="F2379" s="52" t="s">
        <v>26</v>
      </c>
      <c r="G2379" s="53"/>
    </row>
    <row r="2380">
      <c r="A2380" s="49">
        <v>44509.49016489583</v>
      </c>
      <c r="B2380" s="50">
        <v>44509.6151277662</v>
      </c>
      <c r="C2380" s="51">
        <v>1.013</v>
      </c>
      <c r="D2380" s="51">
        <v>64.0</v>
      </c>
      <c r="E2380" s="52" t="s">
        <v>25</v>
      </c>
      <c r="F2380" s="52" t="s">
        <v>26</v>
      </c>
      <c r="G2380" s="53"/>
    </row>
    <row r="2381">
      <c r="A2381" s="49">
        <v>44509.50058399305</v>
      </c>
      <c r="B2381" s="50">
        <v>44509.6255509722</v>
      </c>
      <c r="C2381" s="51">
        <v>1.013</v>
      </c>
      <c r="D2381" s="51">
        <v>65.0</v>
      </c>
      <c r="E2381" s="52" t="s">
        <v>25</v>
      </c>
      <c r="F2381" s="52" t="s">
        <v>26</v>
      </c>
      <c r="G2381" s="53"/>
    </row>
    <row r="2382">
      <c r="A2382" s="49">
        <v>44509.511018715275</v>
      </c>
      <c r="B2382" s="50">
        <v>44509.6359723379</v>
      </c>
      <c r="C2382" s="51">
        <v>1.013</v>
      </c>
      <c r="D2382" s="51">
        <v>64.0</v>
      </c>
      <c r="E2382" s="52" t="s">
        <v>25</v>
      </c>
      <c r="F2382" s="52" t="s">
        <v>26</v>
      </c>
      <c r="G2382" s="53"/>
    </row>
    <row r="2383">
      <c r="A2383" s="49">
        <v>44509.52143188658</v>
      </c>
      <c r="B2383" s="50">
        <v>44509.6463953472</v>
      </c>
      <c r="C2383" s="51">
        <v>1.013</v>
      </c>
      <c r="D2383" s="51">
        <v>64.0</v>
      </c>
      <c r="E2383" s="52" t="s">
        <v>25</v>
      </c>
      <c r="F2383" s="52" t="s">
        <v>26</v>
      </c>
      <c r="G2383" s="53"/>
    </row>
    <row r="2384">
      <c r="A2384" s="49">
        <v>44509.531855277775</v>
      </c>
      <c r="B2384" s="50">
        <v>44509.6568152893</v>
      </c>
      <c r="C2384" s="51">
        <v>1.013</v>
      </c>
      <c r="D2384" s="51">
        <v>65.0</v>
      </c>
      <c r="E2384" s="52" t="s">
        <v>25</v>
      </c>
      <c r="F2384" s="52" t="s">
        <v>26</v>
      </c>
      <c r="G2384" s="53"/>
    </row>
    <row r="2385">
      <c r="A2385" s="49">
        <v>44509.54226144676</v>
      </c>
      <c r="B2385" s="50">
        <v>44509.6672368865</v>
      </c>
      <c r="C2385" s="51">
        <v>1.013</v>
      </c>
      <c r="D2385" s="51">
        <v>65.0</v>
      </c>
      <c r="E2385" s="52" t="s">
        <v>25</v>
      </c>
      <c r="F2385" s="52" t="s">
        <v>26</v>
      </c>
      <c r="G2385" s="53"/>
    </row>
    <row r="2386">
      <c r="A2386" s="49">
        <v>44509.55269827547</v>
      </c>
      <c r="B2386" s="50">
        <v>44509.6776694328</v>
      </c>
      <c r="C2386" s="51">
        <v>1.013</v>
      </c>
      <c r="D2386" s="51">
        <v>65.0</v>
      </c>
      <c r="E2386" s="52" t="s">
        <v>25</v>
      </c>
      <c r="F2386" s="52" t="s">
        <v>26</v>
      </c>
      <c r="G2386" s="53"/>
    </row>
    <row r="2387">
      <c r="A2387" s="49">
        <v>44509.56313255787</v>
      </c>
      <c r="B2387" s="50">
        <v>44509.6880931134</v>
      </c>
      <c r="C2387" s="51">
        <v>1.013</v>
      </c>
      <c r="D2387" s="51">
        <v>65.0</v>
      </c>
      <c r="E2387" s="52" t="s">
        <v>25</v>
      </c>
      <c r="F2387" s="52" t="s">
        <v>26</v>
      </c>
      <c r="G2387" s="53"/>
    </row>
    <row r="2388">
      <c r="A2388" s="49">
        <v>44509.573555462965</v>
      </c>
      <c r="B2388" s="50">
        <v>44509.6985133449</v>
      </c>
      <c r="C2388" s="51">
        <v>1.013</v>
      </c>
      <c r="D2388" s="51">
        <v>65.0</v>
      </c>
      <c r="E2388" s="52" t="s">
        <v>25</v>
      </c>
      <c r="F2388" s="52" t="s">
        <v>26</v>
      </c>
      <c r="G2388" s="53"/>
    </row>
    <row r="2389">
      <c r="A2389" s="49">
        <v>44509.58398119213</v>
      </c>
      <c r="B2389" s="50">
        <v>44509.7089458564</v>
      </c>
      <c r="C2389" s="51">
        <v>1.013</v>
      </c>
      <c r="D2389" s="51">
        <v>64.0</v>
      </c>
      <c r="E2389" s="52" t="s">
        <v>25</v>
      </c>
      <c r="F2389" s="52" t="s">
        <v>26</v>
      </c>
      <c r="G2389" s="53"/>
    </row>
    <row r="2390">
      <c r="A2390" s="49">
        <v>44509.59440986111</v>
      </c>
      <c r="B2390" s="50">
        <v>44509.7193778819</v>
      </c>
      <c r="C2390" s="51">
        <v>1.013</v>
      </c>
      <c r="D2390" s="51">
        <v>65.0</v>
      </c>
      <c r="E2390" s="52" t="s">
        <v>25</v>
      </c>
      <c r="F2390" s="52" t="s">
        <v>26</v>
      </c>
      <c r="G2390" s="53"/>
    </row>
    <row r="2391">
      <c r="A2391" s="49">
        <v>44509.6048471875</v>
      </c>
      <c r="B2391" s="50">
        <v>44509.7298114699</v>
      </c>
      <c r="C2391" s="51">
        <v>1.013</v>
      </c>
      <c r="D2391" s="51">
        <v>65.0</v>
      </c>
      <c r="E2391" s="52" t="s">
        <v>25</v>
      </c>
      <c r="F2391" s="52" t="s">
        <v>26</v>
      </c>
      <c r="G2391" s="53"/>
    </row>
    <row r="2392">
      <c r="A2392" s="49">
        <v>44509.61526853009</v>
      </c>
      <c r="B2392" s="50">
        <v>44509.7402312268</v>
      </c>
      <c r="C2392" s="51">
        <v>1.013</v>
      </c>
      <c r="D2392" s="51">
        <v>65.0</v>
      </c>
      <c r="E2392" s="52" t="s">
        <v>25</v>
      </c>
      <c r="F2392" s="52" t="s">
        <v>26</v>
      </c>
      <c r="G2392" s="53"/>
    </row>
    <row r="2393">
      <c r="A2393" s="49">
        <v>44509.62570361111</v>
      </c>
      <c r="B2393" s="50">
        <v>44509.7506636574</v>
      </c>
      <c r="C2393" s="51">
        <v>1.013</v>
      </c>
      <c r="D2393" s="51">
        <v>65.0</v>
      </c>
      <c r="E2393" s="52" t="s">
        <v>25</v>
      </c>
      <c r="F2393" s="52" t="s">
        <v>26</v>
      </c>
      <c r="G2393" s="53"/>
    </row>
    <row r="2394">
      <c r="A2394" s="49">
        <v>44509.63611982639</v>
      </c>
      <c r="B2394" s="50">
        <v>44509.7610844328</v>
      </c>
      <c r="C2394" s="51">
        <v>1.013</v>
      </c>
      <c r="D2394" s="51">
        <v>64.0</v>
      </c>
      <c r="E2394" s="52" t="s">
        <v>25</v>
      </c>
      <c r="F2394" s="52" t="s">
        <v>26</v>
      </c>
      <c r="G2394" s="53"/>
    </row>
    <row r="2395">
      <c r="A2395" s="49">
        <v>44509.64654743056</v>
      </c>
      <c r="B2395" s="50">
        <v>44509.7715071759</v>
      </c>
      <c r="C2395" s="51">
        <v>1.013</v>
      </c>
      <c r="D2395" s="51">
        <v>65.0</v>
      </c>
      <c r="E2395" s="52" t="s">
        <v>25</v>
      </c>
      <c r="F2395" s="52" t="s">
        <v>26</v>
      </c>
      <c r="G2395" s="53"/>
    </row>
    <row r="2396">
      <c r="A2396" s="49">
        <v>44509.65697108796</v>
      </c>
      <c r="B2396" s="50">
        <v>44509.7819294444</v>
      </c>
      <c r="C2396" s="51">
        <v>1.013</v>
      </c>
      <c r="D2396" s="51">
        <v>64.0</v>
      </c>
      <c r="E2396" s="52" t="s">
        <v>25</v>
      </c>
      <c r="F2396" s="52" t="s">
        <v>26</v>
      </c>
      <c r="G2396" s="53"/>
    </row>
    <row r="2397">
      <c r="A2397" s="49">
        <v>44509.66738313658</v>
      </c>
      <c r="B2397" s="50">
        <v>44509.7923509953</v>
      </c>
      <c r="C2397" s="51">
        <v>1.013</v>
      </c>
      <c r="D2397" s="51">
        <v>64.0</v>
      </c>
      <c r="E2397" s="52" t="s">
        <v>25</v>
      </c>
      <c r="F2397" s="52" t="s">
        <v>26</v>
      </c>
      <c r="G2397" s="53"/>
    </row>
    <row r="2398">
      <c r="A2398" s="49">
        <v>44509.6778309375</v>
      </c>
      <c r="B2398" s="50">
        <v>44509.8027829166</v>
      </c>
      <c r="C2398" s="51">
        <v>1.013</v>
      </c>
      <c r="D2398" s="51">
        <v>65.0</v>
      </c>
      <c r="E2398" s="52" t="s">
        <v>25</v>
      </c>
      <c r="F2398" s="52" t="s">
        <v>26</v>
      </c>
      <c r="G2398" s="53"/>
    </row>
    <row r="2399">
      <c r="A2399" s="49">
        <v>44509.68824887731</v>
      </c>
      <c r="B2399" s="50">
        <v>44509.8132043634</v>
      </c>
      <c r="C2399" s="51">
        <v>1.013</v>
      </c>
      <c r="D2399" s="51">
        <v>65.0</v>
      </c>
      <c r="E2399" s="52" t="s">
        <v>25</v>
      </c>
      <c r="F2399" s="52" t="s">
        <v>26</v>
      </c>
      <c r="G2399" s="53"/>
    </row>
    <row r="2400">
      <c r="A2400" s="49">
        <v>44509.69867482639</v>
      </c>
      <c r="B2400" s="50">
        <v>44509.8236237731</v>
      </c>
      <c r="C2400" s="51">
        <v>1.013</v>
      </c>
      <c r="D2400" s="51">
        <v>65.0</v>
      </c>
      <c r="E2400" s="52" t="s">
        <v>25</v>
      </c>
      <c r="F2400" s="52" t="s">
        <v>26</v>
      </c>
      <c r="G2400" s="53"/>
    </row>
    <row r="2401">
      <c r="A2401" s="49">
        <v>44509.70909049769</v>
      </c>
      <c r="B2401" s="50">
        <v>44509.8340463888</v>
      </c>
      <c r="C2401" s="51">
        <v>1.013</v>
      </c>
      <c r="D2401" s="51">
        <v>65.0</v>
      </c>
      <c r="E2401" s="52" t="s">
        <v>25</v>
      </c>
      <c r="F2401" s="52" t="s">
        <v>26</v>
      </c>
      <c r="G2401" s="53"/>
    </row>
    <row r="2402">
      <c r="A2402" s="49">
        <v>44509.71951925926</v>
      </c>
      <c r="B2402" s="50">
        <v>44509.8444791087</v>
      </c>
      <c r="C2402" s="51">
        <v>1.013</v>
      </c>
      <c r="D2402" s="51">
        <v>64.0</v>
      </c>
      <c r="E2402" s="52" t="s">
        <v>25</v>
      </c>
      <c r="F2402" s="52" t="s">
        <v>26</v>
      </c>
      <c r="G2402" s="53"/>
    </row>
    <row r="2403">
      <c r="A2403" s="49">
        <v>44509.729938136574</v>
      </c>
      <c r="B2403" s="50">
        <v>44509.8549017013</v>
      </c>
      <c r="C2403" s="51">
        <v>1.013</v>
      </c>
      <c r="D2403" s="51">
        <v>65.0</v>
      </c>
      <c r="E2403" s="52" t="s">
        <v>25</v>
      </c>
      <c r="F2403" s="52" t="s">
        <v>26</v>
      </c>
      <c r="G2403" s="53"/>
    </row>
    <row r="2404">
      <c r="A2404" s="49">
        <v>44509.74039771991</v>
      </c>
      <c r="B2404" s="50">
        <v>44509.8653587037</v>
      </c>
      <c r="C2404" s="51">
        <v>1.013</v>
      </c>
      <c r="D2404" s="51">
        <v>64.0</v>
      </c>
      <c r="E2404" s="52" t="s">
        <v>25</v>
      </c>
      <c r="F2404" s="52" t="s">
        <v>26</v>
      </c>
      <c r="G2404" s="53"/>
    </row>
    <row r="2405">
      <c r="A2405" s="49">
        <v>44509.75081824074</v>
      </c>
      <c r="B2405" s="50">
        <v>44509.8757796064</v>
      </c>
      <c r="C2405" s="51">
        <v>1.013</v>
      </c>
      <c r="D2405" s="51">
        <v>65.0</v>
      </c>
      <c r="E2405" s="52" t="s">
        <v>25</v>
      </c>
      <c r="F2405" s="52" t="s">
        <v>26</v>
      </c>
      <c r="G2405" s="53"/>
    </row>
    <row r="2406">
      <c r="A2406" s="49">
        <v>44509.761226145834</v>
      </c>
      <c r="B2406" s="50">
        <v>44509.8862005787</v>
      </c>
      <c r="C2406" s="51">
        <v>1.013</v>
      </c>
      <c r="D2406" s="51">
        <v>65.0</v>
      </c>
      <c r="E2406" s="52" t="s">
        <v>25</v>
      </c>
      <c r="F2406" s="52" t="s">
        <v>26</v>
      </c>
      <c r="G2406" s="53"/>
    </row>
    <row r="2407">
      <c r="A2407" s="49">
        <v>44509.77165361111</v>
      </c>
      <c r="B2407" s="50">
        <v>44509.8966240277</v>
      </c>
      <c r="C2407" s="51">
        <v>1.013</v>
      </c>
      <c r="D2407" s="51">
        <v>65.0</v>
      </c>
      <c r="E2407" s="52" t="s">
        <v>25</v>
      </c>
      <c r="F2407" s="52" t="s">
        <v>26</v>
      </c>
      <c r="G2407" s="53"/>
    </row>
    <row r="2408">
      <c r="A2408" s="49">
        <v>44509.78208168982</v>
      </c>
      <c r="B2408" s="50">
        <v>44509.9070436342</v>
      </c>
      <c r="C2408" s="51">
        <v>1.013</v>
      </c>
      <c r="D2408" s="51">
        <v>65.0</v>
      </c>
      <c r="E2408" s="52" t="s">
        <v>25</v>
      </c>
      <c r="F2408" s="52" t="s">
        <v>26</v>
      </c>
      <c r="G2408" s="53"/>
    </row>
    <row r="2409">
      <c r="A2409" s="49">
        <v>44509.792514560184</v>
      </c>
      <c r="B2409" s="50">
        <v>44509.9174752662</v>
      </c>
      <c r="C2409" s="51">
        <v>1.013</v>
      </c>
      <c r="D2409" s="51">
        <v>65.0</v>
      </c>
      <c r="E2409" s="52" t="s">
        <v>25</v>
      </c>
      <c r="F2409" s="52" t="s">
        <v>26</v>
      </c>
      <c r="G2409" s="53"/>
    </row>
    <row r="2410">
      <c r="A2410" s="49">
        <v>44509.80292804398</v>
      </c>
      <c r="B2410" s="50">
        <v>44509.9278968981</v>
      </c>
      <c r="C2410" s="51">
        <v>1.013</v>
      </c>
      <c r="D2410" s="51">
        <v>65.0</v>
      </c>
      <c r="E2410" s="52" t="s">
        <v>25</v>
      </c>
      <c r="F2410" s="52" t="s">
        <v>26</v>
      </c>
      <c r="G2410" s="53"/>
    </row>
    <row r="2411">
      <c r="A2411" s="49">
        <v>44509.81338739583</v>
      </c>
      <c r="B2411" s="50">
        <v>44509.9383543055</v>
      </c>
      <c r="C2411" s="51">
        <v>1.013</v>
      </c>
      <c r="D2411" s="51">
        <v>65.0</v>
      </c>
      <c r="E2411" s="52" t="s">
        <v>25</v>
      </c>
      <c r="F2411" s="52" t="s">
        <v>26</v>
      </c>
      <c r="G2411" s="53"/>
    </row>
    <row r="2412">
      <c r="A2412" s="49">
        <v>44509.823803900465</v>
      </c>
      <c r="B2412" s="50">
        <v>44509.9487746412</v>
      </c>
      <c r="C2412" s="51">
        <v>1.013</v>
      </c>
      <c r="D2412" s="51">
        <v>65.0</v>
      </c>
      <c r="E2412" s="52" t="s">
        <v>25</v>
      </c>
      <c r="F2412" s="52" t="s">
        <v>26</v>
      </c>
      <c r="G2412" s="53"/>
    </row>
    <row r="2413">
      <c r="A2413" s="49">
        <v>44509.83422667824</v>
      </c>
      <c r="B2413" s="50">
        <v>44509.959195706</v>
      </c>
      <c r="C2413" s="51">
        <v>1.013</v>
      </c>
      <c r="D2413" s="51">
        <v>65.0</v>
      </c>
      <c r="E2413" s="52" t="s">
        <v>25</v>
      </c>
      <c r="F2413" s="52" t="s">
        <v>26</v>
      </c>
      <c r="G2413" s="53"/>
    </row>
    <row r="2414">
      <c r="A2414" s="49">
        <v>44509.844660428236</v>
      </c>
      <c r="B2414" s="50">
        <v>44509.9696297916</v>
      </c>
      <c r="C2414" s="51">
        <v>1.013</v>
      </c>
      <c r="D2414" s="51">
        <v>65.0</v>
      </c>
      <c r="E2414" s="52" t="s">
        <v>25</v>
      </c>
      <c r="F2414" s="52" t="s">
        <v>26</v>
      </c>
      <c r="G2414" s="53"/>
    </row>
    <row r="2415">
      <c r="A2415" s="49">
        <v>44509.85507746528</v>
      </c>
      <c r="B2415" s="50">
        <v>44509.9800499421</v>
      </c>
      <c r="C2415" s="51">
        <v>1.013</v>
      </c>
      <c r="D2415" s="51">
        <v>65.0</v>
      </c>
      <c r="E2415" s="52" t="s">
        <v>25</v>
      </c>
      <c r="F2415" s="52" t="s">
        <v>26</v>
      </c>
      <c r="G2415" s="53"/>
    </row>
    <row r="2416">
      <c r="A2416" s="49">
        <v>44509.86550223379</v>
      </c>
      <c r="B2416" s="50">
        <v>44509.9904827083</v>
      </c>
      <c r="C2416" s="51">
        <v>1.013</v>
      </c>
      <c r="D2416" s="51">
        <v>65.0</v>
      </c>
      <c r="E2416" s="52" t="s">
        <v>25</v>
      </c>
      <c r="F2416" s="52" t="s">
        <v>26</v>
      </c>
      <c r="G2416" s="53"/>
    </row>
    <row r="2417">
      <c r="A2417" s="49">
        <v>44509.87593700232</v>
      </c>
      <c r="B2417" s="50">
        <v>44510.0009045601</v>
      </c>
      <c r="C2417" s="51">
        <v>1.013</v>
      </c>
      <c r="D2417" s="51">
        <v>65.0</v>
      </c>
      <c r="E2417" s="52" t="s">
        <v>25</v>
      </c>
      <c r="F2417" s="52" t="s">
        <v>26</v>
      </c>
      <c r="G2417" s="53"/>
    </row>
    <row r="2418">
      <c r="A2418" s="49">
        <v>44509.88635273148</v>
      </c>
      <c r="B2418" s="50">
        <v>44510.0113269907</v>
      </c>
      <c r="C2418" s="51">
        <v>1.013</v>
      </c>
      <c r="D2418" s="51">
        <v>65.0</v>
      </c>
      <c r="E2418" s="52" t="s">
        <v>25</v>
      </c>
      <c r="F2418" s="52" t="s">
        <v>26</v>
      </c>
      <c r="G2418" s="53"/>
    </row>
    <row r="2419">
      <c r="A2419" s="49">
        <v>44509.89678224537</v>
      </c>
      <c r="B2419" s="50">
        <v>44510.0217593055</v>
      </c>
      <c r="C2419" s="51">
        <v>1.013</v>
      </c>
      <c r="D2419" s="51">
        <v>65.0</v>
      </c>
      <c r="E2419" s="52" t="s">
        <v>25</v>
      </c>
      <c r="F2419" s="52" t="s">
        <v>26</v>
      </c>
      <c r="G2419" s="53"/>
    </row>
    <row r="2420">
      <c r="A2420" s="49">
        <v>44509.90722149306</v>
      </c>
      <c r="B2420" s="50">
        <v>44510.0321807407</v>
      </c>
      <c r="C2420" s="51">
        <v>1.013</v>
      </c>
      <c r="D2420" s="51">
        <v>65.0</v>
      </c>
      <c r="E2420" s="52" t="s">
        <v>25</v>
      </c>
      <c r="F2420" s="52" t="s">
        <v>26</v>
      </c>
      <c r="G2420" s="53"/>
    </row>
    <row r="2421">
      <c r="A2421" s="49">
        <v>44509.91762695602</v>
      </c>
      <c r="B2421" s="50">
        <v>44510.0426019791</v>
      </c>
      <c r="C2421" s="51">
        <v>1.013</v>
      </c>
      <c r="D2421" s="51">
        <v>65.0</v>
      </c>
      <c r="E2421" s="52" t="s">
        <v>25</v>
      </c>
      <c r="F2421" s="52" t="s">
        <v>26</v>
      </c>
      <c r="G2421" s="53"/>
    </row>
    <row r="2422">
      <c r="A2422" s="49">
        <v>44509.92805155093</v>
      </c>
      <c r="B2422" s="50">
        <v>44510.0530220833</v>
      </c>
      <c r="C2422" s="51">
        <v>1.013</v>
      </c>
      <c r="D2422" s="51">
        <v>65.0</v>
      </c>
      <c r="E2422" s="52" t="s">
        <v>25</v>
      </c>
      <c r="F2422" s="52" t="s">
        <v>26</v>
      </c>
      <c r="G2422" s="53"/>
    </row>
    <row r="2423">
      <c r="A2423" s="49">
        <v>44509.938474849536</v>
      </c>
      <c r="B2423" s="50">
        <v>44510.063455081</v>
      </c>
      <c r="C2423" s="51">
        <v>1.013</v>
      </c>
      <c r="D2423" s="51">
        <v>65.0</v>
      </c>
      <c r="E2423" s="52" t="s">
        <v>25</v>
      </c>
      <c r="F2423" s="52" t="s">
        <v>26</v>
      </c>
      <c r="G2423" s="53"/>
    </row>
    <row r="2424">
      <c r="A2424" s="49">
        <v>44509.94890736111</v>
      </c>
      <c r="B2424" s="50">
        <v>44510.0738749421</v>
      </c>
      <c r="C2424" s="51">
        <v>1.013</v>
      </c>
      <c r="D2424" s="51">
        <v>65.0</v>
      </c>
      <c r="E2424" s="52" t="s">
        <v>25</v>
      </c>
      <c r="F2424" s="52" t="s">
        <v>26</v>
      </c>
      <c r="G2424" s="53"/>
    </row>
    <row r="2425">
      <c r="A2425" s="49">
        <v>44509.959334652776</v>
      </c>
      <c r="B2425" s="50">
        <v>44510.084295243</v>
      </c>
      <c r="C2425" s="51">
        <v>1.013</v>
      </c>
      <c r="D2425" s="51">
        <v>65.0</v>
      </c>
      <c r="E2425" s="52" t="s">
        <v>25</v>
      </c>
      <c r="F2425" s="52" t="s">
        <v>26</v>
      </c>
      <c r="G2425" s="53"/>
    </row>
    <row r="2426">
      <c r="A2426" s="49">
        <v>44509.96975438658</v>
      </c>
      <c r="B2426" s="50">
        <v>44510.0947163078</v>
      </c>
      <c r="C2426" s="51">
        <v>1.013</v>
      </c>
      <c r="D2426" s="51">
        <v>65.0</v>
      </c>
      <c r="E2426" s="52" t="s">
        <v>25</v>
      </c>
      <c r="F2426" s="52" t="s">
        <v>26</v>
      </c>
      <c r="G2426" s="53"/>
    </row>
    <row r="2427">
      <c r="A2427" s="49">
        <v>44509.98017686342</v>
      </c>
      <c r="B2427" s="50">
        <v>44510.1051498495</v>
      </c>
      <c r="C2427" s="51">
        <v>1.013</v>
      </c>
      <c r="D2427" s="51">
        <v>65.0</v>
      </c>
      <c r="E2427" s="52" t="s">
        <v>25</v>
      </c>
      <c r="F2427" s="52" t="s">
        <v>26</v>
      </c>
      <c r="G2427" s="53"/>
    </row>
    <row r="2428">
      <c r="A2428" s="49">
        <v>44509.99060081018</v>
      </c>
      <c r="B2428" s="50">
        <v>44510.115570625</v>
      </c>
      <c r="C2428" s="51">
        <v>1.013</v>
      </c>
      <c r="D2428" s="51">
        <v>65.0</v>
      </c>
      <c r="E2428" s="52" t="s">
        <v>25</v>
      </c>
      <c r="F2428" s="52" t="s">
        <v>26</v>
      </c>
      <c r="G2428" s="53"/>
    </row>
    <row r="2429">
      <c r="A2429" s="49">
        <v>44510.00102609953</v>
      </c>
      <c r="B2429" s="50">
        <v>44510.1259910416</v>
      </c>
      <c r="C2429" s="51">
        <v>1.013</v>
      </c>
      <c r="D2429" s="51">
        <v>65.0</v>
      </c>
      <c r="E2429" s="52" t="s">
        <v>25</v>
      </c>
      <c r="F2429" s="52" t="s">
        <v>26</v>
      </c>
      <c r="G2429" s="53"/>
    </row>
    <row r="2430">
      <c r="A2430" s="49">
        <v>44510.011440636576</v>
      </c>
      <c r="B2430" s="50">
        <v>44510.1364131944</v>
      </c>
      <c r="C2430" s="51">
        <v>1.013</v>
      </c>
      <c r="D2430" s="51">
        <v>65.0</v>
      </c>
      <c r="E2430" s="52" t="s">
        <v>25</v>
      </c>
      <c r="F2430" s="52" t="s">
        <v>26</v>
      </c>
      <c r="G2430" s="53"/>
    </row>
    <row r="2431">
      <c r="A2431" s="49">
        <v>44510.02186824074</v>
      </c>
      <c r="B2431" s="50">
        <v>44510.146834537</v>
      </c>
      <c r="C2431" s="51">
        <v>1.013</v>
      </c>
      <c r="D2431" s="51">
        <v>65.0</v>
      </c>
      <c r="E2431" s="52" t="s">
        <v>25</v>
      </c>
      <c r="F2431" s="52" t="s">
        <v>26</v>
      </c>
      <c r="G2431" s="53"/>
    </row>
    <row r="2432">
      <c r="A2432" s="49">
        <v>44510.03228951389</v>
      </c>
      <c r="B2432" s="50">
        <v>44510.1572580208</v>
      </c>
      <c r="C2432" s="51">
        <v>1.013</v>
      </c>
      <c r="D2432" s="51">
        <v>65.0</v>
      </c>
      <c r="E2432" s="52" t="s">
        <v>25</v>
      </c>
      <c r="F2432" s="52" t="s">
        <v>26</v>
      </c>
      <c r="G2432" s="53"/>
    </row>
    <row r="2433">
      <c r="A2433" s="49">
        <v>44510.042709444446</v>
      </c>
      <c r="B2433" s="50">
        <v>44510.1676801041</v>
      </c>
      <c r="C2433" s="51">
        <v>1.013</v>
      </c>
      <c r="D2433" s="51">
        <v>65.0</v>
      </c>
      <c r="E2433" s="52" t="s">
        <v>25</v>
      </c>
      <c r="F2433" s="52" t="s">
        <v>26</v>
      </c>
      <c r="G2433" s="53"/>
    </row>
    <row r="2434">
      <c r="A2434" s="49">
        <v>44510.053122453704</v>
      </c>
      <c r="B2434" s="50">
        <v>44510.17810375</v>
      </c>
      <c r="C2434" s="51">
        <v>1.013</v>
      </c>
      <c r="D2434" s="51">
        <v>65.0</v>
      </c>
      <c r="E2434" s="52" t="s">
        <v>25</v>
      </c>
      <c r="F2434" s="52" t="s">
        <v>26</v>
      </c>
      <c r="G2434" s="53"/>
    </row>
    <row r="2435">
      <c r="A2435" s="49">
        <v>44510.063568240745</v>
      </c>
      <c r="B2435" s="50">
        <v>44510.1885471643</v>
      </c>
      <c r="C2435" s="51">
        <v>1.013</v>
      </c>
      <c r="D2435" s="51">
        <v>65.0</v>
      </c>
      <c r="E2435" s="52" t="s">
        <v>25</v>
      </c>
      <c r="F2435" s="52" t="s">
        <v>26</v>
      </c>
      <c r="G2435" s="53"/>
    </row>
    <row r="2436">
      <c r="A2436" s="49">
        <v>44510.07399344907</v>
      </c>
      <c r="B2436" s="50">
        <v>44510.1989681944</v>
      </c>
      <c r="C2436" s="51">
        <v>1.013</v>
      </c>
      <c r="D2436" s="51">
        <v>65.0</v>
      </c>
      <c r="E2436" s="52" t="s">
        <v>25</v>
      </c>
      <c r="F2436" s="52" t="s">
        <v>26</v>
      </c>
      <c r="G2436" s="53"/>
    </row>
    <row r="2437">
      <c r="A2437" s="49">
        <v>44510.08442546296</v>
      </c>
      <c r="B2437" s="50">
        <v>44510.209389375</v>
      </c>
      <c r="C2437" s="51">
        <v>1.013</v>
      </c>
      <c r="D2437" s="51">
        <v>65.0</v>
      </c>
      <c r="E2437" s="52" t="s">
        <v>25</v>
      </c>
      <c r="F2437" s="52" t="s">
        <v>26</v>
      </c>
      <c r="G2437" s="53"/>
    </row>
    <row r="2438">
      <c r="A2438" s="49">
        <v>44510.09483923611</v>
      </c>
      <c r="B2438" s="50">
        <v>44510.2198107523</v>
      </c>
      <c r="C2438" s="51">
        <v>1.013</v>
      </c>
      <c r="D2438" s="51">
        <v>65.0</v>
      </c>
      <c r="E2438" s="52" t="s">
        <v>25</v>
      </c>
      <c r="F2438" s="52" t="s">
        <v>26</v>
      </c>
      <c r="G2438" s="53"/>
    </row>
    <row r="2439">
      <c r="A2439" s="49">
        <v>44510.10526237269</v>
      </c>
      <c r="B2439" s="50">
        <v>44510.2302307986</v>
      </c>
      <c r="C2439" s="51">
        <v>1.013</v>
      </c>
      <c r="D2439" s="51">
        <v>65.0</v>
      </c>
      <c r="E2439" s="52" t="s">
        <v>25</v>
      </c>
      <c r="F2439" s="52" t="s">
        <v>26</v>
      </c>
      <c r="G2439" s="53"/>
    </row>
    <row r="2440">
      <c r="A2440" s="49">
        <v>44510.1156802662</v>
      </c>
      <c r="B2440" s="50">
        <v>44510.2406510995</v>
      </c>
      <c r="C2440" s="51">
        <v>1.013</v>
      </c>
      <c r="D2440" s="51">
        <v>65.0</v>
      </c>
      <c r="E2440" s="52" t="s">
        <v>25</v>
      </c>
      <c r="F2440" s="52" t="s">
        <v>26</v>
      </c>
      <c r="G2440" s="53"/>
    </row>
    <row r="2441">
      <c r="A2441" s="49">
        <v>44510.12611509259</v>
      </c>
      <c r="B2441" s="50">
        <v>44510.2510864467</v>
      </c>
      <c r="C2441" s="51">
        <v>1.013</v>
      </c>
      <c r="D2441" s="51">
        <v>65.0</v>
      </c>
      <c r="E2441" s="52" t="s">
        <v>25</v>
      </c>
      <c r="F2441" s="52" t="s">
        <v>26</v>
      </c>
      <c r="G2441" s="53"/>
    </row>
    <row r="2442">
      <c r="A2442" s="49">
        <v>44510.13653761574</v>
      </c>
      <c r="B2442" s="50">
        <v>44510.2615084837</v>
      </c>
      <c r="C2442" s="51">
        <v>1.013</v>
      </c>
      <c r="D2442" s="51">
        <v>65.0</v>
      </c>
      <c r="E2442" s="52" t="s">
        <v>25</v>
      </c>
      <c r="F2442" s="52" t="s">
        <v>26</v>
      </c>
      <c r="G2442" s="53"/>
    </row>
    <row r="2443">
      <c r="A2443" s="49">
        <v>44510.146951863426</v>
      </c>
      <c r="B2443" s="50">
        <v>44510.2719299884</v>
      </c>
      <c r="C2443" s="51">
        <v>1.013</v>
      </c>
      <c r="D2443" s="51">
        <v>65.0</v>
      </c>
      <c r="E2443" s="52" t="s">
        <v>25</v>
      </c>
      <c r="F2443" s="52" t="s">
        <v>26</v>
      </c>
      <c r="G2443" s="53"/>
    </row>
    <row r="2444">
      <c r="A2444" s="49">
        <v>44510.15740877315</v>
      </c>
      <c r="B2444" s="50">
        <v>44510.2823747916</v>
      </c>
      <c r="C2444" s="51">
        <v>1.013</v>
      </c>
      <c r="D2444" s="51">
        <v>65.0</v>
      </c>
      <c r="E2444" s="52" t="s">
        <v>25</v>
      </c>
      <c r="F2444" s="52" t="s">
        <v>26</v>
      </c>
      <c r="G2444" s="53"/>
    </row>
    <row r="2445">
      <c r="A2445" s="49">
        <v>44510.16784381944</v>
      </c>
      <c r="B2445" s="50">
        <v>44510.2928055902</v>
      </c>
      <c r="C2445" s="51">
        <v>1.013</v>
      </c>
      <c r="D2445" s="51">
        <v>65.0</v>
      </c>
      <c r="E2445" s="52" t="s">
        <v>25</v>
      </c>
      <c r="F2445" s="52" t="s">
        <v>26</v>
      </c>
      <c r="G2445" s="53"/>
    </row>
    <row r="2446">
      <c r="A2446" s="49">
        <v>44510.17825820602</v>
      </c>
      <c r="B2446" s="50">
        <v>44510.3032263541</v>
      </c>
      <c r="C2446" s="51">
        <v>1.013</v>
      </c>
      <c r="D2446" s="51">
        <v>65.0</v>
      </c>
      <c r="E2446" s="52" t="s">
        <v>25</v>
      </c>
      <c r="F2446" s="52" t="s">
        <v>26</v>
      </c>
      <c r="G2446" s="53"/>
    </row>
    <row r="2447">
      <c r="A2447" s="49">
        <v>44510.18869113426</v>
      </c>
      <c r="B2447" s="50">
        <v>44510.3136604745</v>
      </c>
      <c r="C2447" s="51">
        <v>1.013</v>
      </c>
      <c r="D2447" s="51">
        <v>65.0</v>
      </c>
      <c r="E2447" s="52" t="s">
        <v>25</v>
      </c>
      <c r="F2447" s="52" t="s">
        <v>26</v>
      </c>
      <c r="G2447" s="53"/>
    </row>
    <row r="2448">
      <c r="A2448" s="49">
        <v>44510.19911163194</v>
      </c>
      <c r="B2448" s="50">
        <v>44510.3240813194</v>
      </c>
      <c r="C2448" s="51">
        <v>1.013</v>
      </c>
      <c r="D2448" s="51">
        <v>65.0</v>
      </c>
      <c r="E2448" s="52" t="s">
        <v>25</v>
      </c>
      <c r="F2448" s="52" t="s">
        <v>26</v>
      </c>
      <c r="G2448" s="53"/>
    </row>
    <row r="2449">
      <c r="A2449" s="49">
        <v>44510.20954138889</v>
      </c>
      <c r="B2449" s="50">
        <v>44510.3345037384</v>
      </c>
      <c r="C2449" s="51">
        <v>1.013</v>
      </c>
      <c r="D2449" s="51">
        <v>65.0</v>
      </c>
      <c r="E2449" s="52" t="s">
        <v>25</v>
      </c>
      <c r="F2449" s="52" t="s">
        <v>26</v>
      </c>
      <c r="G2449" s="53"/>
    </row>
    <row r="2450">
      <c r="A2450" s="49">
        <v>44510.21995673611</v>
      </c>
      <c r="B2450" s="50">
        <v>44510.3449251851</v>
      </c>
      <c r="C2450" s="51">
        <v>1.013</v>
      </c>
      <c r="D2450" s="51">
        <v>65.0</v>
      </c>
      <c r="E2450" s="52" t="s">
        <v>25</v>
      </c>
      <c r="F2450" s="52" t="s">
        <v>26</v>
      </c>
      <c r="G2450" s="53"/>
    </row>
    <row r="2451">
      <c r="A2451" s="49">
        <v>44510.23037226852</v>
      </c>
      <c r="B2451" s="50">
        <v>44510.355346493</v>
      </c>
      <c r="C2451" s="51">
        <v>1.013</v>
      </c>
      <c r="D2451" s="51">
        <v>65.0</v>
      </c>
      <c r="E2451" s="52" t="s">
        <v>25</v>
      </c>
      <c r="F2451" s="52" t="s">
        <v>26</v>
      </c>
      <c r="G2451" s="53"/>
    </row>
    <row r="2452">
      <c r="A2452" s="49">
        <v>44510.24080741898</v>
      </c>
      <c r="B2452" s="50">
        <v>44510.3657786342</v>
      </c>
      <c r="C2452" s="51">
        <v>1.013</v>
      </c>
      <c r="D2452" s="51">
        <v>65.0</v>
      </c>
      <c r="E2452" s="52" t="s">
        <v>25</v>
      </c>
      <c r="F2452" s="52" t="s">
        <v>26</v>
      </c>
      <c r="G2452" s="53"/>
    </row>
    <row r="2453">
      <c r="A2453" s="49">
        <v>44510.25122106481</v>
      </c>
      <c r="B2453" s="50">
        <v>44510.3762002199</v>
      </c>
      <c r="C2453" s="51">
        <v>1.013</v>
      </c>
      <c r="D2453" s="51">
        <v>65.0</v>
      </c>
      <c r="E2453" s="52" t="s">
        <v>25</v>
      </c>
      <c r="F2453" s="52" t="s">
        <v>26</v>
      </c>
      <c r="G2453" s="53"/>
    </row>
    <row r="2454">
      <c r="A2454" s="49">
        <v>44510.261651064815</v>
      </c>
      <c r="B2454" s="50">
        <v>44510.3866196527</v>
      </c>
      <c r="C2454" s="51">
        <v>1.013</v>
      </c>
      <c r="D2454" s="51">
        <v>65.0</v>
      </c>
      <c r="E2454" s="52" t="s">
        <v>25</v>
      </c>
      <c r="F2454" s="52" t="s">
        <v>26</v>
      </c>
      <c r="G2454" s="53"/>
    </row>
    <row r="2455">
      <c r="A2455" s="49">
        <v>44510.27207208333</v>
      </c>
      <c r="B2455" s="50">
        <v>44510.3970412036</v>
      </c>
      <c r="C2455" s="51">
        <v>1.013</v>
      </c>
      <c r="D2455" s="51">
        <v>65.0</v>
      </c>
      <c r="E2455" s="52" t="s">
        <v>25</v>
      </c>
      <c r="F2455" s="52" t="s">
        <v>26</v>
      </c>
      <c r="G2455" s="53"/>
    </row>
    <row r="2456">
      <c r="A2456" s="49">
        <v>44510.28249077546</v>
      </c>
      <c r="B2456" s="50">
        <v>44510.4074637384</v>
      </c>
      <c r="C2456" s="51">
        <v>1.013</v>
      </c>
      <c r="D2456" s="51">
        <v>65.0</v>
      </c>
      <c r="E2456" s="52" t="s">
        <v>25</v>
      </c>
      <c r="F2456" s="52" t="s">
        <v>26</v>
      </c>
      <c r="G2456" s="53"/>
    </row>
    <row r="2457">
      <c r="A2457" s="49">
        <v>44510.292947361115</v>
      </c>
      <c r="B2457" s="50">
        <v>44510.4178849768</v>
      </c>
      <c r="C2457" s="51">
        <v>1.013</v>
      </c>
      <c r="D2457" s="51">
        <v>65.0</v>
      </c>
      <c r="E2457" s="52" t="s">
        <v>25</v>
      </c>
      <c r="F2457" s="52" t="s">
        <v>26</v>
      </c>
      <c r="G2457" s="53"/>
    </row>
    <row r="2458">
      <c r="A2458" s="49">
        <v>44510.30333275463</v>
      </c>
      <c r="B2458" s="50">
        <v>44510.4283060763</v>
      </c>
      <c r="C2458" s="51">
        <v>1.013</v>
      </c>
      <c r="D2458" s="51">
        <v>65.0</v>
      </c>
      <c r="E2458" s="52" t="s">
        <v>25</v>
      </c>
      <c r="F2458" s="52" t="s">
        <v>26</v>
      </c>
      <c r="G2458" s="53"/>
    </row>
    <row r="2459">
      <c r="A2459" s="49">
        <v>44510.31375459491</v>
      </c>
      <c r="B2459" s="50">
        <v>44510.4387269444</v>
      </c>
      <c r="C2459" s="51">
        <v>1.013</v>
      </c>
      <c r="D2459" s="51">
        <v>65.0</v>
      </c>
      <c r="E2459" s="52" t="s">
        <v>25</v>
      </c>
      <c r="F2459" s="52" t="s">
        <v>26</v>
      </c>
      <c r="G2459" s="53"/>
    </row>
    <row r="2460">
      <c r="A2460" s="49">
        <v>44510.324176168986</v>
      </c>
      <c r="B2460" s="50">
        <v>44510.4491461458</v>
      </c>
      <c r="C2460" s="51">
        <v>1.013</v>
      </c>
      <c r="D2460" s="51">
        <v>65.0</v>
      </c>
      <c r="E2460" s="52" t="s">
        <v>25</v>
      </c>
      <c r="F2460" s="52" t="s">
        <v>26</v>
      </c>
      <c r="G2460" s="53"/>
    </row>
    <row r="2461">
      <c r="A2461" s="49">
        <v>44510.33459297454</v>
      </c>
      <c r="B2461" s="50">
        <v>44510.4595681712</v>
      </c>
      <c r="C2461" s="51">
        <v>1.013</v>
      </c>
      <c r="D2461" s="51">
        <v>65.0</v>
      </c>
      <c r="E2461" s="52" t="s">
        <v>25</v>
      </c>
      <c r="F2461" s="52" t="s">
        <v>26</v>
      </c>
      <c r="G2461" s="53"/>
    </row>
    <row r="2462">
      <c r="A2462" s="49">
        <v>44510.34501872685</v>
      </c>
      <c r="B2462" s="50">
        <v>44510.4699891203</v>
      </c>
      <c r="C2462" s="51">
        <v>1.013</v>
      </c>
      <c r="D2462" s="51">
        <v>65.0</v>
      </c>
      <c r="E2462" s="52" t="s">
        <v>25</v>
      </c>
      <c r="F2462" s="52" t="s">
        <v>26</v>
      </c>
      <c r="G2462" s="53"/>
    </row>
    <row r="2463">
      <c r="A2463" s="49">
        <v>44510.35548358796</v>
      </c>
      <c r="B2463" s="50">
        <v>44510.4804219907</v>
      </c>
      <c r="C2463" s="51">
        <v>1.013</v>
      </c>
      <c r="D2463" s="51">
        <v>65.0</v>
      </c>
      <c r="E2463" s="52" t="s">
        <v>25</v>
      </c>
      <c r="F2463" s="52" t="s">
        <v>26</v>
      </c>
      <c r="G2463" s="53"/>
    </row>
    <row r="2464">
      <c r="A2464" s="49">
        <v>44510.36587115741</v>
      </c>
      <c r="B2464" s="50">
        <v>44510.4908441203</v>
      </c>
      <c r="C2464" s="51">
        <v>1.013</v>
      </c>
      <c r="D2464" s="51">
        <v>65.0</v>
      </c>
      <c r="E2464" s="52" t="s">
        <v>25</v>
      </c>
      <c r="F2464" s="52" t="s">
        <v>26</v>
      </c>
      <c r="G2464" s="53"/>
    </row>
    <row r="2465">
      <c r="A2465" s="49">
        <v>44510.376289155094</v>
      </c>
      <c r="B2465" s="50">
        <v>44510.5012651273</v>
      </c>
      <c r="C2465" s="51">
        <v>1.013</v>
      </c>
      <c r="D2465" s="51">
        <v>65.0</v>
      </c>
      <c r="E2465" s="52" t="s">
        <v>25</v>
      </c>
      <c r="F2465" s="52" t="s">
        <v>26</v>
      </c>
      <c r="G2465" s="53"/>
    </row>
    <row r="2466">
      <c r="A2466" s="49">
        <v>44510.386721030096</v>
      </c>
      <c r="B2466" s="50">
        <v>44510.5116878935</v>
      </c>
      <c r="C2466" s="51">
        <v>1.013</v>
      </c>
      <c r="D2466" s="51">
        <v>65.0</v>
      </c>
      <c r="E2466" s="52" t="s">
        <v>25</v>
      </c>
      <c r="F2466" s="52" t="s">
        <v>26</v>
      </c>
      <c r="G2466" s="53"/>
    </row>
    <row r="2467">
      <c r="A2467" s="49">
        <v>44510.3971521875</v>
      </c>
      <c r="B2467" s="50">
        <v>44510.522109074</v>
      </c>
      <c r="C2467" s="51">
        <v>1.013</v>
      </c>
      <c r="D2467" s="51">
        <v>65.0</v>
      </c>
      <c r="E2467" s="52" t="s">
        <v>25</v>
      </c>
      <c r="F2467" s="52" t="s">
        <v>26</v>
      </c>
      <c r="G2467" s="53"/>
    </row>
    <row r="2468">
      <c r="A2468" s="49">
        <v>44510.407552627315</v>
      </c>
      <c r="B2468" s="50">
        <v>44510.532530949</v>
      </c>
      <c r="C2468" s="51">
        <v>1.013</v>
      </c>
      <c r="D2468" s="51">
        <v>65.0</v>
      </c>
      <c r="E2468" s="52" t="s">
        <v>25</v>
      </c>
      <c r="F2468" s="52" t="s">
        <v>26</v>
      </c>
      <c r="G2468" s="53"/>
    </row>
    <row r="2469">
      <c r="A2469" s="49">
        <v>44510.41797873843</v>
      </c>
      <c r="B2469" s="50">
        <v>44510.5429526273</v>
      </c>
      <c r="C2469" s="51">
        <v>1.013</v>
      </c>
      <c r="D2469" s="51">
        <v>65.0</v>
      </c>
      <c r="E2469" s="52" t="s">
        <v>25</v>
      </c>
      <c r="F2469" s="52" t="s">
        <v>26</v>
      </c>
      <c r="G2469" s="53"/>
    </row>
    <row r="2470">
      <c r="A2470" s="49">
        <v>44510.42840019676</v>
      </c>
      <c r="B2470" s="50">
        <v>44510.5533738773</v>
      </c>
      <c r="C2470" s="51">
        <v>1.013</v>
      </c>
      <c r="D2470" s="51">
        <v>65.0</v>
      </c>
      <c r="E2470" s="52" t="s">
        <v>25</v>
      </c>
      <c r="F2470" s="52" t="s">
        <v>26</v>
      </c>
      <c r="G2470" s="53"/>
    </row>
    <row r="2471">
      <c r="A2471" s="49">
        <v>44510.43882190972</v>
      </c>
      <c r="B2471" s="50">
        <v>44510.5637949768</v>
      </c>
      <c r="C2471" s="51">
        <v>1.013</v>
      </c>
      <c r="D2471" s="51">
        <v>65.0</v>
      </c>
      <c r="E2471" s="52" t="s">
        <v>25</v>
      </c>
      <c r="F2471" s="52" t="s">
        <v>26</v>
      </c>
      <c r="G2471" s="53"/>
    </row>
    <row r="2472">
      <c r="A2472" s="49">
        <v>44510.44924192129</v>
      </c>
      <c r="B2472" s="50">
        <v>44510.5742166087</v>
      </c>
      <c r="C2472" s="51">
        <v>1.013</v>
      </c>
      <c r="D2472" s="51">
        <v>65.0</v>
      </c>
      <c r="E2472" s="52" t="s">
        <v>25</v>
      </c>
      <c r="F2472" s="52" t="s">
        <v>26</v>
      </c>
      <c r="G2472" s="53"/>
    </row>
    <row r="2473">
      <c r="A2473" s="49">
        <v>44510.45967984953</v>
      </c>
      <c r="B2473" s="50">
        <v>44510.5846464814</v>
      </c>
      <c r="C2473" s="51">
        <v>1.013</v>
      </c>
      <c r="D2473" s="51">
        <v>65.0</v>
      </c>
      <c r="E2473" s="52" t="s">
        <v>25</v>
      </c>
      <c r="F2473" s="52" t="s">
        <v>26</v>
      </c>
      <c r="G2473" s="53"/>
    </row>
    <row r="2474">
      <c r="A2474" s="49">
        <v>44510.47010089121</v>
      </c>
      <c r="B2474" s="50">
        <v>44510.5950661111</v>
      </c>
      <c r="C2474" s="51">
        <v>1.013</v>
      </c>
      <c r="D2474" s="51">
        <v>65.0</v>
      </c>
      <c r="E2474" s="52" t="s">
        <v>25</v>
      </c>
      <c r="F2474" s="52" t="s">
        <v>26</v>
      </c>
      <c r="G2474" s="53"/>
    </row>
    <row r="2475">
      <c r="A2475" s="49">
        <v>44510.480520185185</v>
      </c>
      <c r="B2475" s="50">
        <v>44510.6054862152</v>
      </c>
      <c r="C2475" s="51">
        <v>1.013</v>
      </c>
      <c r="D2475" s="51">
        <v>65.0</v>
      </c>
      <c r="E2475" s="52" t="s">
        <v>25</v>
      </c>
      <c r="F2475" s="52" t="s">
        <v>26</v>
      </c>
      <c r="G2475" s="53"/>
    </row>
    <row r="2476">
      <c r="A2476" s="49">
        <v>44510.490939537034</v>
      </c>
      <c r="B2476" s="50">
        <v>44510.6159069097</v>
      </c>
      <c r="C2476" s="51">
        <v>1.013</v>
      </c>
      <c r="D2476" s="51">
        <v>65.0</v>
      </c>
      <c r="E2476" s="52" t="s">
        <v>25</v>
      </c>
      <c r="F2476" s="52" t="s">
        <v>26</v>
      </c>
      <c r="G2476" s="53"/>
    </row>
    <row r="2477">
      <c r="A2477" s="49">
        <v>44510.501357037036</v>
      </c>
      <c r="B2477" s="50">
        <v>44510.6263286805</v>
      </c>
      <c r="C2477" s="51">
        <v>1.013</v>
      </c>
      <c r="D2477" s="51">
        <v>65.0</v>
      </c>
      <c r="E2477" s="52" t="s">
        <v>25</v>
      </c>
      <c r="F2477" s="52" t="s">
        <v>26</v>
      </c>
      <c r="G2477" s="53"/>
    </row>
    <row r="2478">
      <c r="A2478" s="49">
        <v>44510.51177576389</v>
      </c>
      <c r="B2478" s="50">
        <v>44510.6367483333</v>
      </c>
      <c r="C2478" s="51">
        <v>1.013</v>
      </c>
      <c r="D2478" s="51">
        <v>65.0</v>
      </c>
      <c r="E2478" s="52" t="s">
        <v>25</v>
      </c>
      <c r="F2478" s="52" t="s">
        <v>26</v>
      </c>
      <c r="G2478" s="53"/>
    </row>
    <row r="2479">
      <c r="A2479" s="49">
        <v>44510.5221865162</v>
      </c>
      <c r="B2479" s="50">
        <v>44510.6471692592</v>
      </c>
      <c r="C2479" s="51">
        <v>1.013</v>
      </c>
      <c r="D2479" s="51">
        <v>65.0</v>
      </c>
      <c r="E2479" s="52" t="s">
        <v>25</v>
      </c>
      <c r="F2479" s="52" t="s">
        <v>26</v>
      </c>
      <c r="G2479" s="53"/>
    </row>
    <row r="2480">
      <c r="A2480" s="49">
        <v>44510.53262224537</v>
      </c>
      <c r="B2480" s="50">
        <v>44510.6575915509</v>
      </c>
      <c r="C2480" s="51">
        <v>1.013</v>
      </c>
      <c r="D2480" s="51">
        <v>65.0</v>
      </c>
      <c r="E2480" s="52" t="s">
        <v>25</v>
      </c>
      <c r="F2480" s="52" t="s">
        <v>26</v>
      </c>
      <c r="G2480" s="53"/>
    </row>
    <row r="2481">
      <c r="A2481" s="49">
        <v>44510.54304434027</v>
      </c>
      <c r="B2481" s="50">
        <v>44510.6680110185</v>
      </c>
      <c r="C2481" s="51">
        <v>1.013</v>
      </c>
      <c r="D2481" s="51">
        <v>65.0</v>
      </c>
      <c r="E2481" s="52" t="s">
        <v>25</v>
      </c>
      <c r="F2481" s="52" t="s">
        <v>26</v>
      </c>
      <c r="G2481" s="53"/>
    </row>
    <row r="2482">
      <c r="A2482" s="49">
        <v>44510.553470046296</v>
      </c>
      <c r="B2482" s="50">
        <v>44510.6784438773</v>
      </c>
      <c r="C2482" s="51">
        <v>1.013</v>
      </c>
      <c r="D2482" s="51">
        <v>65.0</v>
      </c>
      <c r="E2482" s="52" t="s">
        <v>25</v>
      </c>
      <c r="F2482" s="52" t="s">
        <v>26</v>
      </c>
      <c r="G2482" s="53"/>
    </row>
    <row r="2483">
      <c r="A2483" s="49">
        <v>44510.563897858796</v>
      </c>
      <c r="B2483" s="50">
        <v>44510.6888651967</v>
      </c>
      <c r="C2483" s="51">
        <v>1.013</v>
      </c>
      <c r="D2483" s="51">
        <v>65.0</v>
      </c>
      <c r="E2483" s="52" t="s">
        <v>25</v>
      </c>
      <c r="F2483" s="52" t="s">
        <v>26</v>
      </c>
      <c r="G2483" s="53"/>
    </row>
    <row r="2484">
      <c r="A2484" s="49">
        <v>44510.57430928241</v>
      </c>
      <c r="B2484" s="50">
        <v>44510.6992856365</v>
      </c>
      <c r="C2484" s="51">
        <v>1.013</v>
      </c>
      <c r="D2484" s="51">
        <v>65.0</v>
      </c>
      <c r="E2484" s="52" t="s">
        <v>25</v>
      </c>
      <c r="F2484" s="52" t="s">
        <v>26</v>
      </c>
      <c r="G2484" s="53"/>
    </row>
    <row r="2485">
      <c r="A2485" s="49">
        <v>44510.58472753472</v>
      </c>
      <c r="B2485" s="50">
        <v>44510.7097066782</v>
      </c>
      <c r="C2485" s="51">
        <v>1.013</v>
      </c>
      <c r="D2485" s="51">
        <v>65.0</v>
      </c>
      <c r="E2485" s="52" t="s">
        <v>25</v>
      </c>
      <c r="F2485" s="52" t="s">
        <v>26</v>
      </c>
      <c r="G2485" s="53"/>
    </row>
    <row r="2486">
      <c r="A2486" s="49">
        <v>44510.595159108794</v>
      </c>
      <c r="B2486" s="50">
        <v>44510.7201285532</v>
      </c>
      <c r="C2486" s="51">
        <v>1.013</v>
      </c>
      <c r="D2486" s="51">
        <v>65.0</v>
      </c>
      <c r="E2486" s="52" t="s">
        <v>25</v>
      </c>
      <c r="F2486" s="52" t="s">
        <v>26</v>
      </c>
      <c r="G2486" s="53"/>
    </row>
    <row r="2487">
      <c r="A2487" s="49">
        <v>44510.60557944444</v>
      </c>
      <c r="B2487" s="50">
        <v>44510.7305500578</v>
      </c>
      <c r="C2487" s="51">
        <v>1.013</v>
      </c>
      <c r="D2487" s="51">
        <v>65.0</v>
      </c>
      <c r="E2487" s="52" t="s">
        <v>25</v>
      </c>
      <c r="F2487" s="52" t="s">
        <v>26</v>
      </c>
      <c r="G2487" s="53"/>
    </row>
    <row r="2488">
      <c r="A2488" s="49">
        <v>44510.61601105324</v>
      </c>
      <c r="B2488" s="50">
        <v>44510.7409833101</v>
      </c>
      <c r="C2488" s="51">
        <v>1.013</v>
      </c>
      <c r="D2488" s="51">
        <v>65.0</v>
      </c>
      <c r="E2488" s="52" t="s">
        <v>25</v>
      </c>
      <c r="F2488" s="52" t="s">
        <v>26</v>
      </c>
      <c r="G2488" s="53"/>
    </row>
    <row r="2489">
      <c r="A2489" s="49">
        <v>44510.62644414352</v>
      </c>
      <c r="B2489" s="50">
        <v>44510.7514049305</v>
      </c>
      <c r="C2489" s="51">
        <v>1.013</v>
      </c>
      <c r="D2489" s="51">
        <v>65.0</v>
      </c>
      <c r="E2489" s="52" t="s">
        <v>25</v>
      </c>
      <c r="F2489" s="52" t="s">
        <v>26</v>
      </c>
      <c r="G2489" s="53"/>
    </row>
    <row r="2490">
      <c r="A2490" s="49">
        <v>44510.636844803244</v>
      </c>
      <c r="B2490" s="50">
        <v>44510.7618252083</v>
      </c>
      <c r="C2490" s="51">
        <v>1.013</v>
      </c>
      <c r="D2490" s="51">
        <v>65.0</v>
      </c>
      <c r="E2490" s="52" t="s">
        <v>25</v>
      </c>
      <c r="F2490" s="52" t="s">
        <v>26</v>
      </c>
      <c r="G2490" s="53"/>
    </row>
    <row r="2491">
      <c r="A2491" s="49">
        <v>44510.647274143514</v>
      </c>
      <c r="B2491" s="50">
        <v>44510.7722474768</v>
      </c>
      <c r="C2491" s="51">
        <v>1.013</v>
      </c>
      <c r="D2491" s="51">
        <v>65.0</v>
      </c>
      <c r="E2491" s="52" t="s">
        <v>25</v>
      </c>
      <c r="F2491" s="52" t="s">
        <v>26</v>
      </c>
      <c r="G2491" s="53"/>
    </row>
    <row r="2492">
      <c r="A2492" s="49">
        <v>44510.657691562505</v>
      </c>
      <c r="B2492" s="50">
        <v>44510.7826686805</v>
      </c>
      <c r="C2492" s="51">
        <v>1.013</v>
      </c>
      <c r="D2492" s="51">
        <v>65.0</v>
      </c>
      <c r="E2492" s="52" t="s">
        <v>25</v>
      </c>
      <c r="F2492" s="52" t="s">
        <v>26</v>
      </c>
      <c r="G2492" s="53"/>
    </row>
    <row r="2493">
      <c r="A2493" s="49">
        <v>44510.66812487268</v>
      </c>
      <c r="B2493" s="50">
        <v>44510.793089074</v>
      </c>
      <c r="C2493" s="51">
        <v>1.013</v>
      </c>
      <c r="D2493" s="51">
        <v>65.0</v>
      </c>
      <c r="E2493" s="52" t="s">
        <v>25</v>
      </c>
      <c r="F2493" s="52" t="s">
        <v>26</v>
      </c>
      <c r="G2493" s="53"/>
    </row>
    <row r="2494">
      <c r="A2494" s="49">
        <v>44510.67853615741</v>
      </c>
      <c r="B2494" s="50">
        <v>44510.8035086342</v>
      </c>
      <c r="C2494" s="51">
        <v>1.013</v>
      </c>
      <c r="D2494" s="51">
        <v>65.0</v>
      </c>
      <c r="E2494" s="52" t="s">
        <v>25</v>
      </c>
      <c r="F2494" s="52" t="s">
        <v>26</v>
      </c>
      <c r="G2494" s="53"/>
    </row>
    <row r="2495">
      <c r="A2495" s="49">
        <v>44510.68895135417</v>
      </c>
      <c r="B2495" s="50">
        <v>44510.8139295949</v>
      </c>
      <c r="C2495" s="51">
        <v>1.013</v>
      </c>
      <c r="D2495" s="51">
        <v>65.0</v>
      </c>
      <c r="E2495" s="52" t="s">
        <v>25</v>
      </c>
      <c r="F2495" s="52" t="s">
        <v>26</v>
      </c>
      <c r="G2495" s="53"/>
    </row>
    <row r="2496">
      <c r="A2496" s="49">
        <v>44510.69937032407</v>
      </c>
      <c r="B2496" s="50">
        <v>44510.8243525115</v>
      </c>
      <c r="C2496" s="51">
        <v>1.013</v>
      </c>
      <c r="D2496" s="51">
        <v>65.0</v>
      </c>
      <c r="E2496" s="52" t="s">
        <v>25</v>
      </c>
      <c r="F2496" s="52" t="s">
        <v>26</v>
      </c>
      <c r="G2496" s="53"/>
    </row>
    <row r="2497">
      <c r="A2497" s="49">
        <v>44510.7098075463</v>
      </c>
      <c r="B2497" s="50">
        <v>44510.8347741088</v>
      </c>
      <c r="C2497" s="51">
        <v>1.013</v>
      </c>
      <c r="D2497" s="51">
        <v>65.0</v>
      </c>
      <c r="E2497" s="52" t="s">
        <v>25</v>
      </c>
      <c r="F2497" s="52" t="s">
        <v>26</v>
      </c>
      <c r="G2497" s="53"/>
    </row>
    <row r="2498">
      <c r="A2498" s="49">
        <v>44510.72023328704</v>
      </c>
      <c r="B2498" s="50">
        <v>44510.8452071875</v>
      </c>
      <c r="C2498" s="51">
        <v>1.013</v>
      </c>
      <c r="D2498" s="51">
        <v>65.0</v>
      </c>
      <c r="E2498" s="52" t="s">
        <v>25</v>
      </c>
      <c r="F2498" s="52" t="s">
        <v>26</v>
      </c>
      <c r="G2498" s="53"/>
    </row>
    <row r="2499">
      <c r="A2499" s="49">
        <v>44510.730649606485</v>
      </c>
      <c r="B2499" s="50">
        <v>44510.855629456</v>
      </c>
      <c r="C2499" s="51">
        <v>1.013</v>
      </c>
      <c r="D2499" s="51">
        <v>65.0</v>
      </c>
      <c r="E2499" s="52" t="s">
        <v>25</v>
      </c>
      <c r="F2499" s="52" t="s">
        <v>26</v>
      </c>
      <c r="G2499" s="53"/>
    </row>
    <row r="2500">
      <c r="A2500" s="49">
        <v>44510.741089560186</v>
      </c>
      <c r="B2500" s="50">
        <v>44510.866061412</v>
      </c>
      <c r="C2500" s="51">
        <v>1.013</v>
      </c>
      <c r="D2500" s="51">
        <v>65.0</v>
      </c>
      <c r="E2500" s="52" t="s">
        <v>25</v>
      </c>
      <c r="F2500" s="52" t="s">
        <v>26</v>
      </c>
      <c r="G2500" s="53"/>
    </row>
    <row r="2501">
      <c r="A2501" s="49">
        <v>44510.75152243055</v>
      </c>
      <c r="B2501" s="50">
        <v>44510.8764936921</v>
      </c>
      <c r="C2501" s="51">
        <v>1.013</v>
      </c>
      <c r="D2501" s="51">
        <v>65.0</v>
      </c>
      <c r="E2501" s="52" t="s">
        <v>25</v>
      </c>
      <c r="F2501" s="52" t="s">
        <v>26</v>
      </c>
      <c r="G2501" s="53"/>
    </row>
    <row r="2502">
      <c r="A2502" s="49">
        <v>44510.76193121528</v>
      </c>
      <c r="B2502" s="50">
        <v>44510.8869135532</v>
      </c>
      <c r="C2502" s="51">
        <v>1.013</v>
      </c>
      <c r="D2502" s="51">
        <v>65.0</v>
      </c>
      <c r="E2502" s="52" t="s">
        <v>25</v>
      </c>
      <c r="F2502" s="52" t="s">
        <v>26</v>
      </c>
      <c r="G2502" s="53"/>
    </row>
    <row r="2503">
      <c r="A2503" s="49">
        <v>44510.77236145834</v>
      </c>
      <c r="B2503" s="50">
        <v>44510.8973352893</v>
      </c>
      <c r="C2503" s="51">
        <v>1.013</v>
      </c>
      <c r="D2503" s="51">
        <v>65.0</v>
      </c>
      <c r="E2503" s="52" t="s">
        <v>25</v>
      </c>
      <c r="F2503" s="52" t="s">
        <v>26</v>
      </c>
      <c r="G2503" s="53"/>
    </row>
    <row r="2504">
      <c r="A2504" s="49">
        <v>44510.78277994213</v>
      </c>
      <c r="B2504" s="50">
        <v>44510.9077565509</v>
      </c>
      <c r="C2504" s="51">
        <v>1.013</v>
      </c>
      <c r="D2504" s="51">
        <v>65.0</v>
      </c>
      <c r="E2504" s="52" t="s">
        <v>25</v>
      </c>
      <c r="F2504" s="52" t="s">
        <v>26</v>
      </c>
      <c r="G2504" s="53"/>
    </row>
    <row r="2505">
      <c r="A2505" s="49">
        <v>44510.79320060185</v>
      </c>
      <c r="B2505" s="50">
        <v>44510.9181776851</v>
      </c>
      <c r="C2505" s="51">
        <v>1.013</v>
      </c>
      <c r="D2505" s="51">
        <v>65.0</v>
      </c>
      <c r="E2505" s="52" t="s">
        <v>25</v>
      </c>
      <c r="F2505" s="52" t="s">
        <v>26</v>
      </c>
      <c r="G2505" s="53"/>
    </row>
    <row r="2506">
      <c r="A2506" s="49">
        <v>44510.80362194445</v>
      </c>
      <c r="B2506" s="50">
        <v>44510.9285998495</v>
      </c>
      <c r="C2506" s="51">
        <v>1.013</v>
      </c>
      <c r="D2506" s="51">
        <v>65.0</v>
      </c>
      <c r="E2506" s="52" t="s">
        <v>25</v>
      </c>
      <c r="F2506" s="52" t="s">
        <v>26</v>
      </c>
      <c r="G2506" s="53"/>
    </row>
    <row r="2507">
      <c r="A2507" s="49">
        <v>44510.814039097226</v>
      </c>
      <c r="B2507" s="50">
        <v>44510.9390179976</v>
      </c>
      <c r="C2507" s="51">
        <v>1.013</v>
      </c>
      <c r="D2507" s="51">
        <v>65.0</v>
      </c>
      <c r="E2507" s="52" t="s">
        <v>25</v>
      </c>
      <c r="F2507" s="52" t="s">
        <v>26</v>
      </c>
      <c r="G2507" s="53"/>
    </row>
    <row r="2508">
      <c r="A2508" s="49">
        <v>44510.82445881944</v>
      </c>
      <c r="B2508" s="50">
        <v>44510.9494380208</v>
      </c>
      <c r="C2508" s="51">
        <v>1.013</v>
      </c>
      <c r="D2508" s="51">
        <v>65.0</v>
      </c>
      <c r="E2508" s="52" t="s">
        <v>25</v>
      </c>
      <c r="F2508" s="52" t="s">
        <v>26</v>
      </c>
      <c r="G2508" s="53"/>
    </row>
    <row r="2509">
      <c r="A2509" s="49">
        <v>44510.83492459491</v>
      </c>
      <c r="B2509" s="50">
        <v>44510.9599050231</v>
      </c>
      <c r="C2509" s="51">
        <v>1.013</v>
      </c>
      <c r="D2509" s="51">
        <v>65.0</v>
      </c>
      <c r="E2509" s="52" t="s">
        <v>25</v>
      </c>
      <c r="F2509" s="52" t="s">
        <v>26</v>
      </c>
      <c r="G2509" s="53"/>
    </row>
    <row r="2510">
      <c r="A2510" s="49">
        <v>44510.84535200232</v>
      </c>
      <c r="B2510" s="50">
        <v>44510.9703275925</v>
      </c>
      <c r="C2510" s="51">
        <v>1.013</v>
      </c>
      <c r="D2510" s="51">
        <v>65.0</v>
      </c>
      <c r="E2510" s="52" t="s">
        <v>25</v>
      </c>
      <c r="F2510" s="52" t="s">
        <v>26</v>
      </c>
      <c r="G2510" s="53"/>
    </row>
    <row r="2511">
      <c r="A2511" s="49">
        <v>44510.85578976852</v>
      </c>
      <c r="B2511" s="50">
        <v>44510.9807618402</v>
      </c>
      <c r="C2511" s="51">
        <v>1.013</v>
      </c>
      <c r="D2511" s="51">
        <v>65.0</v>
      </c>
      <c r="E2511" s="52" t="s">
        <v>25</v>
      </c>
      <c r="F2511" s="52" t="s">
        <v>26</v>
      </c>
      <c r="G2511" s="53"/>
    </row>
    <row r="2512">
      <c r="A2512" s="49">
        <v>44510.86621255787</v>
      </c>
      <c r="B2512" s="50">
        <v>44510.9911849305</v>
      </c>
      <c r="C2512" s="51">
        <v>1.013</v>
      </c>
      <c r="D2512" s="51">
        <v>65.0</v>
      </c>
      <c r="E2512" s="52" t="s">
        <v>25</v>
      </c>
      <c r="F2512" s="52" t="s">
        <v>26</v>
      </c>
      <c r="G2512" s="53"/>
    </row>
    <row r="2513">
      <c r="A2513" s="49">
        <v>44510.87663546296</v>
      </c>
      <c r="B2513" s="50">
        <v>44511.00160603</v>
      </c>
      <c r="C2513" s="51">
        <v>1.013</v>
      </c>
      <c r="D2513" s="51">
        <v>65.0</v>
      </c>
      <c r="E2513" s="52" t="s">
        <v>25</v>
      </c>
      <c r="F2513" s="52" t="s">
        <v>26</v>
      </c>
      <c r="G2513" s="53"/>
    </row>
    <row r="2514">
      <c r="A2514" s="49">
        <v>44510.88704741898</v>
      </c>
      <c r="B2514" s="50">
        <v>44511.0120255787</v>
      </c>
      <c r="C2514" s="51">
        <v>1.013</v>
      </c>
      <c r="D2514" s="51">
        <v>65.0</v>
      </c>
      <c r="E2514" s="52" t="s">
        <v>25</v>
      </c>
      <c r="F2514" s="52" t="s">
        <v>26</v>
      </c>
      <c r="G2514" s="53"/>
    </row>
    <row r="2515">
      <c r="A2515" s="49">
        <v>44510.897476770835</v>
      </c>
      <c r="B2515" s="50">
        <v>44511.022446875</v>
      </c>
      <c r="C2515" s="51">
        <v>1.013</v>
      </c>
      <c r="D2515" s="51">
        <v>65.0</v>
      </c>
      <c r="E2515" s="52" t="s">
        <v>25</v>
      </c>
      <c r="F2515" s="52" t="s">
        <v>26</v>
      </c>
      <c r="G2515" s="53"/>
    </row>
    <row r="2516">
      <c r="A2516" s="49">
        <v>44510.90789519676</v>
      </c>
      <c r="B2516" s="50">
        <v>44511.0328675925</v>
      </c>
      <c r="C2516" s="51">
        <v>1.013</v>
      </c>
      <c r="D2516" s="51">
        <v>65.0</v>
      </c>
      <c r="E2516" s="52" t="s">
        <v>25</v>
      </c>
      <c r="F2516" s="52" t="s">
        <v>26</v>
      </c>
      <c r="G2516" s="53"/>
    </row>
    <row r="2517">
      <c r="A2517" s="49">
        <v>44510.91832454861</v>
      </c>
      <c r="B2517" s="50">
        <v>44511.0433002661</v>
      </c>
      <c r="C2517" s="51">
        <v>1.013</v>
      </c>
      <c r="D2517" s="51">
        <v>65.0</v>
      </c>
      <c r="E2517" s="52" t="s">
        <v>25</v>
      </c>
      <c r="F2517" s="52" t="s">
        <v>26</v>
      </c>
      <c r="G2517" s="53"/>
    </row>
    <row r="2518">
      <c r="A2518" s="49">
        <v>44510.92874682871</v>
      </c>
      <c r="B2518" s="50">
        <v>44511.053723287</v>
      </c>
      <c r="C2518" s="51">
        <v>1.013</v>
      </c>
      <c r="D2518" s="51">
        <v>65.0</v>
      </c>
      <c r="E2518" s="52" t="s">
        <v>25</v>
      </c>
      <c r="F2518" s="52" t="s">
        <v>26</v>
      </c>
      <c r="G2518" s="53"/>
    </row>
    <row r="2519">
      <c r="A2519" s="49">
        <v>44510.93917509259</v>
      </c>
      <c r="B2519" s="50">
        <v>44511.0641454398</v>
      </c>
      <c r="C2519" s="51">
        <v>1.013</v>
      </c>
      <c r="D2519" s="51">
        <v>65.0</v>
      </c>
      <c r="E2519" s="52" t="s">
        <v>25</v>
      </c>
      <c r="F2519" s="52" t="s">
        <v>26</v>
      </c>
      <c r="G2519" s="53"/>
    </row>
    <row r="2520">
      <c r="A2520" s="49">
        <v>44510.94958314815</v>
      </c>
      <c r="B2520" s="50">
        <v>44511.0745652662</v>
      </c>
      <c r="C2520" s="51">
        <v>1.013</v>
      </c>
      <c r="D2520" s="51">
        <v>65.0</v>
      </c>
      <c r="E2520" s="52" t="s">
        <v>25</v>
      </c>
      <c r="F2520" s="52" t="s">
        <v>26</v>
      </c>
      <c r="G2520" s="53"/>
    </row>
    <row r="2521">
      <c r="A2521" s="49">
        <v>44510.960014490745</v>
      </c>
      <c r="B2521" s="50">
        <v>44511.0849867592</v>
      </c>
      <c r="C2521" s="51">
        <v>1.013</v>
      </c>
      <c r="D2521" s="51">
        <v>65.0</v>
      </c>
      <c r="E2521" s="52" t="s">
        <v>25</v>
      </c>
      <c r="F2521" s="52" t="s">
        <v>26</v>
      </c>
      <c r="G2521" s="53"/>
    </row>
    <row r="2522">
      <c r="A2522" s="49">
        <v>44510.970445555555</v>
      </c>
      <c r="B2522" s="50">
        <v>44511.0954187384</v>
      </c>
      <c r="C2522" s="51">
        <v>1.013</v>
      </c>
      <c r="D2522" s="51">
        <v>65.0</v>
      </c>
      <c r="E2522" s="52" t="s">
        <v>25</v>
      </c>
      <c r="F2522" s="52" t="s">
        <v>26</v>
      </c>
      <c r="G2522" s="53"/>
    </row>
    <row r="2523">
      <c r="A2523" s="49">
        <v>44510.98088163194</v>
      </c>
      <c r="B2523" s="50">
        <v>44511.1058528819</v>
      </c>
      <c r="C2523" s="51">
        <v>1.013</v>
      </c>
      <c r="D2523" s="51">
        <v>65.0</v>
      </c>
      <c r="E2523" s="52" t="s">
        <v>25</v>
      </c>
      <c r="F2523" s="52" t="s">
        <v>26</v>
      </c>
      <c r="G2523" s="53"/>
    </row>
    <row r="2524">
      <c r="A2524" s="49">
        <v>44510.99129438658</v>
      </c>
      <c r="B2524" s="50">
        <v>44511.1162743981</v>
      </c>
      <c r="C2524" s="51">
        <v>1.013</v>
      </c>
      <c r="D2524" s="51">
        <v>65.0</v>
      </c>
      <c r="E2524" s="52" t="s">
        <v>25</v>
      </c>
      <c r="F2524" s="52" t="s">
        <v>26</v>
      </c>
      <c r="G2524" s="53"/>
    </row>
    <row r="2525">
      <c r="A2525" s="49">
        <v>44511.00172547453</v>
      </c>
      <c r="B2525" s="50">
        <v>44511.1267048842</v>
      </c>
      <c r="C2525" s="51">
        <v>1.013</v>
      </c>
      <c r="D2525" s="51">
        <v>65.0</v>
      </c>
      <c r="E2525" s="52" t="s">
        <v>25</v>
      </c>
      <c r="F2525" s="52" t="s">
        <v>26</v>
      </c>
      <c r="G2525" s="53"/>
    </row>
    <row r="2526">
      <c r="A2526" s="49">
        <v>44511.01216547454</v>
      </c>
      <c r="B2526" s="50">
        <v>44511.1371383912</v>
      </c>
      <c r="C2526" s="51">
        <v>1.013</v>
      </c>
      <c r="D2526" s="51">
        <v>65.0</v>
      </c>
      <c r="E2526" s="52" t="s">
        <v>25</v>
      </c>
      <c r="F2526" s="52" t="s">
        <v>26</v>
      </c>
      <c r="G2526" s="53"/>
    </row>
    <row r="2527">
      <c r="A2527" s="49">
        <v>44511.02259731482</v>
      </c>
      <c r="B2527" s="50">
        <v>44511.1475714236</v>
      </c>
      <c r="C2527" s="51">
        <v>1.013</v>
      </c>
      <c r="D2527" s="51">
        <v>65.0</v>
      </c>
      <c r="E2527" s="52" t="s">
        <v>25</v>
      </c>
      <c r="F2527" s="52" t="s">
        <v>26</v>
      </c>
      <c r="G2527" s="53"/>
    </row>
    <row r="2528">
      <c r="A2528" s="49">
        <v>44511.03301688658</v>
      </c>
      <c r="B2528" s="50">
        <v>44511.1579941087</v>
      </c>
      <c r="C2528" s="51">
        <v>1.013</v>
      </c>
      <c r="D2528" s="51">
        <v>65.0</v>
      </c>
      <c r="E2528" s="52" t="s">
        <v>25</v>
      </c>
      <c r="F2528" s="52" t="s">
        <v>26</v>
      </c>
      <c r="G2528" s="53"/>
    </row>
    <row r="2529">
      <c r="A2529" s="49">
        <v>44511.04343372685</v>
      </c>
      <c r="B2529" s="50">
        <v>44511.1684132175</v>
      </c>
      <c r="C2529" s="51">
        <v>1.012</v>
      </c>
      <c r="D2529" s="51">
        <v>65.0</v>
      </c>
      <c r="E2529" s="52" t="s">
        <v>25</v>
      </c>
      <c r="F2529" s="52" t="s">
        <v>26</v>
      </c>
      <c r="G2529" s="53"/>
    </row>
    <row r="2530">
      <c r="A2530" s="49">
        <v>44511.05386701389</v>
      </c>
      <c r="B2530" s="50">
        <v>44511.1788464351</v>
      </c>
      <c r="C2530" s="51">
        <v>1.013</v>
      </c>
      <c r="D2530" s="51">
        <v>65.0</v>
      </c>
      <c r="E2530" s="52" t="s">
        <v>25</v>
      </c>
      <c r="F2530" s="52" t="s">
        <v>26</v>
      </c>
      <c r="G2530" s="53"/>
    </row>
    <row r="2531">
      <c r="A2531" s="49">
        <v>44511.064297627316</v>
      </c>
      <c r="B2531" s="50">
        <v>44511.1892690393</v>
      </c>
      <c r="C2531" s="51">
        <v>1.013</v>
      </c>
      <c r="D2531" s="51">
        <v>65.0</v>
      </c>
      <c r="E2531" s="52" t="s">
        <v>25</v>
      </c>
      <c r="F2531" s="52" t="s">
        <v>26</v>
      </c>
      <c r="G2531" s="53"/>
    </row>
    <row r="2532">
      <c r="A2532" s="49">
        <v>44511.07471798611</v>
      </c>
      <c r="B2532" s="50">
        <v>44511.1996903819</v>
      </c>
      <c r="C2532" s="51">
        <v>1.013</v>
      </c>
      <c r="D2532" s="51">
        <v>65.0</v>
      </c>
      <c r="E2532" s="52" t="s">
        <v>25</v>
      </c>
      <c r="F2532" s="52" t="s">
        <v>26</v>
      </c>
      <c r="G2532" s="53"/>
    </row>
    <row r="2533">
      <c r="A2533" s="49">
        <v>44511.08513969908</v>
      </c>
      <c r="B2533" s="50">
        <v>44511.2101109953</v>
      </c>
      <c r="C2533" s="51">
        <v>1.013</v>
      </c>
      <c r="D2533" s="51">
        <v>65.0</v>
      </c>
      <c r="E2533" s="52" t="s">
        <v>25</v>
      </c>
      <c r="F2533" s="52" t="s">
        <v>26</v>
      </c>
      <c r="G2533" s="53"/>
    </row>
    <row r="2534">
      <c r="A2534" s="49">
        <v>44511.09556268519</v>
      </c>
      <c r="B2534" s="50">
        <v>44511.2205320023</v>
      </c>
      <c r="C2534" s="51">
        <v>1.013</v>
      </c>
      <c r="D2534" s="51">
        <v>65.0</v>
      </c>
      <c r="E2534" s="52" t="s">
        <v>25</v>
      </c>
      <c r="F2534" s="52" t="s">
        <v>26</v>
      </c>
      <c r="G2534" s="53"/>
    </row>
    <row r="2535">
      <c r="A2535" s="49">
        <v>44511.10597229167</v>
      </c>
      <c r="B2535" s="50">
        <v>44511.2309514236</v>
      </c>
      <c r="C2535" s="51">
        <v>1.013</v>
      </c>
      <c r="D2535" s="51">
        <v>65.0</v>
      </c>
      <c r="E2535" s="52" t="s">
        <v>25</v>
      </c>
      <c r="F2535" s="52" t="s">
        <v>26</v>
      </c>
      <c r="G2535" s="53"/>
    </row>
    <row r="2536">
      <c r="A2536" s="49">
        <v>44511.11640321759</v>
      </c>
      <c r="B2536" s="50">
        <v>44511.2413850925</v>
      </c>
      <c r="C2536" s="51">
        <v>1.013</v>
      </c>
      <c r="D2536" s="51">
        <v>65.0</v>
      </c>
      <c r="E2536" s="52" t="s">
        <v>25</v>
      </c>
      <c r="F2536" s="52" t="s">
        <v>26</v>
      </c>
      <c r="G2536" s="53"/>
    </row>
    <row r="2537">
      <c r="A2537" s="49">
        <v>44511.126936863424</v>
      </c>
      <c r="B2537" s="50">
        <v>44511.251911493</v>
      </c>
      <c r="C2537" s="51">
        <v>1.013</v>
      </c>
      <c r="D2537" s="51">
        <v>65.0</v>
      </c>
      <c r="E2537" s="52" t="s">
        <v>25</v>
      </c>
      <c r="F2537" s="52" t="s">
        <v>26</v>
      </c>
      <c r="G2537" s="53"/>
    </row>
    <row r="2538">
      <c r="A2538" s="49">
        <v>44511.13735787037</v>
      </c>
      <c r="B2538" s="50">
        <v>44511.2623308333</v>
      </c>
      <c r="C2538" s="51">
        <v>1.013</v>
      </c>
      <c r="D2538" s="51">
        <v>65.0</v>
      </c>
      <c r="E2538" s="52" t="s">
        <v>25</v>
      </c>
      <c r="F2538" s="52" t="s">
        <v>26</v>
      </c>
      <c r="G2538" s="53"/>
    </row>
    <row r="2539">
      <c r="A2539" s="49">
        <v>44511.14777949074</v>
      </c>
      <c r="B2539" s="50">
        <v>44511.2727526157</v>
      </c>
      <c r="C2539" s="51">
        <v>1.013</v>
      </c>
      <c r="D2539" s="51">
        <v>65.0</v>
      </c>
      <c r="E2539" s="52" t="s">
        <v>25</v>
      </c>
      <c r="F2539" s="52" t="s">
        <v>26</v>
      </c>
      <c r="G2539" s="53"/>
    </row>
    <row r="2540">
      <c r="A2540" s="49">
        <v>44511.15823511574</v>
      </c>
      <c r="B2540" s="50">
        <v>44511.2832099537</v>
      </c>
      <c r="C2540" s="51">
        <v>1.013</v>
      </c>
      <c r="D2540" s="51">
        <v>65.0</v>
      </c>
      <c r="E2540" s="52" t="s">
        <v>25</v>
      </c>
      <c r="F2540" s="52" t="s">
        <v>26</v>
      </c>
      <c r="G2540" s="53"/>
    </row>
    <row r="2541">
      <c r="A2541" s="49">
        <v>44511.16866939815</v>
      </c>
      <c r="B2541" s="50">
        <v>44511.2936411921</v>
      </c>
      <c r="C2541" s="51">
        <v>1.013</v>
      </c>
      <c r="D2541" s="51">
        <v>65.0</v>
      </c>
      <c r="E2541" s="52" t="s">
        <v>25</v>
      </c>
      <c r="F2541" s="52" t="s">
        <v>26</v>
      </c>
      <c r="G2541" s="53"/>
    </row>
    <row r="2542">
      <c r="A2542" s="49">
        <v>44511.17909903935</v>
      </c>
      <c r="B2542" s="50">
        <v>44511.3040754398</v>
      </c>
      <c r="C2542" s="51">
        <v>1.013</v>
      </c>
      <c r="D2542" s="51">
        <v>65.0</v>
      </c>
      <c r="E2542" s="52" t="s">
        <v>25</v>
      </c>
      <c r="F2542" s="52" t="s">
        <v>26</v>
      </c>
      <c r="G2542" s="53"/>
    </row>
    <row r="2543">
      <c r="A2543" s="49">
        <v>44511.189513935184</v>
      </c>
      <c r="B2543" s="50">
        <v>44511.3144961458</v>
      </c>
      <c r="C2543" s="51">
        <v>1.013</v>
      </c>
      <c r="D2543" s="51">
        <v>65.0</v>
      </c>
      <c r="E2543" s="52" t="s">
        <v>25</v>
      </c>
      <c r="F2543" s="52" t="s">
        <v>26</v>
      </c>
      <c r="G2543" s="53"/>
    </row>
    <row r="2544">
      <c r="A2544" s="49">
        <v>44511.20028046296</v>
      </c>
      <c r="B2544" s="50">
        <v>44511.3249155902</v>
      </c>
      <c r="C2544" s="51">
        <v>1.013</v>
      </c>
      <c r="D2544" s="51">
        <v>65.0</v>
      </c>
      <c r="E2544" s="52" t="s">
        <v>25</v>
      </c>
      <c r="F2544" s="52" t="s">
        <v>26</v>
      </c>
      <c r="G2544" s="53"/>
    </row>
    <row r="2545">
      <c r="A2545" s="49">
        <v>44511.21037730324</v>
      </c>
      <c r="B2545" s="50">
        <v>44511.3353486111</v>
      </c>
      <c r="C2545" s="51">
        <v>1.013</v>
      </c>
      <c r="D2545" s="51">
        <v>65.0</v>
      </c>
      <c r="E2545" s="52" t="s">
        <v>25</v>
      </c>
      <c r="F2545" s="52" t="s">
        <v>26</v>
      </c>
      <c r="G2545" s="53"/>
    </row>
    <row r="2546">
      <c r="A2546" s="49">
        <v>44511.22082883102</v>
      </c>
      <c r="B2546" s="50">
        <v>44511.3458056597</v>
      </c>
      <c r="C2546" s="51">
        <v>1.013</v>
      </c>
      <c r="D2546" s="51">
        <v>65.0</v>
      </c>
      <c r="E2546" s="52" t="s">
        <v>25</v>
      </c>
      <c r="F2546" s="52" t="s">
        <v>26</v>
      </c>
      <c r="G2546" s="53"/>
    </row>
    <row r="2547">
      <c r="A2547" s="49">
        <v>44511.231246157404</v>
      </c>
      <c r="B2547" s="50">
        <v>44511.35622603</v>
      </c>
      <c r="C2547" s="51">
        <v>1.013</v>
      </c>
      <c r="D2547" s="51">
        <v>65.0</v>
      </c>
      <c r="E2547" s="52" t="s">
        <v>25</v>
      </c>
      <c r="F2547" s="52" t="s">
        <v>26</v>
      </c>
      <c r="G2547" s="53"/>
    </row>
    <row r="2548">
      <c r="A2548" s="49">
        <v>44511.24166515046</v>
      </c>
      <c r="B2548" s="50">
        <v>44511.3666466435</v>
      </c>
      <c r="C2548" s="51">
        <v>1.013</v>
      </c>
      <c r="D2548" s="51">
        <v>65.0</v>
      </c>
      <c r="E2548" s="52" t="s">
        <v>25</v>
      </c>
      <c r="F2548" s="52" t="s">
        <v>26</v>
      </c>
      <c r="G2548" s="53"/>
    </row>
    <row r="2549">
      <c r="A2549" s="49">
        <v>44511.25211429398</v>
      </c>
      <c r="B2549" s="50">
        <v>44511.3770913773</v>
      </c>
      <c r="C2549" s="51">
        <v>1.013</v>
      </c>
      <c r="D2549" s="51">
        <v>65.0</v>
      </c>
      <c r="E2549" s="52" t="s">
        <v>25</v>
      </c>
      <c r="F2549" s="52" t="s">
        <v>26</v>
      </c>
      <c r="G2549" s="53"/>
    </row>
    <row r="2550">
      <c r="A2550" s="49">
        <v>44511.26254085648</v>
      </c>
      <c r="B2550" s="50">
        <v>44511.3875241087</v>
      </c>
      <c r="C2550" s="51">
        <v>1.013</v>
      </c>
      <c r="D2550" s="51">
        <v>65.0</v>
      </c>
      <c r="E2550" s="52" t="s">
        <v>25</v>
      </c>
      <c r="F2550" s="52" t="s">
        <v>26</v>
      </c>
      <c r="G2550" s="53"/>
    </row>
    <row r="2551">
      <c r="A2551" s="49">
        <v>44511.272991666665</v>
      </c>
      <c r="B2551" s="50">
        <v>44511.3979588541</v>
      </c>
      <c r="C2551" s="51">
        <v>1.013</v>
      </c>
      <c r="D2551" s="51">
        <v>65.0</v>
      </c>
      <c r="E2551" s="52" t="s">
        <v>25</v>
      </c>
      <c r="F2551" s="52" t="s">
        <v>26</v>
      </c>
      <c r="G2551" s="53"/>
    </row>
    <row r="2552">
      <c r="A2552" s="49">
        <v>44511.2834208912</v>
      </c>
      <c r="B2552" s="50">
        <v>44511.4083916435</v>
      </c>
      <c r="C2552" s="51">
        <v>1.013</v>
      </c>
      <c r="D2552" s="51">
        <v>65.0</v>
      </c>
      <c r="E2552" s="52" t="s">
        <v>25</v>
      </c>
      <c r="F2552" s="52" t="s">
        <v>26</v>
      </c>
      <c r="G2552" s="53"/>
    </row>
    <row r="2553">
      <c r="A2553" s="49">
        <v>44511.29386988426</v>
      </c>
      <c r="B2553" s="50">
        <v>44511.4188358101</v>
      </c>
      <c r="C2553" s="51">
        <v>1.013</v>
      </c>
      <c r="D2553" s="51">
        <v>65.0</v>
      </c>
      <c r="E2553" s="52" t="s">
        <v>25</v>
      </c>
      <c r="F2553" s="52" t="s">
        <v>26</v>
      </c>
      <c r="G2553" s="53"/>
    </row>
    <row r="2554">
      <c r="A2554" s="49">
        <v>44511.304276180555</v>
      </c>
      <c r="B2554" s="50">
        <v>44511.4292571412</v>
      </c>
      <c r="C2554" s="51">
        <v>1.013</v>
      </c>
      <c r="D2554" s="51">
        <v>65.0</v>
      </c>
      <c r="E2554" s="52" t="s">
        <v>25</v>
      </c>
      <c r="F2554" s="52" t="s">
        <v>26</v>
      </c>
      <c r="G2554" s="53"/>
    </row>
    <row r="2555">
      <c r="A2555" s="49">
        <v>44511.314703067124</v>
      </c>
      <c r="B2555" s="50">
        <v>44511.4396772916</v>
      </c>
      <c r="C2555" s="51">
        <v>1.013</v>
      </c>
      <c r="D2555" s="51">
        <v>65.0</v>
      </c>
      <c r="E2555" s="52" t="s">
        <v>25</v>
      </c>
      <c r="F2555" s="52" t="s">
        <v>26</v>
      </c>
      <c r="G2555" s="53"/>
    </row>
    <row r="2556">
      <c r="A2556" s="49">
        <v>44511.325127986114</v>
      </c>
      <c r="B2556" s="50">
        <v>44511.4500994676</v>
      </c>
      <c r="C2556" s="51">
        <v>1.013</v>
      </c>
      <c r="D2556" s="51">
        <v>65.0</v>
      </c>
      <c r="E2556" s="52" t="s">
        <v>25</v>
      </c>
      <c r="F2556" s="52" t="s">
        <v>26</v>
      </c>
      <c r="G2556" s="53"/>
    </row>
    <row r="2557">
      <c r="A2557" s="49">
        <v>44511.33554417824</v>
      </c>
      <c r="B2557" s="50">
        <v>44511.4605195138</v>
      </c>
      <c r="C2557" s="51">
        <v>1.013</v>
      </c>
      <c r="D2557" s="51">
        <v>65.0</v>
      </c>
      <c r="E2557" s="52" t="s">
        <v>25</v>
      </c>
      <c r="F2557" s="52" t="s">
        <v>26</v>
      </c>
      <c r="G2557" s="53"/>
    </row>
    <row r="2558">
      <c r="A2558" s="49">
        <v>44511.345984224536</v>
      </c>
      <c r="B2558" s="50">
        <v>44511.47096375</v>
      </c>
      <c r="C2558" s="51">
        <v>1.013</v>
      </c>
      <c r="D2558" s="51">
        <v>65.0</v>
      </c>
      <c r="E2558" s="52" t="s">
        <v>25</v>
      </c>
      <c r="F2558" s="52" t="s">
        <v>26</v>
      </c>
      <c r="G2558" s="53"/>
    </row>
    <row r="2559">
      <c r="A2559" s="49">
        <v>44511.35641474537</v>
      </c>
      <c r="B2559" s="50">
        <v>44511.481385324</v>
      </c>
      <c r="C2559" s="51">
        <v>1.013</v>
      </c>
      <c r="D2559" s="51">
        <v>65.0</v>
      </c>
      <c r="E2559" s="52" t="s">
        <v>25</v>
      </c>
      <c r="F2559" s="52" t="s">
        <v>26</v>
      </c>
      <c r="G2559" s="53"/>
    </row>
    <row r="2560">
      <c r="A2560" s="49">
        <v>44511.36683506945</v>
      </c>
      <c r="B2560" s="50">
        <v>44511.4918062384</v>
      </c>
      <c r="C2560" s="51">
        <v>1.013</v>
      </c>
      <c r="D2560" s="51">
        <v>65.0</v>
      </c>
      <c r="E2560" s="52" t="s">
        <v>25</v>
      </c>
      <c r="F2560" s="52" t="s">
        <v>26</v>
      </c>
      <c r="G2560" s="53"/>
    </row>
    <row r="2561">
      <c r="A2561" s="49">
        <v>44511.377260567126</v>
      </c>
      <c r="B2561" s="50">
        <v>44511.5022278587</v>
      </c>
      <c r="C2561" s="51">
        <v>1.013</v>
      </c>
      <c r="D2561" s="51">
        <v>65.0</v>
      </c>
      <c r="E2561" s="52" t="s">
        <v>25</v>
      </c>
      <c r="F2561" s="52" t="s">
        <v>26</v>
      </c>
      <c r="G2561" s="53"/>
    </row>
    <row r="2562">
      <c r="A2562" s="49">
        <v>44511.387673680554</v>
      </c>
      <c r="B2562" s="50">
        <v>44511.5126492129</v>
      </c>
      <c r="C2562" s="51">
        <v>1.013</v>
      </c>
      <c r="D2562" s="51">
        <v>65.0</v>
      </c>
      <c r="E2562" s="52" t="s">
        <v>25</v>
      </c>
      <c r="F2562" s="52" t="s">
        <v>26</v>
      </c>
      <c r="G2562" s="53"/>
    </row>
    <row r="2563">
      <c r="A2563" s="49">
        <v>44511.39809263889</v>
      </c>
      <c r="B2563" s="50">
        <v>44511.5230695254</v>
      </c>
      <c r="C2563" s="51">
        <v>1.013</v>
      </c>
      <c r="D2563" s="51">
        <v>65.0</v>
      </c>
      <c r="E2563" s="52" t="s">
        <v>25</v>
      </c>
      <c r="F2563" s="52" t="s">
        <v>26</v>
      </c>
      <c r="G2563" s="53"/>
    </row>
    <row r="2564">
      <c r="A2564" s="49">
        <v>44511.408523668986</v>
      </c>
      <c r="B2564" s="50">
        <v>44511.5334916319</v>
      </c>
      <c r="C2564" s="51">
        <v>1.012</v>
      </c>
      <c r="D2564" s="51">
        <v>65.0</v>
      </c>
      <c r="E2564" s="52" t="s">
        <v>25</v>
      </c>
      <c r="F2564" s="52" t="s">
        <v>26</v>
      </c>
      <c r="G2564" s="53"/>
    </row>
    <row r="2565">
      <c r="A2565" s="49">
        <v>44511.41894325231</v>
      </c>
      <c r="B2565" s="50">
        <v>44511.5439127314</v>
      </c>
      <c r="C2565" s="51">
        <v>1.013</v>
      </c>
      <c r="D2565" s="51">
        <v>65.0</v>
      </c>
      <c r="E2565" s="52" t="s">
        <v>25</v>
      </c>
      <c r="F2565" s="52" t="s">
        <v>26</v>
      </c>
      <c r="G2565" s="53"/>
    </row>
    <row r="2566">
      <c r="A2566" s="49">
        <v>44511.42937423611</v>
      </c>
      <c r="B2566" s="50">
        <v>44511.5543434143</v>
      </c>
      <c r="C2566" s="51">
        <v>1.013</v>
      </c>
      <c r="D2566" s="51">
        <v>65.0</v>
      </c>
      <c r="E2566" s="52" t="s">
        <v>25</v>
      </c>
      <c r="F2566" s="52" t="s">
        <v>26</v>
      </c>
      <c r="G2566" s="53"/>
    </row>
    <row r="2567">
      <c r="A2567" s="49">
        <v>44511.439794363425</v>
      </c>
      <c r="B2567" s="50">
        <v>44511.5647636342</v>
      </c>
      <c r="C2567" s="51">
        <v>1.013</v>
      </c>
      <c r="D2567" s="51">
        <v>65.0</v>
      </c>
      <c r="E2567" s="52" t="s">
        <v>25</v>
      </c>
      <c r="F2567" s="52" t="s">
        <v>26</v>
      </c>
      <c r="G2567" s="53"/>
    </row>
    <row r="2568">
      <c r="A2568" s="49">
        <v>44511.45021016204</v>
      </c>
      <c r="B2568" s="50">
        <v>44511.5751837037</v>
      </c>
      <c r="C2568" s="51">
        <v>1.013</v>
      </c>
      <c r="D2568" s="51">
        <v>65.0</v>
      </c>
      <c r="E2568" s="52" t="s">
        <v>25</v>
      </c>
      <c r="F2568" s="52" t="s">
        <v>26</v>
      </c>
      <c r="G2568" s="53"/>
    </row>
    <row r="2569">
      <c r="A2569" s="49">
        <v>44511.46063236111</v>
      </c>
      <c r="B2569" s="50">
        <v>44511.5856045601</v>
      </c>
      <c r="C2569" s="51">
        <v>1.013</v>
      </c>
      <c r="D2569" s="51">
        <v>65.0</v>
      </c>
      <c r="E2569" s="52" t="s">
        <v>25</v>
      </c>
      <c r="F2569" s="52" t="s">
        <v>26</v>
      </c>
      <c r="G2569" s="53"/>
    </row>
    <row r="2570">
      <c r="A2570" s="49">
        <v>44511.47105230324</v>
      </c>
      <c r="B2570" s="50">
        <v>44511.5960245717</v>
      </c>
      <c r="C2570" s="51">
        <v>1.013</v>
      </c>
      <c r="D2570" s="51">
        <v>65.0</v>
      </c>
      <c r="E2570" s="52" t="s">
        <v>25</v>
      </c>
      <c r="F2570" s="52" t="s">
        <v>26</v>
      </c>
      <c r="G2570" s="53"/>
    </row>
    <row r="2571">
      <c r="A2571" s="49">
        <v>44511.481474942135</v>
      </c>
      <c r="B2571" s="50">
        <v>44511.606445706</v>
      </c>
      <c r="C2571" s="51">
        <v>1.013</v>
      </c>
      <c r="D2571" s="51">
        <v>65.0</v>
      </c>
      <c r="E2571" s="52" t="s">
        <v>25</v>
      </c>
      <c r="F2571" s="52" t="s">
        <v>26</v>
      </c>
      <c r="G2571" s="53"/>
    </row>
    <row r="2572">
      <c r="A2572" s="49">
        <v>44511.491907442134</v>
      </c>
      <c r="B2572" s="50">
        <v>44511.6168769907</v>
      </c>
      <c r="C2572" s="51">
        <v>1.013</v>
      </c>
      <c r="D2572" s="51">
        <v>65.0</v>
      </c>
      <c r="E2572" s="52" t="s">
        <v>25</v>
      </c>
      <c r="F2572" s="52" t="s">
        <v>26</v>
      </c>
      <c r="G2572" s="53"/>
    </row>
    <row r="2573">
      <c r="A2573" s="49">
        <v>44511.50272304398</v>
      </c>
      <c r="B2573" s="50">
        <v>44511.6272994791</v>
      </c>
      <c r="C2573" s="51">
        <v>1.013</v>
      </c>
      <c r="D2573" s="51">
        <v>65.0</v>
      </c>
      <c r="E2573" s="52" t="s">
        <v>25</v>
      </c>
      <c r="F2573" s="52" t="s">
        <v>26</v>
      </c>
      <c r="G2573" s="53"/>
    </row>
    <row r="2574">
      <c r="A2574" s="49">
        <v>44511.51274233796</v>
      </c>
      <c r="B2574" s="50">
        <v>44511.637721331</v>
      </c>
      <c r="C2574" s="51">
        <v>1.013</v>
      </c>
      <c r="D2574" s="51">
        <v>65.0</v>
      </c>
      <c r="E2574" s="52" t="s">
        <v>25</v>
      </c>
      <c r="F2574" s="52" t="s">
        <v>26</v>
      </c>
      <c r="G2574" s="53"/>
    </row>
    <row r="2575">
      <c r="A2575" s="49">
        <v>44511.523188645835</v>
      </c>
      <c r="B2575" s="50">
        <v>44511.6481652546</v>
      </c>
      <c r="C2575" s="51">
        <v>1.012</v>
      </c>
      <c r="D2575" s="51">
        <v>65.0</v>
      </c>
      <c r="E2575" s="52" t="s">
        <v>25</v>
      </c>
      <c r="F2575" s="52" t="s">
        <v>26</v>
      </c>
      <c r="G2575" s="53"/>
    </row>
    <row r="2576">
      <c r="A2576" s="49">
        <v>44511.533625729164</v>
      </c>
      <c r="B2576" s="50">
        <v>44511.6585983217</v>
      </c>
      <c r="C2576" s="51">
        <v>1.012</v>
      </c>
      <c r="D2576" s="51">
        <v>65.0</v>
      </c>
      <c r="E2576" s="52" t="s">
        <v>25</v>
      </c>
      <c r="F2576" s="52" t="s">
        <v>26</v>
      </c>
      <c r="G2576" s="53"/>
    </row>
    <row r="2577">
      <c r="A2577" s="49">
        <v>44511.54404753472</v>
      </c>
      <c r="B2577" s="50">
        <v>44511.6690203703</v>
      </c>
      <c r="C2577" s="51">
        <v>1.013</v>
      </c>
      <c r="D2577" s="51">
        <v>65.0</v>
      </c>
      <c r="E2577" s="52" t="s">
        <v>25</v>
      </c>
      <c r="F2577" s="52" t="s">
        <v>26</v>
      </c>
      <c r="G2577" s="53"/>
    </row>
    <row r="2578">
      <c r="A2578" s="49">
        <v>44511.55446760417</v>
      </c>
      <c r="B2578" s="50">
        <v>44511.67944103</v>
      </c>
      <c r="C2578" s="51">
        <v>1.013</v>
      </c>
      <c r="D2578" s="51">
        <v>65.0</v>
      </c>
      <c r="E2578" s="52" t="s">
        <v>25</v>
      </c>
      <c r="F2578" s="52" t="s">
        <v>26</v>
      </c>
      <c r="G2578" s="53"/>
    </row>
    <row r="2579">
      <c r="A2579" s="49">
        <v>44511.564886203705</v>
      </c>
      <c r="B2579" s="50">
        <v>44511.6898595717</v>
      </c>
      <c r="C2579" s="51">
        <v>1.013</v>
      </c>
      <c r="D2579" s="51">
        <v>65.0</v>
      </c>
      <c r="E2579" s="52" t="s">
        <v>25</v>
      </c>
      <c r="F2579" s="52" t="s">
        <v>26</v>
      </c>
      <c r="G2579" s="53"/>
    </row>
    <row r="2580">
      <c r="A2580" s="49">
        <v>44511.57530449074</v>
      </c>
      <c r="B2580" s="50">
        <v>44511.7002805439</v>
      </c>
      <c r="C2580" s="51">
        <v>1.013</v>
      </c>
      <c r="D2580" s="51">
        <v>65.0</v>
      </c>
      <c r="E2580" s="52" t="s">
        <v>25</v>
      </c>
      <c r="F2580" s="52" t="s">
        <v>26</v>
      </c>
      <c r="G2580" s="53"/>
    </row>
    <row r="2581">
      <c r="A2581" s="49">
        <v>44511.58573910879</v>
      </c>
      <c r="B2581" s="50">
        <v>44511.7107118981</v>
      </c>
      <c r="C2581" s="51">
        <v>1.013</v>
      </c>
      <c r="D2581" s="51">
        <v>65.0</v>
      </c>
      <c r="E2581" s="52" t="s">
        <v>25</v>
      </c>
      <c r="F2581" s="52" t="s">
        <v>26</v>
      </c>
      <c r="G2581" s="53"/>
    </row>
    <row r="2582">
      <c r="A2582" s="49">
        <v>44511.596156851854</v>
      </c>
      <c r="B2582" s="50">
        <v>44511.7211344907</v>
      </c>
      <c r="C2582" s="51">
        <v>1.013</v>
      </c>
      <c r="D2582" s="51">
        <v>65.0</v>
      </c>
      <c r="E2582" s="52" t="s">
        <v>25</v>
      </c>
      <c r="F2582" s="52" t="s">
        <v>26</v>
      </c>
      <c r="G2582" s="53"/>
    </row>
    <row r="2583">
      <c r="A2583" s="49">
        <v>44511.60658640046</v>
      </c>
      <c r="B2583" s="50">
        <v>44511.7315672569</v>
      </c>
      <c r="C2583" s="51">
        <v>1.012</v>
      </c>
      <c r="D2583" s="51">
        <v>65.0</v>
      </c>
      <c r="E2583" s="52" t="s">
        <v>25</v>
      </c>
      <c r="F2583" s="52" t="s">
        <v>26</v>
      </c>
      <c r="G2583" s="53"/>
    </row>
    <row r="2584">
      <c r="A2584" s="49">
        <v>44511.61700972222</v>
      </c>
      <c r="B2584" s="50">
        <v>44511.7419871527</v>
      </c>
      <c r="C2584" s="51">
        <v>1.013</v>
      </c>
      <c r="D2584" s="51">
        <v>65.0</v>
      </c>
      <c r="E2584" s="52" t="s">
        <v>25</v>
      </c>
      <c r="F2584" s="52" t="s">
        <v>26</v>
      </c>
      <c r="G2584" s="53"/>
    </row>
    <row r="2585">
      <c r="A2585" s="49">
        <v>44511.627437268515</v>
      </c>
      <c r="B2585" s="50">
        <v>44511.7524114699</v>
      </c>
      <c r="C2585" s="51">
        <v>1.013</v>
      </c>
      <c r="D2585" s="51">
        <v>65.0</v>
      </c>
      <c r="E2585" s="52" t="s">
        <v>25</v>
      </c>
      <c r="F2585" s="52" t="s">
        <v>26</v>
      </c>
      <c r="G2585" s="53"/>
    </row>
    <row r="2586">
      <c r="A2586" s="49">
        <v>44511.63786181713</v>
      </c>
      <c r="B2586" s="50">
        <v>44511.7628320023</v>
      </c>
      <c r="C2586" s="51">
        <v>1.013</v>
      </c>
      <c r="D2586" s="51">
        <v>65.0</v>
      </c>
      <c r="E2586" s="52" t="s">
        <v>25</v>
      </c>
      <c r="F2586" s="52" t="s">
        <v>26</v>
      </c>
      <c r="G2586" s="53"/>
    </row>
    <row r="2587">
      <c r="A2587" s="49">
        <v>44511.64828376158</v>
      </c>
      <c r="B2587" s="50">
        <v>44511.7732519791</v>
      </c>
      <c r="C2587" s="51">
        <v>1.013</v>
      </c>
      <c r="D2587" s="51">
        <v>65.0</v>
      </c>
      <c r="E2587" s="52" t="s">
        <v>25</v>
      </c>
      <c r="F2587" s="52" t="s">
        <v>26</v>
      </c>
      <c r="G2587" s="53"/>
    </row>
    <row r="2588">
      <c r="A2588" s="49">
        <v>44511.65869831019</v>
      </c>
      <c r="B2588" s="50">
        <v>44511.7836729976</v>
      </c>
      <c r="C2588" s="51">
        <v>1.013</v>
      </c>
      <c r="D2588" s="51">
        <v>65.0</v>
      </c>
      <c r="E2588" s="52" t="s">
        <v>25</v>
      </c>
      <c r="F2588" s="52" t="s">
        <v>26</v>
      </c>
      <c r="G2588" s="53"/>
    </row>
    <row r="2589">
      <c r="A2589" s="49">
        <v>44511.66911935185</v>
      </c>
      <c r="B2589" s="50">
        <v>44511.7940939351</v>
      </c>
      <c r="C2589" s="51">
        <v>1.014</v>
      </c>
      <c r="D2589" s="51">
        <v>65.0</v>
      </c>
      <c r="E2589" s="52" t="s">
        <v>25</v>
      </c>
      <c r="F2589" s="52" t="s">
        <v>26</v>
      </c>
      <c r="G2589" s="53"/>
    </row>
    <row r="2590">
      <c r="A2590" s="49">
        <v>44511.67953804398</v>
      </c>
      <c r="B2590" s="50">
        <v>44511.8045134143</v>
      </c>
      <c r="C2590" s="51">
        <v>1.013</v>
      </c>
      <c r="D2590" s="51">
        <v>65.0</v>
      </c>
      <c r="E2590" s="52" t="s">
        <v>25</v>
      </c>
      <c r="F2590" s="52" t="s">
        <v>26</v>
      </c>
      <c r="G2590" s="53"/>
    </row>
  </sheetData>
  <customSheetViews>
    <customSheetView guid="{CCB4DBCC-73E8-4594-91F4-98805FE91AA9}" filter="1" showAutoFilter="1">
      <autoFilter ref="$B$1:$E$2590"/>
    </customSheetView>
    <customSheetView guid="{D1335182-5A62-4F77-9AC6-26EF4592DA0A}" filter="1" showAutoFilter="1">
      <autoFilter ref="$B$1:$E$2">
        <filterColumn colId="3">
          <filters>
            <filter val="BLACK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