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0938C9AA_AC2F_4776_82DF_CE18FB4681DD_.wvu.FilterData">Data!$B$1:$E$2888</definedName>
    <definedName hidden="1" localSheetId="2" name="Z_AFCF2361_13D5_4012_8A83_5501D6EF71DC_.wvu.FilterData">Data!$B$1:$E$2888</definedName>
  </definedNames>
  <calcPr/>
  <customWorkbookViews>
    <customWorkbookView activeSheetId="0" maximized="1" tabRatio="600" windowHeight="0" windowWidth="0" guid="{AFCF2361-13D5-4012-8A83-5501D6EF71DC}" name="Filter 2"/>
    <customWorkbookView activeSheetId="0" maximized="1" tabRatio="600" windowHeight="0" windowWidth="0" guid="{0938C9AA-AC2F-4776-82DF-CE18FB4681D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<sst xmlns="http://schemas.openxmlformats.org/spreadsheetml/2006/main" count="5809" uniqueCount="32">
  <si>
    <t>Timestamp</t>
  </si>
  <si>
    <t>Timepoint</t>
  </si>
  <si>
    <t>SG</t>
  </si>
  <si>
    <t>Temp</t>
  </si>
  <si>
    <t>Color</t>
  </si>
  <si>
    <t>Beer</t>
  </si>
  <si>
    <t>Comment</t>
  </si>
  <si>
    <t>BLACK</t>
  </si>
  <si>
    <t>First Times a Charm Cider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</si>
  <si>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</si>
  <si>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</si>
  <si>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</si>
  <si>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</si>
  <si>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</si>
  <si>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</si>
  <si>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</si>
  <si>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</si>
  <si>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Tips for using this template:</t>
  </si>
  <si>
    <t>1. Raw data goes to the "Data" sheet. "Timestamp" is the time data is posted, "Timepoint" is the time data is sent from the device.</t>
  </si>
  <si>
    <t>Ferm. Rate (per day):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</si>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</sst>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380436208"/>
        <c:axId val="997204599"/>
      </c:lineChart>
      <c:catAx>
        <c:axId val="13804362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7204599"/>
      </c:catAx>
      <c:valAx>
        <c:axId val="99720459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0436208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728704813"/>
        <c:axId val="2125890830"/>
      </c:lineChart>
      <c:catAx>
        <c:axId val="1728704813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2125890830"/>
      </c:catAx>
      <c:valAx>
        <c:axId val="21258908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8704813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6" width="22.14"/>
    <col customWidth="1" min="7" max="7" width="25.57"/>
    <col customWidth="1" min="8" max="8" width="16.86"/>
  </cols>
  <sheetData>
    <row r="1">
      <c r="A1" s="9"/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9</v>
      </c>
      <c r="B2" s="16">
        <f>if(B4="all",min(Data!B:B),max(Data!B:B)-mid(B4,6,2))</f>
        <v>43520.04166</v>
      </c>
      <c r="C2" s="17">
        <f>IFERROR(__xludf.DUMMYFUNCTION("""COMPUTED_VALUE"""),43554.5684126504)</f>
        <v>43554.56841</v>
      </c>
      <c r="D2" s="18">
        <f>IFERROR(__xludf.DUMMYFUNCTION("""COMPUTED_VALUE"""),1.022)</f>
        <v>1.022</v>
      </c>
      <c r="E2" s="19">
        <f>IFERROR(__xludf.DUMMYFUNCTION("""COMPUTED_VALUE"""),65.0)</f>
        <v>65</v>
      </c>
      <c r="F2" s="20" t="str">
        <f>IFERROR(__xludf.DUMMYFUNCTION("""COMPUTED_VALUE"""),"BLACK")</f>
        <v>BLACK</v>
      </c>
      <c r="G2" t="str">
        <f>IFERROR(__xludf.DUMMYFUNCTION("""COMPUTED_VALUE"""),"First Times a Charm Cider")</f>
        <v>First Times a Charm Cider</v>
      </c>
      <c r="H2" t="str">
        <f>IFERROR(__xludf.DUMMYFUNCTION("""COMPUTED_VALUE"""),"")</f>
        <v/>
      </c>
    </row>
    <row r="3" ht="1.5" customHeight="1">
      <c r="A3" s="21" t="s">
        <v>10</v>
      </c>
      <c r="B3" s="22">
        <f>max(Data!B:B)</f>
        <v>43554.56841</v>
      </c>
      <c r="C3" s="17">
        <f>IFERROR(__xludf.DUMMYFUNCTION("""COMPUTED_VALUE"""),43554.5579924652)</f>
        <v>43554.55799</v>
      </c>
      <c r="D3" s="23">
        <f>IFERROR(__xludf.DUMMYFUNCTION("""COMPUTED_VALUE"""),1.022)</f>
        <v>1.022</v>
      </c>
      <c r="E3" s="24">
        <f>IFERROR(__xludf.DUMMYFUNCTION("""COMPUTED_VALUE"""),65.0)</f>
        <v>65</v>
      </c>
      <c r="F3" s="20" t="str">
        <f>IFERROR(__xludf.DUMMYFUNCTION("""COMPUTED_VALUE"""),"BLACK")</f>
        <v>BLACK</v>
      </c>
      <c r="G3" t="str">
        <f>IFERROR(__xludf.DUMMYFUNCTION("""COMPUTED_VALUE"""),"First Times a Charm Cider")</f>
        <v>First Times a Charm Cider</v>
      </c>
      <c r="H3" t="str">
        <f>IFERROR(__xludf.DUMMYFUNCTION("""COMPUTED_VALUE"""),"")</f>
        <v/>
      </c>
    </row>
    <row r="4">
      <c r="A4" s="25" t="s">
        <v>11</v>
      </c>
      <c r="B4" s="26" t="s">
        <v>12</v>
      </c>
      <c r="C4" s="17">
        <f>IFERROR(__xludf.DUMMYFUNCTION("""COMPUTED_VALUE"""),43554.5475603935)</f>
        <v>43554.54756</v>
      </c>
      <c r="D4" s="23">
        <f>IFERROR(__xludf.DUMMYFUNCTION("""COMPUTED_VALUE"""),1.022)</f>
        <v>1.022</v>
      </c>
      <c r="E4" s="24">
        <f>IFERROR(__xludf.DUMMYFUNCTION("""COMPUTED_VALUE"""),65.0)</f>
        <v>65</v>
      </c>
      <c r="F4" s="27" t="str">
        <f>IFERROR(__xludf.DUMMYFUNCTION("""COMPUTED_VALUE"""),"BLACK")</f>
        <v>BLACK</v>
      </c>
      <c r="G4" s="28" t="str">
        <f>IFERROR(__xludf.DUMMYFUNCTION("""COMPUTED_VALUE"""),"First Times a Charm Cider")</f>
        <v>First Times a Charm Cider</v>
      </c>
      <c r="H4" s="27" t="str">
        <f>IFERROR(__xludf.DUMMYFUNCTION("""COMPUTED_VALUE"""),"")</f>
        <v/>
      </c>
    </row>
    <row r="5">
      <c r="A5" s="25" t="s">
        <v>13</v>
      </c>
      <c r="B5" s="26" t="s">
        <v>14</v>
      </c>
      <c r="C5" s="17">
        <f>IFERROR(__xludf.DUMMYFUNCTION("""COMPUTED_VALUE"""),43554.5371396412)</f>
        <v>43554.53714</v>
      </c>
      <c r="D5" s="23">
        <f>IFERROR(__xludf.DUMMYFUNCTION("""COMPUTED_VALUE"""),1.022)</f>
        <v>1.022</v>
      </c>
      <c r="E5" s="24">
        <f>IFERROR(__xludf.DUMMYFUNCTION("""COMPUTED_VALUE"""),65.0)</f>
        <v>65</v>
      </c>
      <c r="F5" s="27" t="str">
        <f>IFERROR(__xludf.DUMMYFUNCTION("""COMPUTED_VALUE"""),"BLACK")</f>
        <v>BLACK</v>
      </c>
      <c r="G5" s="28" t="str">
        <f>IFERROR(__xludf.DUMMYFUNCTION("""COMPUTED_VALUE"""),"First Times a Charm Cider")</f>
        <v>First Times a Charm Cider</v>
      </c>
      <c r="H5" s="27" t="str">
        <f>IFERROR(__xludf.DUMMYFUNCTION("""COMPUTED_VALUE"""),"")</f>
        <v/>
      </c>
    </row>
    <row r="6">
      <c r="A6" s="29" t="s">
        <v>15</v>
      </c>
      <c r="B6" s="30" t="s">
        <v>2</v>
      </c>
      <c r="C6" s="17">
        <f>IFERROR(__xludf.DUMMYFUNCTION("""COMPUTED_VALUE"""),43554.5267177314)</f>
        <v>43554.52672</v>
      </c>
      <c r="D6" s="23">
        <f>IFERROR(__xludf.DUMMYFUNCTION("""COMPUTED_VALUE"""),1.022)</f>
        <v>1.022</v>
      </c>
      <c r="E6" s="24">
        <f>IFERROR(__xludf.DUMMYFUNCTION("""COMPUTED_VALUE"""),66.0)</f>
        <v>66</v>
      </c>
      <c r="F6" s="27" t="str">
        <f>IFERROR(__xludf.DUMMYFUNCTION("""COMPUTED_VALUE"""),"BLACK")</f>
        <v>BLACK</v>
      </c>
      <c r="G6" s="28" t="str">
        <f>IFERROR(__xludf.DUMMYFUNCTION("""COMPUTED_VALUE"""),"First Times a Charm Cider")</f>
        <v>First Times a Charm Cider</v>
      </c>
      <c r="H6" s="27" t="str">
        <f>IFERROR(__xludf.DUMMYFUNCTION("""COMPUTED_VALUE"""),"")</f>
        <v/>
      </c>
    </row>
    <row r="7">
      <c r="A7" s="31" t="str">
        <f>D1</f>
        <v>SG</v>
      </c>
      <c r="B7" s="32"/>
      <c r="C7" s="17">
        <f>IFERROR(__xludf.DUMMYFUNCTION("""COMPUTED_VALUE"""),43554.5162961458)</f>
        <v>43554.5163</v>
      </c>
      <c r="D7" s="23">
        <f>IFERROR(__xludf.DUMMYFUNCTION("""COMPUTED_VALUE"""),1.022)</f>
        <v>1.022</v>
      </c>
      <c r="E7" s="24">
        <f>IFERROR(__xludf.DUMMYFUNCTION("""COMPUTED_VALUE"""),66.0)</f>
        <v>66</v>
      </c>
      <c r="F7" s="27" t="str">
        <f>IFERROR(__xludf.DUMMYFUNCTION("""COMPUTED_VALUE"""),"BLACK")</f>
        <v>BLACK</v>
      </c>
      <c r="G7" s="28" t="str">
        <f>IFERROR(__xludf.DUMMYFUNCTION("""COMPUTED_VALUE"""),"First Times a Charm Cider")</f>
        <v>First Times a Charm Cider</v>
      </c>
      <c r="H7" s="27" t="str">
        <f>IFERROR(__xludf.DUMMYFUNCTION("""COMPUTED_VALUE"""),"")</f>
        <v/>
      </c>
    </row>
    <row r="8">
      <c r="A8" s="33" t="s">
        <v>16</v>
      </c>
      <c r="B8" s="34">
        <f>D2</f>
        <v>1.022</v>
      </c>
      <c r="C8" s="17">
        <f>IFERROR(__xludf.DUMMYFUNCTION("""COMPUTED_VALUE"""),43554.5058735763)</f>
        <v>43554.50587</v>
      </c>
      <c r="D8" s="23">
        <f>IFERROR(__xludf.DUMMYFUNCTION("""COMPUTED_VALUE"""),1.022)</f>
        <v>1.022</v>
      </c>
      <c r="E8" s="24">
        <f>IFERROR(__xludf.DUMMYFUNCTION("""COMPUTED_VALUE"""),66.0)</f>
        <v>66</v>
      </c>
      <c r="F8" s="27" t="str">
        <f>IFERROR(__xludf.DUMMYFUNCTION("""COMPUTED_VALUE"""),"BLACK")</f>
        <v>BLACK</v>
      </c>
      <c r="G8" s="28" t="str">
        <f>IFERROR(__xludf.DUMMYFUNCTION("""COMPUTED_VALUE"""),"First Times a Charm Cider")</f>
        <v>First Times a Charm Cider</v>
      </c>
      <c r="H8" s="27" t="str">
        <f>IFERROR(__xludf.DUMMYFUNCTION("""COMPUTED_VALUE"""),"")</f>
        <v/>
      </c>
    </row>
    <row r="9">
      <c r="A9" s="36" t="s">
        <v>19</v>
      </c>
      <c r="B9" s="37">
        <f>IFERROR(slope(D:D,C:C),"more data needed")</f>
        <v>-0.001810859556</v>
      </c>
      <c r="C9" s="17">
        <f>IFERROR(__xludf.DUMMYFUNCTION("""COMPUTED_VALUE"""),43554.4954524537)</f>
        <v>43554.49545</v>
      </c>
      <c r="D9" s="23">
        <f>IFERROR(__xludf.DUMMYFUNCTION("""COMPUTED_VALUE"""),1.022)</f>
        <v>1.022</v>
      </c>
      <c r="E9" s="24">
        <f>IFERROR(__xludf.DUMMYFUNCTION("""COMPUTED_VALUE"""),66.0)</f>
        <v>66</v>
      </c>
      <c r="F9" s="27" t="str">
        <f>IFERROR(__xludf.DUMMYFUNCTION("""COMPUTED_VALUE"""),"BLACK")</f>
        <v>BLACK</v>
      </c>
      <c r="G9" s="28" t="str">
        <f>IFERROR(__xludf.DUMMYFUNCTION("""COMPUTED_VALUE"""),"First Times a Charm Cider")</f>
        <v>First Times a Charm Cider</v>
      </c>
      <c r="H9" s="27" t="str">
        <f>IFERROR(__xludf.DUMMYFUNCTION("""COMPUTED_VALUE"""),"")</f>
        <v/>
      </c>
    </row>
    <row r="10">
      <c r="A10" s="33" t="s">
        <v>25</v>
      </c>
      <c r="B10" s="34">
        <f>B3-B2</f>
        <v>34.52674878</v>
      </c>
      <c r="C10" s="17">
        <f>IFERROR(__xludf.DUMMYFUNCTION("""COMPUTED_VALUE"""),43554.4850203356)</f>
        <v>43554.48502</v>
      </c>
      <c r="D10" s="23">
        <f>IFERROR(__xludf.DUMMYFUNCTION("""COMPUTED_VALUE"""),1.022)</f>
        <v>1.022</v>
      </c>
      <c r="E10" s="19">
        <f>IFERROR(__xludf.DUMMYFUNCTION("""COMPUTED_VALUE"""),66.0)</f>
        <v>66</v>
      </c>
      <c r="F10" s="20" t="str">
        <f>IFERROR(__xludf.DUMMYFUNCTION("""COMPUTED_VALUE"""),"BLACK")</f>
        <v>BLACK</v>
      </c>
      <c r="G10" s="38" t="str">
        <f>IFERROR(__xludf.DUMMYFUNCTION("""COMPUTED_VALUE"""),"First Times a Charm Cider")</f>
        <v>First Times a Charm Cider</v>
      </c>
      <c r="H10" s="20" t="str">
        <f>IFERROR(__xludf.DUMMYFUNCTION("""COMPUTED_VALUE"""),"")</f>
        <v/>
      </c>
    </row>
    <row r="11">
      <c r="A11" s="33" t="s">
        <v>26</v>
      </c>
      <c r="B11" s="34">
        <f>percentile(D:D,0.99)</f>
        <v>1.093</v>
      </c>
      <c r="C11" s="17">
        <f>IFERROR(__xludf.DUMMYFUNCTION("""COMPUTED_VALUE"""),43554.4745995138)</f>
        <v>43554.4746</v>
      </c>
      <c r="D11" s="23">
        <f>IFERROR(__xludf.DUMMYFUNCTION("""COMPUTED_VALUE"""),1.022)</f>
        <v>1.022</v>
      </c>
      <c r="E11" s="19">
        <f>IFERROR(__xludf.DUMMYFUNCTION("""COMPUTED_VALUE"""),66.0)</f>
        <v>66</v>
      </c>
      <c r="F11" s="27" t="str">
        <f>IFERROR(__xludf.DUMMYFUNCTION("""COMPUTED_VALUE"""),"BLACK")</f>
        <v>BLACK</v>
      </c>
      <c r="G11" s="28" t="str">
        <f>IFERROR(__xludf.DUMMYFUNCTION("""COMPUTED_VALUE"""),"First Times a Charm Cider")</f>
        <v>First Times a Charm Cider</v>
      </c>
      <c r="H11" s="27" t="str">
        <f>IFERROR(__xludf.DUMMYFUNCTION("""COMPUTED_VALUE"""),"")</f>
        <v/>
      </c>
    </row>
    <row r="12">
      <c r="A12" s="39" t="s">
        <v>27</v>
      </c>
      <c r="B12" s="40">
        <f>percentile(D:D,0.01)</f>
        <v>1.022</v>
      </c>
      <c r="C12" s="17">
        <f>IFERROR(__xludf.DUMMYFUNCTION("""COMPUTED_VALUE"""),43554.464167037)</f>
        <v>43554.46417</v>
      </c>
      <c r="D12" s="23">
        <f>IFERROR(__xludf.DUMMYFUNCTION("""COMPUTED_VALUE"""),1.022)</f>
        <v>1.022</v>
      </c>
      <c r="E12" s="19">
        <f>IFERROR(__xludf.DUMMYFUNCTION("""COMPUTED_VALUE"""),66.0)</f>
        <v>66</v>
      </c>
      <c r="F12" s="27" t="str">
        <f>IFERROR(__xludf.DUMMYFUNCTION("""COMPUTED_VALUE"""),"BLACK")</f>
        <v>BLACK</v>
      </c>
      <c r="G12" s="28" t="str">
        <f>IFERROR(__xludf.DUMMYFUNCTION("""COMPUTED_VALUE"""),"First Times a Charm Cider")</f>
        <v>First Times a Charm Cider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2"/>
      <c r="C13" s="17">
        <f>IFERROR(__xludf.DUMMYFUNCTION("""COMPUTED_VALUE"""),43554.4537353472)</f>
        <v>43554.45374</v>
      </c>
      <c r="D13" s="23">
        <f>IFERROR(__xludf.DUMMYFUNCTION("""COMPUTED_VALUE"""),1.022)</f>
        <v>1.022</v>
      </c>
      <c r="E13" s="24">
        <f>IFERROR(__xludf.DUMMYFUNCTION("""COMPUTED_VALUE"""),66.0)</f>
        <v>66</v>
      </c>
      <c r="F13" s="27" t="str">
        <f>IFERROR(__xludf.DUMMYFUNCTION("""COMPUTED_VALUE"""),"BLACK")</f>
        <v>BLACK</v>
      </c>
      <c r="G13" s="28" t="str">
        <f>IFERROR(__xludf.DUMMYFUNCTION("""COMPUTED_VALUE"""),"First Times a Charm Cider")</f>
        <v>First Times a Charm Cider</v>
      </c>
      <c r="H13" s="27" t="str">
        <f>IFERROR(__xludf.DUMMYFUNCTION("""COMPUTED_VALUE"""),"")</f>
        <v/>
      </c>
    </row>
    <row r="14">
      <c r="A14" s="42" t="s">
        <v>16</v>
      </c>
      <c r="B14" s="43">
        <f>E2</f>
        <v>65</v>
      </c>
      <c r="C14" s="17">
        <f>IFERROR(__xludf.DUMMYFUNCTION("""COMPUTED_VALUE"""),43554.4432882986)</f>
        <v>43554.44329</v>
      </c>
      <c r="D14" s="23">
        <f>IFERROR(__xludf.DUMMYFUNCTION("""COMPUTED_VALUE"""),1.022)</f>
        <v>1.022</v>
      </c>
      <c r="E14" s="24">
        <f>IFERROR(__xludf.DUMMYFUNCTION("""COMPUTED_VALUE"""),66.0)</f>
        <v>66</v>
      </c>
      <c r="F14" s="27" t="str">
        <f>IFERROR(__xludf.DUMMYFUNCTION("""COMPUTED_VALUE"""),"BLACK")</f>
        <v>BLACK</v>
      </c>
      <c r="G14" s="28" t="str">
        <f>IFERROR(__xludf.DUMMYFUNCTION("""COMPUTED_VALUE"""),"First Times a Charm Cider")</f>
        <v>First Times a Charm Cider</v>
      </c>
      <c r="H14" s="27" t="str">
        <f>IFERROR(__xludf.DUMMYFUNCTION("""COMPUTED_VALUE"""),"")</f>
        <v/>
      </c>
    </row>
    <row r="15">
      <c r="A15" s="33" t="s">
        <v>28</v>
      </c>
      <c r="B15" s="44">
        <f>average(E:E)</f>
        <v>66.75199169</v>
      </c>
      <c r="C15" s="17">
        <f>IFERROR(__xludf.DUMMYFUNCTION("""COMPUTED_VALUE"""),43554.432830324)</f>
        <v>43554.43283</v>
      </c>
      <c r="D15" s="23">
        <f>IFERROR(__xludf.DUMMYFUNCTION("""COMPUTED_VALUE"""),1.022)</f>
        <v>1.022</v>
      </c>
      <c r="E15" s="24">
        <f>IFERROR(__xludf.DUMMYFUNCTION("""COMPUTED_VALUE"""),66.0)</f>
        <v>66</v>
      </c>
      <c r="F15" s="27" t="str">
        <f>IFERROR(__xludf.DUMMYFUNCTION("""COMPUTED_VALUE"""),"BLACK")</f>
        <v>BLACK</v>
      </c>
      <c r="G15" s="28" t="str">
        <f>IFERROR(__xludf.DUMMYFUNCTION("""COMPUTED_VALUE"""),"First Times a Charm Cider")</f>
        <v>First Times a Charm Cider</v>
      </c>
      <c r="H15" s="27" t="str">
        <f>IFERROR(__xludf.DUMMYFUNCTION("""COMPUTED_VALUE"""),"")</f>
        <v/>
      </c>
    </row>
    <row r="16">
      <c r="A16" s="33" t="s">
        <v>25</v>
      </c>
      <c r="B16" s="34">
        <f>B3-B2</f>
        <v>34.52674878</v>
      </c>
      <c r="C16" s="17">
        <f>IFERROR(__xludf.DUMMYFUNCTION("""COMPUTED_VALUE"""),43554.4223991319)</f>
        <v>43554.4224</v>
      </c>
      <c r="D16" s="23">
        <f>IFERROR(__xludf.DUMMYFUNCTION("""COMPUTED_VALUE"""),1.022)</f>
        <v>1.022</v>
      </c>
      <c r="E16" s="24">
        <f>IFERROR(__xludf.DUMMYFUNCTION("""COMPUTED_VALUE"""),66.0)</f>
        <v>66</v>
      </c>
      <c r="F16" s="27" t="str">
        <f>IFERROR(__xludf.DUMMYFUNCTION("""COMPUTED_VALUE"""),"BLACK")</f>
        <v>BLACK</v>
      </c>
      <c r="G16" s="28" t="str">
        <f>IFERROR(__xludf.DUMMYFUNCTION("""COMPUTED_VALUE"""),"First Times a Charm Cider")</f>
        <v>First Times a Charm Cider</v>
      </c>
      <c r="H16" s="27" t="str">
        <f>IFERROR(__xludf.DUMMYFUNCTION("""COMPUTED_VALUE"""),"")</f>
        <v/>
      </c>
    </row>
    <row r="17">
      <c r="A17" s="33" t="s">
        <v>26</v>
      </c>
      <c r="B17" s="44">
        <f>percentile(E:E,0.99)</f>
        <v>69</v>
      </c>
      <c r="C17" s="45">
        <f>IFERROR(__xludf.DUMMYFUNCTION("""COMPUTED_VALUE"""),43554.4119653703)</f>
        <v>43554.41197</v>
      </c>
      <c r="D17" s="23">
        <f>IFERROR(__xludf.DUMMYFUNCTION("""COMPUTED_VALUE"""),1.022)</f>
        <v>1.022</v>
      </c>
      <c r="E17" s="24">
        <f>IFERROR(__xludf.DUMMYFUNCTION("""COMPUTED_VALUE"""),66.0)</f>
        <v>66</v>
      </c>
      <c r="F17" s="27" t="str">
        <f>IFERROR(__xludf.DUMMYFUNCTION("""COMPUTED_VALUE"""),"BLACK")</f>
        <v>BLACK</v>
      </c>
      <c r="G17" s="28" t="str">
        <f>IFERROR(__xludf.DUMMYFUNCTION("""COMPUTED_VALUE"""),"First Times a Charm Cider")</f>
        <v>First Times a Charm Cider</v>
      </c>
      <c r="H17" s="27" t="str">
        <f>IFERROR(__xludf.DUMMYFUNCTION("""COMPUTED_VALUE"""),"")</f>
        <v/>
      </c>
    </row>
    <row r="18">
      <c r="A18" s="39" t="s">
        <v>27</v>
      </c>
      <c r="B18" s="46">
        <f>percentile(E:E,0.01)</f>
        <v>64</v>
      </c>
      <c r="C18" s="17">
        <f>IFERROR(__xludf.DUMMYFUNCTION("""COMPUTED_VALUE"""),43554.4015437615)</f>
        <v>43554.40154</v>
      </c>
      <c r="D18" s="23">
        <f>IFERROR(__xludf.DUMMYFUNCTION("""COMPUTED_VALUE"""),1.022)</f>
        <v>1.022</v>
      </c>
      <c r="E18" s="24">
        <f>IFERROR(__xludf.DUMMYFUNCTION("""COMPUTED_VALUE"""),66.0)</f>
        <v>66</v>
      </c>
      <c r="F18" s="27" t="str">
        <f>IFERROR(__xludf.DUMMYFUNCTION("""COMPUTED_VALUE"""),"BLACK")</f>
        <v>BLACK</v>
      </c>
      <c r="G18" s="28" t="str">
        <f>IFERROR(__xludf.DUMMYFUNCTION("""COMPUTED_VALUE"""),"First Times a Charm Cider")</f>
        <v>First Times a Charm Cider</v>
      </c>
      <c r="H18" s="27" t="str">
        <f>IFERROR(__xludf.DUMMYFUNCTION("""COMPUTED_VALUE"""),"")</f>
        <v/>
      </c>
    </row>
    <row r="19">
      <c r="A19" s="47" t="s">
        <v>29</v>
      </c>
      <c r="B19" s="48"/>
      <c r="C19" s="17">
        <f>IFERROR(__xludf.DUMMYFUNCTION("""COMPUTED_VALUE"""),43554.3911087152)</f>
        <v>43554.39111</v>
      </c>
      <c r="D19" s="23">
        <f>IFERROR(__xludf.DUMMYFUNCTION("""COMPUTED_VALUE"""),1.022)</f>
        <v>1.022</v>
      </c>
      <c r="E19" s="24">
        <f>IFERROR(__xludf.DUMMYFUNCTION("""COMPUTED_VALUE"""),66.0)</f>
        <v>66</v>
      </c>
      <c r="F19" s="27" t="str">
        <f>IFERROR(__xludf.DUMMYFUNCTION("""COMPUTED_VALUE"""),"BLACK")</f>
        <v>BLACK</v>
      </c>
      <c r="G19" s="28" t="str">
        <f>IFERROR(__xludf.DUMMYFUNCTION("""COMPUTED_VALUE"""),"First Times a Charm Cider")</f>
        <v>First Times a Charm Cider</v>
      </c>
      <c r="H19" s="27" t="str">
        <f>IFERROR(__xludf.DUMMYFUNCTION("""COMPUTED_VALUE"""),"")</f>
        <v/>
      </c>
    </row>
    <row r="20">
      <c r="A20" s="49" t="s">
        <v>30</v>
      </c>
      <c r="B20" s="50">
        <f>IF(D1="SG",(B11-B8)/(B11-1),"must use SG units")</f>
        <v>0.7634408602</v>
      </c>
      <c r="C20" s="17">
        <f>IFERROR(__xludf.DUMMYFUNCTION("""COMPUTED_VALUE"""),43554.3806872916)</f>
        <v>43554.38069</v>
      </c>
      <c r="D20" s="23">
        <f>IFERROR(__xludf.DUMMYFUNCTION("""COMPUTED_VALUE"""),1.022)</f>
        <v>1.022</v>
      </c>
      <c r="E20" s="24">
        <f>IFERROR(__xludf.DUMMYFUNCTION("""COMPUTED_VALUE"""),66.0)</f>
        <v>66</v>
      </c>
      <c r="F20" s="27" t="str">
        <f>IFERROR(__xludf.DUMMYFUNCTION("""COMPUTED_VALUE"""),"BLACK")</f>
        <v>BLACK</v>
      </c>
      <c r="G20" s="28" t="str">
        <f>IFERROR(__xludf.DUMMYFUNCTION("""COMPUTED_VALUE"""),"First Times a Charm Cider")</f>
        <v>First Times a Charm Cider</v>
      </c>
      <c r="H20" s="27" t="str">
        <f>IFERROR(__xludf.DUMMYFUNCTION("""COMPUTED_VALUE"""),"")</f>
        <v/>
      </c>
    </row>
    <row r="21">
      <c r="A21" s="51" t="s">
        <v>31</v>
      </c>
      <c r="B21" s="52">
        <f>IF(D1="SG",(B11-B8)*1.3125,"must use SG units")</f>
        <v>0.0931875</v>
      </c>
      <c r="C21" s="17">
        <f>IFERROR(__xludf.DUMMYFUNCTION("""COMPUTED_VALUE"""),43554.3702423726)</f>
        <v>43554.37024</v>
      </c>
      <c r="D21" s="23">
        <f>IFERROR(__xludf.DUMMYFUNCTION("""COMPUTED_VALUE"""),1.022)</f>
        <v>1.022</v>
      </c>
      <c r="E21" s="24">
        <f>IFERROR(__xludf.DUMMYFUNCTION("""COMPUTED_VALUE"""),66.0)</f>
        <v>66</v>
      </c>
      <c r="F21" s="27" t="str">
        <f>IFERROR(__xludf.DUMMYFUNCTION("""COMPUTED_VALUE"""),"BLACK")</f>
        <v>BLACK</v>
      </c>
      <c r="G21" s="28" t="str">
        <f>IFERROR(__xludf.DUMMYFUNCTION("""COMPUTED_VALUE"""),"First Times a Charm Cider")</f>
        <v>First Times a Charm Cider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IFERROR(__xludf.DUMMYFUNCTION("""COMPUTED_VALUE"""),43554.3598196064)</f>
        <v>43554.35982</v>
      </c>
      <c r="D22" s="23">
        <f>IFERROR(__xludf.DUMMYFUNCTION("""COMPUTED_VALUE"""),1.022)</f>
        <v>1.022</v>
      </c>
      <c r="E22" s="24">
        <f>IFERROR(__xludf.DUMMYFUNCTION("""COMPUTED_VALUE"""),66.0)</f>
        <v>66</v>
      </c>
      <c r="F22" s="27" t="str">
        <f>IFERROR(__xludf.DUMMYFUNCTION("""COMPUTED_VALUE"""),"BLACK")</f>
        <v>BLACK</v>
      </c>
      <c r="G22" s="28" t="str">
        <f>IFERROR(__xludf.DUMMYFUNCTION("""COMPUTED_VALUE"""),"First Times a Charm Cider")</f>
        <v>First Times a Charm Cider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IFERROR(__xludf.DUMMYFUNCTION("""COMPUTED_VALUE"""),43554.3493748495)</f>
        <v>43554.34937</v>
      </c>
      <c r="D23" s="23">
        <f>IFERROR(__xludf.DUMMYFUNCTION("""COMPUTED_VALUE"""),1.022)</f>
        <v>1.022</v>
      </c>
      <c r="E23" s="24">
        <f>IFERROR(__xludf.DUMMYFUNCTION("""COMPUTED_VALUE"""),66.0)</f>
        <v>66</v>
      </c>
      <c r="F23" s="27" t="str">
        <f>IFERROR(__xludf.DUMMYFUNCTION("""COMPUTED_VALUE"""),"BLACK")</f>
        <v>BLACK</v>
      </c>
      <c r="G23" s="28" t="str">
        <f>IFERROR(__xludf.DUMMYFUNCTION("""COMPUTED_VALUE"""),"First Times a Charm Cider")</f>
        <v>First Times a Charm Cider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IFERROR(__xludf.DUMMYFUNCTION("""COMPUTED_VALUE"""),43554.3389419444)</f>
        <v>43554.33894</v>
      </c>
      <c r="D24" s="23">
        <f>IFERROR(__xludf.DUMMYFUNCTION("""COMPUTED_VALUE"""),1.022)</f>
        <v>1.022</v>
      </c>
      <c r="E24" s="24">
        <f>IFERROR(__xludf.DUMMYFUNCTION("""COMPUTED_VALUE"""),66.0)</f>
        <v>66</v>
      </c>
      <c r="F24" s="27" t="str">
        <f>IFERROR(__xludf.DUMMYFUNCTION("""COMPUTED_VALUE"""),"BLACK")</f>
        <v>BLACK</v>
      </c>
      <c r="G24" s="28" t="str">
        <f>IFERROR(__xludf.DUMMYFUNCTION("""COMPUTED_VALUE"""),"First Times a Charm Cider")</f>
        <v>First Times a Charm Cider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IFERROR(__xludf.DUMMYFUNCTION("""COMPUTED_VALUE"""),43554.3285098495)</f>
        <v>43554.32851</v>
      </c>
      <c r="D25" s="23">
        <f>IFERROR(__xludf.DUMMYFUNCTION("""COMPUTED_VALUE"""),1.022)</f>
        <v>1.022</v>
      </c>
      <c r="E25" s="24">
        <f>IFERROR(__xludf.DUMMYFUNCTION("""COMPUTED_VALUE"""),66.0)</f>
        <v>66</v>
      </c>
      <c r="F25" s="27" t="str">
        <f>IFERROR(__xludf.DUMMYFUNCTION("""COMPUTED_VALUE"""),"BLACK")</f>
        <v>BLACK</v>
      </c>
      <c r="G25" s="28" t="str">
        <f>IFERROR(__xludf.DUMMYFUNCTION("""COMPUTED_VALUE"""),"First Times a Charm Cider")</f>
        <v>First Times a Charm Cider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IFERROR(__xludf.DUMMYFUNCTION("""COMPUTED_VALUE"""),43554.318065949)</f>
        <v>43554.31807</v>
      </c>
      <c r="D26" s="23">
        <f>IFERROR(__xludf.DUMMYFUNCTION("""COMPUTED_VALUE"""),1.022)</f>
        <v>1.022</v>
      </c>
      <c r="E26" s="24">
        <f>IFERROR(__xludf.DUMMYFUNCTION("""COMPUTED_VALUE"""),66.0)</f>
        <v>66</v>
      </c>
      <c r="F26" s="27" t="str">
        <f>IFERROR(__xludf.DUMMYFUNCTION("""COMPUTED_VALUE"""),"BLACK")</f>
        <v>BLACK</v>
      </c>
      <c r="G26" s="28" t="str">
        <f>IFERROR(__xludf.DUMMYFUNCTION("""COMPUTED_VALUE"""),"First Times a Charm Cider")</f>
        <v>First Times a Charm Cider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IFERROR(__xludf.DUMMYFUNCTION("""COMPUTED_VALUE"""),43554.3076325694)</f>
        <v>43554.30763</v>
      </c>
      <c r="D27" s="23">
        <f>IFERROR(__xludf.DUMMYFUNCTION("""COMPUTED_VALUE"""),1.022)</f>
        <v>1.022</v>
      </c>
      <c r="E27" s="24">
        <f>IFERROR(__xludf.DUMMYFUNCTION("""COMPUTED_VALUE"""),66.0)</f>
        <v>66</v>
      </c>
      <c r="F27" s="27" t="str">
        <f>IFERROR(__xludf.DUMMYFUNCTION("""COMPUTED_VALUE"""),"BLACK")</f>
        <v>BLACK</v>
      </c>
      <c r="G27" s="28" t="str">
        <f>IFERROR(__xludf.DUMMYFUNCTION("""COMPUTED_VALUE"""),"First Times a Charm Cider")</f>
        <v>First Times a Charm Cider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IFERROR(__xludf.DUMMYFUNCTION("""COMPUTED_VALUE"""),43554.2972107754)</f>
        <v>43554.29721</v>
      </c>
      <c r="D28" s="23">
        <f>IFERROR(__xludf.DUMMYFUNCTION("""COMPUTED_VALUE"""),1.022)</f>
        <v>1.022</v>
      </c>
      <c r="E28" s="24">
        <f>IFERROR(__xludf.DUMMYFUNCTION("""COMPUTED_VALUE"""),66.0)</f>
        <v>66</v>
      </c>
      <c r="F28" s="27" t="str">
        <f>IFERROR(__xludf.DUMMYFUNCTION("""COMPUTED_VALUE"""),"BLACK")</f>
        <v>BLACK</v>
      </c>
      <c r="G28" s="28" t="str">
        <f>IFERROR(__xludf.DUMMYFUNCTION("""COMPUTED_VALUE"""),"First Times a Charm Cider")</f>
        <v>First Times a Charm Cider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IFERROR(__xludf.DUMMYFUNCTION("""COMPUTED_VALUE"""),43554.2867887731)</f>
        <v>43554.28679</v>
      </c>
      <c r="D29" s="23">
        <f>IFERROR(__xludf.DUMMYFUNCTION("""COMPUTED_VALUE"""),1.022)</f>
        <v>1.022</v>
      </c>
      <c r="E29" s="24">
        <f>IFERROR(__xludf.DUMMYFUNCTION("""COMPUTED_VALUE"""),66.0)</f>
        <v>66</v>
      </c>
      <c r="F29" s="27" t="str">
        <f>IFERROR(__xludf.DUMMYFUNCTION("""COMPUTED_VALUE"""),"BLACK")</f>
        <v>BLACK</v>
      </c>
      <c r="G29" s="28" t="str">
        <f>IFERROR(__xludf.DUMMYFUNCTION("""COMPUTED_VALUE"""),"First Times a Charm Cider")</f>
        <v>First Times a Charm Cider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IFERROR(__xludf.DUMMYFUNCTION("""COMPUTED_VALUE"""),43554.2763442939)</f>
        <v>43554.27634</v>
      </c>
      <c r="D30" s="23">
        <f>IFERROR(__xludf.DUMMYFUNCTION("""COMPUTED_VALUE"""),1.022)</f>
        <v>1.022</v>
      </c>
      <c r="E30" s="24">
        <f>IFERROR(__xludf.DUMMYFUNCTION("""COMPUTED_VALUE"""),66.0)</f>
        <v>66</v>
      </c>
      <c r="F30" s="27" t="str">
        <f>IFERROR(__xludf.DUMMYFUNCTION("""COMPUTED_VALUE"""),"BLACK")</f>
        <v>BLACK</v>
      </c>
      <c r="G30" s="28" t="str">
        <f>IFERROR(__xludf.DUMMYFUNCTION("""COMPUTED_VALUE"""),"First Times a Charm Cider")</f>
        <v>First Times a Charm Cider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IFERROR(__xludf.DUMMYFUNCTION("""COMPUTED_VALUE"""),43554.2658995949)</f>
        <v>43554.2659</v>
      </c>
      <c r="D31" s="23">
        <f>IFERROR(__xludf.DUMMYFUNCTION("""COMPUTED_VALUE"""),1.022)</f>
        <v>1.022</v>
      </c>
      <c r="E31" s="24">
        <f>IFERROR(__xludf.DUMMYFUNCTION("""COMPUTED_VALUE"""),67.0)</f>
        <v>67</v>
      </c>
      <c r="F31" s="27" t="str">
        <f>IFERROR(__xludf.DUMMYFUNCTION("""COMPUTED_VALUE"""),"BLACK")</f>
        <v>BLACK</v>
      </c>
      <c r="G31" s="28" t="str">
        <f>IFERROR(__xludf.DUMMYFUNCTION("""COMPUTED_VALUE"""),"First Times a Charm Cider")</f>
        <v>First Times a Charm Cider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IFERROR(__xludf.DUMMYFUNCTION("""COMPUTED_VALUE"""),43554.2554667245)</f>
        <v>43554.25547</v>
      </c>
      <c r="D32" s="23">
        <f>IFERROR(__xludf.DUMMYFUNCTION("""COMPUTED_VALUE"""),1.022)</f>
        <v>1.022</v>
      </c>
      <c r="E32" s="24">
        <f>IFERROR(__xludf.DUMMYFUNCTION("""COMPUTED_VALUE"""),67.0)</f>
        <v>67</v>
      </c>
      <c r="F32" s="27" t="str">
        <f>IFERROR(__xludf.DUMMYFUNCTION("""COMPUTED_VALUE"""),"BLACK")</f>
        <v>BLACK</v>
      </c>
      <c r="G32" s="28" t="str">
        <f>IFERROR(__xludf.DUMMYFUNCTION("""COMPUTED_VALUE"""),"First Times a Charm Cider")</f>
        <v>First Times a Charm Cider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IFERROR(__xludf.DUMMYFUNCTION("""COMPUTED_VALUE"""),43554.24501228)</f>
        <v>43554.24501</v>
      </c>
      <c r="D33" s="23">
        <f>IFERROR(__xludf.DUMMYFUNCTION("""COMPUTED_VALUE"""),1.022)</f>
        <v>1.022</v>
      </c>
      <c r="E33" s="24">
        <f>IFERROR(__xludf.DUMMYFUNCTION("""COMPUTED_VALUE"""),66.0)</f>
        <v>66</v>
      </c>
      <c r="F33" s="27" t="str">
        <f>IFERROR(__xludf.DUMMYFUNCTION("""COMPUTED_VALUE"""),"BLACK")</f>
        <v>BLACK</v>
      </c>
      <c r="G33" s="28" t="str">
        <f>IFERROR(__xludf.DUMMYFUNCTION("""COMPUTED_VALUE"""),"First Times a Charm Cider")</f>
        <v>First Times a Charm Cider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IFERROR(__xludf.DUMMYFUNCTION("""COMPUTED_VALUE"""),43554.2345903588)</f>
        <v>43554.23459</v>
      </c>
      <c r="D34" s="23">
        <f>IFERROR(__xludf.DUMMYFUNCTION("""COMPUTED_VALUE"""),1.022)</f>
        <v>1.022</v>
      </c>
      <c r="E34" s="24">
        <f>IFERROR(__xludf.DUMMYFUNCTION("""COMPUTED_VALUE"""),67.0)</f>
        <v>67</v>
      </c>
      <c r="F34" s="27" t="str">
        <f>IFERROR(__xludf.DUMMYFUNCTION("""COMPUTED_VALUE"""),"BLACK")</f>
        <v>BLACK</v>
      </c>
      <c r="G34" s="28" t="str">
        <f>IFERROR(__xludf.DUMMYFUNCTION("""COMPUTED_VALUE"""),"First Times a Charm Cider")</f>
        <v>First Times a Charm Cider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IFERROR(__xludf.DUMMYFUNCTION("""COMPUTED_VALUE"""),43554.2241462963)</f>
        <v>43554.22415</v>
      </c>
      <c r="D35" s="23">
        <f>IFERROR(__xludf.DUMMYFUNCTION("""COMPUTED_VALUE"""),1.022)</f>
        <v>1.022</v>
      </c>
      <c r="E35" s="24">
        <f>IFERROR(__xludf.DUMMYFUNCTION("""COMPUTED_VALUE"""),67.0)</f>
        <v>67</v>
      </c>
      <c r="F35" s="27" t="str">
        <f>IFERROR(__xludf.DUMMYFUNCTION("""COMPUTED_VALUE"""),"BLACK")</f>
        <v>BLACK</v>
      </c>
      <c r="G35" s="28" t="str">
        <f>IFERROR(__xludf.DUMMYFUNCTION("""COMPUTED_VALUE"""),"First Times a Charm Cider")</f>
        <v>First Times a Charm Cider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IFERROR(__xludf.DUMMYFUNCTION("""COMPUTED_VALUE"""),43554.2137020949)</f>
        <v>43554.2137</v>
      </c>
      <c r="D36" s="23">
        <f>IFERROR(__xludf.DUMMYFUNCTION("""COMPUTED_VALUE"""),1.022)</f>
        <v>1.022</v>
      </c>
      <c r="E36" s="24">
        <f>IFERROR(__xludf.DUMMYFUNCTION("""COMPUTED_VALUE"""),67.0)</f>
        <v>67</v>
      </c>
      <c r="F36" s="27" t="str">
        <f>IFERROR(__xludf.DUMMYFUNCTION("""COMPUTED_VALUE"""),"BLACK")</f>
        <v>BLACK</v>
      </c>
      <c r="G36" s="28" t="str">
        <f>IFERROR(__xludf.DUMMYFUNCTION("""COMPUTED_VALUE"""),"First Times a Charm Cider")</f>
        <v>First Times a Charm Cider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IFERROR(__xludf.DUMMYFUNCTION("""COMPUTED_VALUE"""),43554.2032804513)</f>
        <v>43554.20328</v>
      </c>
      <c r="D37" s="23">
        <f>IFERROR(__xludf.DUMMYFUNCTION("""COMPUTED_VALUE"""),1.022)</f>
        <v>1.022</v>
      </c>
      <c r="E37" s="24">
        <f>IFERROR(__xludf.DUMMYFUNCTION("""COMPUTED_VALUE"""),67.0)</f>
        <v>67</v>
      </c>
      <c r="F37" s="27" t="str">
        <f>IFERROR(__xludf.DUMMYFUNCTION("""COMPUTED_VALUE"""),"BLACK")</f>
        <v>BLACK</v>
      </c>
      <c r="G37" s="28" t="str">
        <f>IFERROR(__xludf.DUMMYFUNCTION("""COMPUTED_VALUE"""),"First Times a Charm Cider")</f>
        <v>First Times a Charm Cider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IFERROR(__xludf.DUMMYFUNCTION("""COMPUTED_VALUE"""),43554.1928476736)</f>
        <v>43554.19285</v>
      </c>
      <c r="D38" s="23">
        <f>IFERROR(__xludf.DUMMYFUNCTION("""COMPUTED_VALUE"""),1.022)</f>
        <v>1.022</v>
      </c>
      <c r="E38" s="24">
        <f>IFERROR(__xludf.DUMMYFUNCTION("""COMPUTED_VALUE"""),67.0)</f>
        <v>67</v>
      </c>
      <c r="F38" s="27" t="str">
        <f>IFERROR(__xludf.DUMMYFUNCTION("""COMPUTED_VALUE"""),"BLACK")</f>
        <v>BLACK</v>
      </c>
      <c r="G38" s="28" t="str">
        <f>IFERROR(__xludf.DUMMYFUNCTION("""COMPUTED_VALUE"""),"First Times a Charm Cider")</f>
        <v>First Times a Charm Cider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IFERROR(__xludf.DUMMYFUNCTION("""COMPUTED_VALUE"""),43554.1824148379)</f>
        <v>43554.18241</v>
      </c>
      <c r="D39" s="23">
        <f>IFERROR(__xludf.DUMMYFUNCTION("""COMPUTED_VALUE"""),1.022)</f>
        <v>1.022</v>
      </c>
      <c r="E39" s="24">
        <f>IFERROR(__xludf.DUMMYFUNCTION("""COMPUTED_VALUE"""),67.0)</f>
        <v>67</v>
      </c>
      <c r="F39" s="27" t="str">
        <f>IFERROR(__xludf.DUMMYFUNCTION("""COMPUTED_VALUE"""),"BLACK")</f>
        <v>BLACK</v>
      </c>
      <c r="G39" s="28" t="str">
        <f>IFERROR(__xludf.DUMMYFUNCTION("""COMPUTED_VALUE"""),"First Times a Charm Cider")</f>
        <v>First Times a Charm Cider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IFERROR(__xludf.DUMMYFUNCTION("""COMPUTED_VALUE"""),43554.1719936574)</f>
        <v>43554.17199</v>
      </c>
      <c r="D40" s="23">
        <f>IFERROR(__xludf.DUMMYFUNCTION("""COMPUTED_VALUE"""),1.022)</f>
        <v>1.022</v>
      </c>
      <c r="E40" s="24">
        <f>IFERROR(__xludf.DUMMYFUNCTION("""COMPUTED_VALUE"""),67.0)</f>
        <v>67</v>
      </c>
      <c r="F40" s="27" t="str">
        <f>IFERROR(__xludf.DUMMYFUNCTION("""COMPUTED_VALUE"""),"BLACK")</f>
        <v>BLACK</v>
      </c>
      <c r="G40" s="28" t="str">
        <f>IFERROR(__xludf.DUMMYFUNCTION("""COMPUTED_VALUE"""),"First Times a Charm Cider")</f>
        <v>First Times a Charm Cider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IFERROR(__xludf.DUMMYFUNCTION("""COMPUTED_VALUE"""),43554.1615597685)</f>
        <v>43554.16156</v>
      </c>
      <c r="D41" s="23">
        <f>IFERROR(__xludf.DUMMYFUNCTION("""COMPUTED_VALUE"""),1.022)</f>
        <v>1.022</v>
      </c>
      <c r="E41" s="24">
        <f>IFERROR(__xludf.DUMMYFUNCTION("""COMPUTED_VALUE"""),67.0)</f>
        <v>67</v>
      </c>
      <c r="F41" s="27" t="str">
        <f>IFERROR(__xludf.DUMMYFUNCTION("""COMPUTED_VALUE"""),"BLACK")</f>
        <v>BLACK</v>
      </c>
      <c r="G41" s="28" t="str">
        <f>IFERROR(__xludf.DUMMYFUNCTION("""COMPUTED_VALUE"""),"First Times a Charm Cider")</f>
        <v>First Times a Charm Cider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IFERROR(__xludf.DUMMYFUNCTION("""COMPUTED_VALUE"""),43554.1511039236)</f>
        <v>43554.1511</v>
      </c>
      <c r="D42" s="23">
        <f>IFERROR(__xludf.DUMMYFUNCTION("""COMPUTED_VALUE"""),1.022)</f>
        <v>1.022</v>
      </c>
      <c r="E42" s="24">
        <f>IFERROR(__xludf.DUMMYFUNCTION("""COMPUTED_VALUE"""),67.0)</f>
        <v>67</v>
      </c>
      <c r="F42" s="27" t="str">
        <f>IFERROR(__xludf.DUMMYFUNCTION("""COMPUTED_VALUE"""),"BLACK")</f>
        <v>BLACK</v>
      </c>
      <c r="G42" s="28" t="str">
        <f>IFERROR(__xludf.DUMMYFUNCTION("""COMPUTED_VALUE"""),"First Times a Charm Cider")</f>
        <v>First Times a Charm Cider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IFERROR(__xludf.DUMMYFUNCTION("""COMPUTED_VALUE"""),43554.1406699189)</f>
        <v>43554.14067</v>
      </c>
      <c r="D43" s="23">
        <f>IFERROR(__xludf.DUMMYFUNCTION("""COMPUTED_VALUE"""),1.022)</f>
        <v>1.022</v>
      </c>
      <c r="E43" s="24">
        <f>IFERROR(__xludf.DUMMYFUNCTION("""COMPUTED_VALUE"""),67.0)</f>
        <v>67</v>
      </c>
      <c r="F43" s="27" t="str">
        <f>IFERROR(__xludf.DUMMYFUNCTION("""COMPUTED_VALUE"""),"BLACK")</f>
        <v>BLACK</v>
      </c>
      <c r="G43" s="28" t="str">
        <f>IFERROR(__xludf.DUMMYFUNCTION("""COMPUTED_VALUE"""),"First Times a Charm Cider")</f>
        <v>First Times a Charm Cider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IFERROR(__xludf.DUMMYFUNCTION("""COMPUTED_VALUE"""),43554.1302494675)</f>
        <v>43554.13025</v>
      </c>
      <c r="D44" s="23">
        <f>IFERROR(__xludf.DUMMYFUNCTION("""COMPUTED_VALUE"""),1.022)</f>
        <v>1.022</v>
      </c>
      <c r="E44" s="24">
        <f>IFERROR(__xludf.DUMMYFUNCTION("""COMPUTED_VALUE"""),67.0)</f>
        <v>67</v>
      </c>
      <c r="F44" s="27" t="str">
        <f>IFERROR(__xludf.DUMMYFUNCTION("""COMPUTED_VALUE"""),"BLACK")</f>
        <v>BLACK</v>
      </c>
      <c r="G44" s="28" t="str">
        <f>IFERROR(__xludf.DUMMYFUNCTION("""COMPUTED_VALUE"""),"First Times a Charm Cider")</f>
        <v>First Times a Charm Cider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IFERROR(__xludf.DUMMYFUNCTION("""COMPUTED_VALUE"""),43554.1197949884)</f>
        <v>43554.11979</v>
      </c>
      <c r="D45" s="23">
        <f>IFERROR(__xludf.DUMMYFUNCTION("""COMPUTED_VALUE"""),1.022)</f>
        <v>1.022</v>
      </c>
      <c r="E45" s="24">
        <f>IFERROR(__xludf.DUMMYFUNCTION("""COMPUTED_VALUE"""),67.0)</f>
        <v>67</v>
      </c>
      <c r="F45" s="27" t="str">
        <f>IFERROR(__xludf.DUMMYFUNCTION("""COMPUTED_VALUE"""),"BLACK")</f>
        <v>BLACK</v>
      </c>
      <c r="G45" s="28" t="str">
        <f>IFERROR(__xludf.DUMMYFUNCTION("""COMPUTED_VALUE"""),"First Times a Charm Cider")</f>
        <v>First Times a Charm Cider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IFERROR(__xludf.DUMMYFUNCTION("""COMPUTED_VALUE"""),43554.109373206)</f>
        <v>43554.10937</v>
      </c>
      <c r="D46" s="23">
        <f>IFERROR(__xludf.DUMMYFUNCTION("""COMPUTED_VALUE"""),1.022)</f>
        <v>1.022</v>
      </c>
      <c r="E46" s="24">
        <f>IFERROR(__xludf.DUMMYFUNCTION("""COMPUTED_VALUE"""),67.0)</f>
        <v>67</v>
      </c>
      <c r="F46" s="27" t="str">
        <f>IFERROR(__xludf.DUMMYFUNCTION("""COMPUTED_VALUE"""),"BLACK")</f>
        <v>BLACK</v>
      </c>
      <c r="G46" s="28" t="str">
        <f>IFERROR(__xludf.DUMMYFUNCTION("""COMPUTED_VALUE"""),"First Times a Charm Cider")</f>
        <v>First Times a Charm Cider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IFERROR(__xludf.DUMMYFUNCTION("""COMPUTED_VALUE"""),43554.0989503588)</f>
        <v>43554.09895</v>
      </c>
      <c r="D47" s="23">
        <f>IFERROR(__xludf.DUMMYFUNCTION("""COMPUTED_VALUE"""),1.022)</f>
        <v>1.022</v>
      </c>
      <c r="E47" s="24">
        <f>IFERROR(__xludf.DUMMYFUNCTION("""COMPUTED_VALUE"""),67.0)</f>
        <v>67</v>
      </c>
      <c r="F47" s="27" t="str">
        <f>IFERROR(__xludf.DUMMYFUNCTION("""COMPUTED_VALUE"""),"BLACK")</f>
        <v>BLACK</v>
      </c>
      <c r="G47" s="28" t="str">
        <f>IFERROR(__xludf.DUMMYFUNCTION("""COMPUTED_VALUE"""),"First Times a Charm Cider")</f>
        <v>First Times a Charm Cider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IFERROR(__xludf.DUMMYFUNCTION("""COMPUTED_VALUE"""),43554.088529537)</f>
        <v>43554.08853</v>
      </c>
      <c r="D48" s="23">
        <f>IFERROR(__xludf.DUMMYFUNCTION("""COMPUTED_VALUE"""),1.022)</f>
        <v>1.022</v>
      </c>
      <c r="E48" s="24">
        <f>IFERROR(__xludf.DUMMYFUNCTION("""COMPUTED_VALUE"""),67.0)</f>
        <v>67</v>
      </c>
      <c r="F48" s="27" t="str">
        <f>IFERROR(__xludf.DUMMYFUNCTION("""COMPUTED_VALUE"""),"BLACK")</f>
        <v>BLACK</v>
      </c>
      <c r="G48" s="28" t="str">
        <f>IFERROR(__xludf.DUMMYFUNCTION("""COMPUTED_VALUE"""),"First Times a Charm Cider")</f>
        <v>First Times a Charm Cider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IFERROR(__xludf.DUMMYFUNCTION("""COMPUTED_VALUE"""),43554.0780968055)</f>
        <v>43554.0781</v>
      </c>
      <c r="D49" s="23">
        <f>IFERROR(__xludf.DUMMYFUNCTION("""COMPUTED_VALUE"""),1.022)</f>
        <v>1.022</v>
      </c>
      <c r="E49" s="24">
        <f>IFERROR(__xludf.DUMMYFUNCTION("""COMPUTED_VALUE"""),67.0)</f>
        <v>67</v>
      </c>
      <c r="F49" s="27" t="str">
        <f>IFERROR(__xludf.DUMMYFUNCTION("""COMPUTED_VALUE"""),"BLACK")</f>
        <v>BLACK</v>
      </c>
      <c r="G49" s="28" t="str">
        <f>IFERROR(__xludf.DUMMYFUNCTION("""COMPUTED_VALUE"""),"First Times a Charm Cider")</f>
        <v>First Times a Charm Cider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IFERROR(__xludf.DUMMYFUNCTION("""COMPUTED_VALUE"""),43554.0676628124)</f>
        <v>43554.06766</v>
      </c>
      <c r="D50" s="23">
        <f>IFERROR(__xludf.DUMMYFUNCTION("""COMPUTED_VALUE"""),1.022)</f>
        <v>1.022</v>
      </c>
      <c r="E50" s="24">
        <f>IFERROR(__xludf.DUMMYFUNCTION("""COMPUTED_VALUE"""),67.0)</f>
        <v>67</v>
      </c>
      <c r="F50" s="27" t="str">
        <f>IFERROR(__xludf.DUMMYFUNCTION("""COMPUTED_VALUE"""),"BLACK")</f>
        <v>BLACK</v>
      </c>
      <c r="G50" s="28" t="str">
        <f>IFERROR(__xludf.DUMMYFUNCTION("""COMPUTED_VALUE"""),"First Times a Charm Cider")</f>
        <v>First Times a Charm Cider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IFERROR(__xludf.DUMMYFUNCTION("""COMPUTED_VALUE"""),43554.0572432407)</f>
        <v>43554.05724</v>
      </c>
      <c r="D51" s="23">
        <f>IFERROR(__xludf.DUMMYFUNCTION("""COMPUTED_VALUE"""),1.022)</f>
        <v>1.022</v>
      </c>
      <c r="E51" s="24">
        <f>IFERROR(__xludf.DUMMYFUNCTION("""COMPUTED_VALUE"""),67.0)</f>
        <v>67</v>
      </c>
      <c r="F51" s="27" t="str">
        <f>IFERROR(__xludf.DUMMYFUNCTION("""COMPUTED_VALUE"""),"BLACK")</f>
        <v>BLACK</v>
      </c>
      <c r="G51" s="28" t="str">
        <f>IFERROR(__xludf.DUMMYFUNCTION("""COMPUTED_VALUE"""),"First Times a Charm Cider")</f>
        <v>First Times a Charm Cider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IFERROR(__xludf.DUMMYFUNCTION("""COMPUTED_VALUE"""),43554.0468212847)</f>
        <v>43554.04682</v>
      </c>
      <c r="D52" s="23">
        <f>IFERROR(__xludf.DUMMYFUNCTION("""COMPUTED_VALUE"""),1.022)</f>
        <v>1.022</v>
      </c>
      <c r="E52" s="24">
        <f>IFERROR(__xludf.DUMMYFUNCTION("""COMPUTED_VALUE"""),67.0)</f>
        <v>67</v>
      </c>
      <c r="F52" s="27" t="str">
        <f>IFERROR(__xludf.DUMMYFUNCTION("""COMPUTED_VALUE"""),"BLACK")</f>
        <v>BLACK</v>
      </c>
      <c r="G52" s="28" t="str">
        <f>IFERROR(__xludf.DUMMYFUNCTION("""COMPUTED_VALUE"""),"First Times a Charm Cider")</f>
        <v>First Times a Charm Cider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IFERROR(__xludf.DUMMYFUNCTION("""COMPUTED_VALUE"""),43554.0363649305)</f>
        <v>43554.03636</v>
      </c>
      <c r="D53" s="23">
        <f>IFERROR(__xludf.DUMMYFUNCTION("""COMPUTED_VALUE"""),1.022)</f>
        <v>1.022</v>
      </c>
      <c r="E53" s="24">
        <f>IFERROR(__xludf.DUMMYFUNCTION("""COMPUTED_VALUE"""),67.0)</f>
        <v>67</v>
      </c>
      <c r="F53" s="27" t="str">
        <f>IFERROR(__xludf.DUMMYFUNCTION("""COMPUTED_VALUE"""),"BLACK")</f>
        <v>BLACK</v>
      </c>
      <c r="G53" s="28" t="str">
        <f>IFERROR(__xludf.DUMMYFUNCTION("""COMPUTED_VALUE"""),"First Times a Charm Cider")</f>
        <v>First Times a Charm Cider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IFERROR(__xludf.DUMMYFUNCTION("""COMPUTED_VALUE"""),43554.0259439583)</f>
        <v>43554.02594</v>
      </c>
      <c r="D54" s="23">
        <f>IFERROR(__xludf.DUMMYFUNCTION("""COMPUTED_VALUE"""),1.022)</f>
        <v>1.022</v>
      </c>
      <c r="E54" s="24">
        <f>IFERROR(__xludf.DUMMYFUNCTION("""COMPUTED_VALUE"""),67.0)</f>
        <v>67</v>
      </c>
      <c r="F54" s="27" t="str">
        <f>IFERROR(__xludf.DUMMYFUNCTION("""COMPUTED_VALUE"""),"BLACK")</f>
        <v>BLACK</v>
      </c>
      <c r="G54" s="28" t="str">
        <f>IFERROR(__xludf.DUMMYFUNCTION("""COMPUTED_VALUE"""),"First Times a Charm Cider")</f>
        <v>First Times a Charm Cider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IFERROR(__xludf.DUMMYFUNCTION("""COMPUTED_VALUE"""),43554.0155126157)</f>
        <v>43554.01551</v>
      </c>
      <c r="D55" s="23">
        <f>IFERROR(__xludf.DUMMYFUNCTION("""COMPUTED_VALUE"""),1.022)</f>
        <v>1.022</v>
      </c>
      <c r="E55" s="24">
        <f>IFERROR(__xludf.DUMMYFUNCTION("""COMPUTED_VALUE"""),67.0)</f>
        <v>67</v>
      </c>
      <c r="F55" s="27" t="str">
        <f>IFERROR(__xludf.DUMMYFUNCTION("""COMPUTED_VALUE"""),"BLACK")</f>
        <v>BLACK</v>
      </c>
      <c r="G55" s="28" t="str">
        <f>IFERROR(__xludf.DUMMYFUNCTION("""COMPUTED_VALUE"""),"First Times a Charm Cider")</f>
        <v>First Times a Charm Cider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IFERROR(__xludf.DUMMYFUNCTION("""COMPUTED_VALUE"""),43554.0050803356)</f>
        <v>43554.00508</v>
      </c>
      <c r="D56" s="23">
        <f>IFERROR(__xludf.DUMMYFUNCTION("""COMPUTED_VALUE"""),1.022)</f>
        <v>1.022</v>
      </c>
      <c r="E56" s="24">
        <f>IFERROR(__xludf.DUMMYFUNCTION("""COMPUTED_VALUE"""),67.0)</f>
        <v>67</v>
      </c>
      <c r="F56" s="27" t="str">
        <f>IFERROR(__xludf.DUMMYFUNCTION("""COMPUTED_VALUE"""),"BLACK")</f>
        <v>BLACK</v>
      </c>
      <c r="G56" s="28" t="str">
        <f>IFERROR(__xludf.DUMMYFUNCTION("""COMPUTED_VALUE"""),"First Times a Charm Cider")</f>
        <v>First Times a Charm Cider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IFERROR(__xludf.DUMMYFUNCTION("""COMPUTED_VALUE"""),43553.994647743)</f>
        <v>43553.99465</v>
      </c>
      <c r="D57" s="23">
        <f>IFERROR(__xludf.DUMMYFUNCTION("""COMPUTED_VALUE"""),1.022)</f>
        <v>1.022</v>
      </c>
      <c r="E57" s="24">
        <f>IFERROR(__xludf.DUMMYFUNCTION("""COMPUTED_VALUE"""),67.0)</f>
        <v>67</v>
      </c>
      <c r="F57" s="27" t="str">
        <f>IFERROR(__xludf.DUMMYFUNCTION("""COMPUTED_VALUE"""),"BLACK")</f>
        <v>BLACK</v>
      </c>
      <c r="G57" s="28" t="str">
        <f>IFERROR(__xludf.DUMMYFUNCTION("""COMPUTED_VALUE"""),"First Times a Charm Cider")</f>
        <v>First Times a Charm Cider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IFERROR(__xludf.DUMMYFUNCTION("""COMPUTED_VALUE"""),43553.9842045486)</f>
        <v>43553.9842</v>
      </c>
      <c r="D58" s="23">
        <f>IFERROR(__xludf.DUMMYFUNCTION("""COMPUTED_VALUE"""),1.022)</f>
        <v>1.022</v>
      </c>
      <c r="E58" s="24">
        <f>IFERROR(__xludf.DUMMYFUNCTION("""COMPUTED_VALUE"""),67.0)</f>
        <v>67</v>
      </c>
      <c r="F58" s="27" t="str">
        <f>IFERROR(__xludf.DUMMYFUNCTION("""COMPUTED_VALUE"""),"BLACK")</f>
        <v>BLACK</v>
      </c>
      <c r="G58" s="28" t="str">
        <f>IFERROR(__xludf.DUMMYFUNCTION("""COMPUTED_VALUE"""),"First Times a Charm Cider")</f>
        <v>First Times a Charm Cider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IFERROR(__xludf.DUMMYFUNCTION("""COMPUTED_VALUE"""),43553.9737597453)</f>
        <v>43553.97376</v>
      </c>
      <c r="D59" s="23">
        <f>IFERROR(__xludf.DUMMYFUNCTION("""COMPUTED_VALUE"""),1.022)</f>
        <v>1.022</v>
      </c>
      <c r="E59" s="24">
        <f>IFERROR(__xludf.DUMMYFUNCTION("""COMPUTED_VALUE"""),67.0)</f>
        <v>67</v>
      </c>
      <c r="F59" s="27" t="str">
        <f>IFERROR(__xludf.DUMMYFUNCTION("""COMPUTED_VALUE"""),"BLACK")</f>
        <v>BLACK</v>
      </c>
      <c r="G59" s="28" t="str">
        <f>IFERROR(__xludf.DUMMYFUNCTION("""COMPUTED_VALUE"""),"First Times a Charm Cider")</f>
        <v>First Times a Charm Cider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IFERROR(__xludf.DUMMYFUNCTION("""COMPUTED_VALUE"""),43553.9633364814)</f>
        <v>43553.96334</v>
      </c>
      <c r="D60" s="23">
        <f>IFERROR(__xludf.DUMMYFUNCTION("""COMPUTED_VALUE"""),1.022)</f>
        <v>1.022</v>
      </c>
      <c r="E60" s="24">
        <f>IFERROR(__xludf.DUMMYFUNCTION("""COMPUTED_VALUE"""),67.0)</f>
        <v>67</v>
      </c>
      <c r="F60" s="27" t="str">
        <f>IFERROR(__xludf.DUMMYFUNCTION("""COMPUTED_VALUE"""),"BLACK")</f>
        <v>BLACK</v>
      </c>
      <c r="G60" s="28" t="str">
        <f>IFERROR(__xludf.DUMMYFUNCTION("""COMPUTED_VALUE"""),"First Times a Charm Cider")</f>
        <v>First Times a Charm Cider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IFERROR(__xludf.DUMMYFUNCTION("""COMPUTED_VALUE"""),43553.9529129861)</f>
        <v>43553.95291</v>
      </c>
      <c r="D61" s="23">
        <f>IFERROR(__xludf.DUMMYFUNCTION("""COMPUTED_VALUE"""),1.022)</f>
        <v>1.022</v>
      </c>
      <c r="E61" s="24">
        <f>IFERROR(__xludf.DUMMYFUNCTION("""COMPUTED_VALUE"""),67.0)</f>
        <v>67</v>
      </c>
      <c r="F61" s="27" t="str">
        <f>IFERROR(__xludf.DUMMYFUNCTION("""COMPUTED_VALUE"""),"BLACK")</f>
        <v>BLACK</v>
      </c>
      <c r="G61" s="28" t="str">
        <f>IFERROR(__xludf.DUMMYFUNCTION("""COMPUTED_VALUE"""),"First Times a Charm Cider")</f>
        <v>First Times a Charm Cider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IFERROR(__xludf.DUMMYFUNCTION("""COMPUTED_VALUE"""),43553.9424911342)</f>
        <v>43553.94249</v>
      </c>
      <c r="D62" s="23">
        <f>IFERROR(__xludf.DUMMYFUNCTION("""COMPUTED_VALUE"""),1.022)</f>
        <v>1.022</v>
      </c>
      <c r="E62" s="24">
        <f>IFERROR(__xludf.DUMMYFUNCTION("""COMPUTED_VALUE"""),67.0)</f>
        <v>67</v>
      </c>
      <c r="F62" s="27" t="str">
        <f>IFERROR(__xludf.DUMMYFUNCTION("""COMPUTED_VALUE"""),"BLACK")</f>
        <v>BLACK</v>
      </c>
      <c r="G62" s="28" t="str">
        <f>IFERROR(__xludf.DUMMYFUNCTION("""COMPUTED_VALUE"""),"First Times a Charm Cider")</f>
        <v>First Times a Charm Cider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IFERROR(__xludf.DUMMYFUNCTION("""COMPUTED_VALUE"""),43553.932059074)</f>
        <v>43553.93206</v>
      </c>
      <c r="D63" s="23">
        <f>IFERROR(__xludf.DUMMYFUNCTION("""COMPUTED_VALUE"""),1.022)</f>
        <v>1.022</v>
      </c>
      <c r="E63" s="24">
        <f>IFERROR(__xludf.DUMMYFUNCTION("""COMPUTED_VALUE"""),67.0)</f>
        <v>67</v>
      </c>
      <c r="F63" s="27" t="str">
        <f>IFERROR(__xludf.DUMMYFUNCTION("""COMPUTED_VALUE"""),"BLACK")</f>
        <v>BLACK</v>
      </c>
      <c r="G63" s="28" t="str">
        <f>IFERROR(__xludf.DUMMYFUNCTION("""COMPUTED_VALUE"""),"First Times a Charm Cider")</f>
        <v>First Times a Charm Cider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IFERROR(__xludf.DUMMYFUNCTION("""COMPUTED_VALUE"""),43553.9216260995)</f>
        <v>43553.92163</v>
      </c>
      <c r="D64" s="23">
        <f>IFERROR(__xludf.DUMMYFUNCTION("""COMPUTED_VALUE"""),1.022)</f>
        <v>1.022</v>
      </c>
      <c r="E64" s="24">
        <f>IFERROR(__xludf.DUMMYFUNCTION("""COMPUTED_VALUE"""),67.0)</f>
        <v>67</v>
      </c>
      <c r="F64" s="27" t="str">
        <f>IFERROR(__xludf.DUMMYFUNCTION("""COMPUTED_VALUE"""),"BLACK")</f>
        <v>BLACK</v>
      </c>
      <c r="G64" s="28" t="str">
        <f>IFERROR(__xludf.DUMMYFUNCTION("""COMPUTED_VALUE"""),"First Times a Charm Cider")</f>
        <v>First Times a Charm Cider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IFERROR(__xludf.DUMMYFUNCTION("""COMPUTED_VALUE"""),43553.9111934259)</f>
        <v>43553.91119</v>
      </c>
      <c r="D65" s="23">
        <f>IFERROR(__xludf.DUMMYFUNCTION("""COMPUTED_VALUE"""),1.022)</f>
        <v>1.022</v>
      </c>
      <c r="E65" s="24">
        <f>IFERROR(__xludf.DUMMYFUNCTION("""COMPUTED_VALUE"""),67.0)</f>
        <v>67</v>
      </c>
      <c r="F65" s="27" t="str">
        <f>IFERROR(__xludf.DUMMYFUNCTION("""COMPUTED_VALUE"""),"BLACK")</f>
        <v>BLACK</v>
      </c>
      <c r="G65" s="28" t="str">
        <f>IFERROR(__xludf.DUMMYFUNCTION("""COMPUTED_VALUE"""),"First Times a Charm Cider")</f>
        <v>First Times a Charm Cider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IFERROR(__xludf.DUMMYFUNCTION("""COMPUTED_VALUE"""),43553.9007031018)</f>
        <v>43553.9007</v>
      </c>
      <c r="D66" s="23">
        <f>IFERROR(__xludf.DUMMYFUNCTION("""COMPUTED_VALUE"""),1.022)</f>
        <v>1.022</v>
      </c>
      <c r="E66" s="24">
        <f>IFERROR(__xludf.DUMMYFUNCTION("""COMPUTED_VALUE"""),66.0)</f>
        <v>66</v>
      </c>
      <c r="F66" s="27" t="str">
        <f>IFERROR(__xludf.DUMMYFUNCTION("""COMPUTED_VALUE"""),"BLACK")</f>
        <v>BLACK</v>
      </c>
      <c r="G66" s="28" t="str">
        <f>IFERROR(__xludf.DUMMYFUNCTION("""COMPUTED_VALUE"""),"First Times a Charm Cider")</f>
        <v>First Times a Charm Cider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IFERROR(__xludf.DUMMYFUNCTION("""COMPUTED_VALUE"""),43553.8902697453)</f>
        <v>43553.89027</v>
      </c>
      <c r="D67" s="23">
        <f>IFERROR(__xludf.DUMMYFUNCTION("""COMPUTED_VALUE"""),1.022)</f>
        <v>1.022</v>
      </c>
      <c r="E67" s="24">
        <f>IFERROR(__xludf.DUMMYFUNCTION("""COMPUTED_VALUE"""),67.0)</f>
        <v>67</v>
      </c>
      <c r="F67" s="27" t="str">
        <f>IFERROR(__xludf.DUMMYFUNCTION("""COMPUTED_VALUE"""),"BLACK")</f>
        <v>BLACK</v>
      </c>
      <c r="G67" s="28" t="str">
        <f>IFERROR(__xludf.DUMMYFUNCTION("""COMPUTED_VALUE"""),"First Times a Charm Cider")</f>
        <v>First Times a Charm Cider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IFERROR(__xludf.DUMMYFUNCTION("""COMPUTED_VALUE"""),43553.8798241087)</f>
        <v>43553.87982</v>
      </c>
      <c r="D68" s="23">
        <f>IFERROR(__xludf.DUMMYFUNCTION("""COMPUTED_VALUE"""),1.022)</f>
        <v>1.022</v>
      </c>
      <c r="E68" s="24">
        <f>IFERROR(__xludf.DUMMYFUNCTION("""COMPUTED_VALUE"""),66.0)</f>
        <v>66</v>
      </c>
      <c r="F68" s="27" t="str">
        <f>IFERROR(__xludf.DUMMYFUNCTION("""COMPUTED_VALUE"""),"BLACK")</f>
        <v>BLACK</v>
      </c>
      <c r="G68" s="28" t="str">
        <f>IFERROR(__xludf.DUMMYFUNCTION("""COMPUTED_VALUE"""),"First Times a Charm Cider")</f>
        <v>First Times a Charm Cider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IFERROR(__xludf.DUMMYFUNCTION("""COMPUTED_VALUE"""),43553.8694037963)</f>
        <v>43553.8694</v>
      </c>
      <c r="D69" s="23">
        <f>IFERROR(__xludf.DUMMYFUNCTION("""COMPUTED_VALUE"""),1.023)</f>
        <v>1.023</v>
      </c>
      <c r="E69" s="24">
        <f>IFERROR(__xludf.DUMMYFUNCTION("""COMPUTED_VALUE"""),66.0)</f>
        <v>66</v>
      </c>
      <c r="F69" s="27" t="str">
        <f>IFERROR(__xludf.DUMMYFUNCTION("""COMPUTED_VALUE"""),"BLACK")</f>
        <v>BLACK</v>
      </c>
      <c r="G69" s="28" t="str">
        <f>IFERROR(__xludf.DUMMYFUNCTION("""COMPUTED_VALUE"""),"First Times a Charm Cider")</f>
        <v>First Times a Charm Cider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IFERROR(__xludf.DUMMYFUNCTION("""COMPUTED_VALUE"""),43553.8589838657)</f>
        <v>43553.85898</v>
      </c>
      <c r="D70" s="23">
        <f>IFERROR(__xludf.DUMMYFUNCTION("""COMPUTED_VALUE"""),1.022)</f>
        <v>1.022</v>
      </c>
      <c r="E70" s="24">
        <f>IFERROR(__xludf.DUMMYFUNCTION("""COMPUTED_VALUE"""),66.0)</f>
        <v>66</v>
      </c>
      <c r="F70" s="27" t="str">
        <f>IFERROR(__xludf.DUMMYFUNCTION("""COMPUTED_VALUE"""),"BLACK")</f>
        <v>BLACK</v>
      </c>
      <c r="G70" s="28" t="str">
        <f>IFERROR(__xludf.DUMMYFUNCTION("""COMPUTED_VALUE"""),"First Times a Charm Cider")</f>
        <v>First Times a Charm Cider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IFERROR(__xludf.DUMMYFUNCTION("""COMPUTED_VALUE"""),43553.8485617592)</f>
        <v>43553.84856</v>
      </c>
      <c r="D71" s="23">
        <f>IFERROR(__xludf.DUMMYFUNCTION("""COMPUTED_VALUE"""),1.022)</f>
        <v>1.022</v>
      </c>
      <c r="E71" s="24">
        <f>IFERROR(__xludf.DUMMYFUNCTION("""COMPUTED_VALUE"""),66.0)</f>
        <v>66</v>
      </c>
      <c r="F71" s="27" t="str">
        <f>IFERROR(__xludf.DUMMYFUNCTION("""COMPUTED_VALUE"""),"BLACK")</f>
        <v>BLACK</v>
      </c>
      <c r="G71" s="28" t="str">
        <f>IFERROR(__xludf.DUMMYFUNCTION("""COMPUTED_VALUE"""),"First Times a Charm Cider")</f>
        <v>First Times a Charm Cider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IFERROR(__xludf.DUMMYFUNCTION("""COMPUTED_VALUE"""),43553.8381288078)</f>
        <v>43553.83813</v>
      </c>
      <c r="D72" s="23">
        <f>IFERROR(__xludf.DUMMYFUNCTION("""COMPUTED_VALUE"""),1.023)</f>
        <v>1.023</v>
      </c>
      <c r="E72" s="24">
        <f>IFERROR(__xludf.DUMMYFUNCTION("""COMPUTED_VALUE"""),66.0)</f>
        <v>66</v>
      </c>
      <c r="F72" s="27" t="str">
        <f>IFERROR(__xludf.DUMMYFUNCTION("""COMPUTED_VALUE"""),"BLACK")</f>
        <v>BLACK</v>
      </c>
      <c r="G72" s="28" t="str">
        <f>IFERROR(__xludf.DUMMYFUNCTION("""COMPUTED_VALUE"""),"First Times a Charm Cider")</f>
        <v>First Times a Charm Cider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IFERROR(__xludf.DUMMYFUNCTION("""COMPUTED_VALUE"""),43553.8276961805)</f>
        <v>43553.8277</v>
      </c>
      <c r="D73" s="23">
        <f>IFERROR(__xludf.DUMMYFUNCTION("""COMPUTED_VALUE"""),1.022)</f>
        <v>1.022</v>
      </c>
      <c r="E73" s="24">
        <f>IFERROR(__xludf.DUMMYFUNCTION("""COMPUTED_VALUE"""),66.0)</f>
        <v>66</v>
      </c>
      <c r="F73" s="27" t="str">
        <f>IFERROR(__xludf.DUMMYFUNCTION("""COMPUTED_VALUE"""),"BLACK")</f>
        <v>BLACK</v>
      </c>
      <c r="G73" s="28" t="str">
        <f>IFERROR(__xludf.DUMMYFUNCTION("""COMPUTED_VALUE"""),"First Times a Charm Cider")</f>
        <v>First Times a Charm Cider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IFERROR(__xludf.DUMMYFUNCTION("""COMPUTED_VALUE"""),43553.817277037)</f>
        <v>43553.81728</v>
      </c>
      <c r="D74" s="23">
        <f>IFERROR(__xludf.DUMMYFUNCTION("""COMPUTED_VALUE"""),1.023)</f>
        <v>1.023</v>
      </c>
      <c r="E74" s="24">
        <f>IFERROR(__xludf.DUMMYFUNCTION("""COMPUTED_VALUE"""),66.0)</f>
        <v>66</v>
      </c>
      <c r="F74" s="27" t="str">
        <f>IFERROR(__xludf.DUMMYFUNCTION("""COMPUTED_VALUE"""),"BLACK")</f>
        <v>BLACK</v>
      </c>
      <c r="G74" s="28" t="str">
        <f>IFERROR(__xludf.DUMMYFUNCTION("""COMPUTED_VALUE"""),"First Times a Charm Cider")</f>
        <v>First Times a Charm Cider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IFERROR(__xludf.DUMMYFUNCTION("""COMPUTED_VALUE"""),43553.8068569907)</f>
        <v>43553.80686</v>
      </c>
      <c r="D75" s="23">
        <f>IFERROR(__xludf.DUMMYFUNCTION("""COMPUTED_VALUE"""),1.023)</f>
        <v>1.023</v>
      </c>
      <c r="E75" s="24">
        <f>IFERROR(__xludf.DUMMYFUNCTION("""COMPUTED_VALUE"""),66.0)</f>
        <v>66</v>
      </c>
      <c r="F75" s="27" t="str">
        <f>IFERROR(__xludf.DUMMYFUNCTION("""COMPUTED_VALUE"""),"BLACK")</f>
        <v>BLACK</v>
      </c>
      <c r="G75" s="28" t="str">
        <f>IFERROR(__xludf.DUMMYFUNCTION("""COMPUTED_VALUE"""),"First Times a Charm Cider")</f>
        <v>First Times a Charm Cider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IFERROR(__xludf.DUMMYFUNCTION("""COMPUTED_VALUE"""),43553.796436956)</f>
        <v>43553.79644</v>
      </c>
      <c r="D76" s="23">
        <f>IFERROR(__xludf.DUMMYFUNCTION("""COMPUTED_VALUE"""),1.023)</f>
        <v>1.023</v>
      </c>
      <c r="E76" s="24">
        <f>IFERROR(__xludf.DUMMYFUNCTION("""COMPUTED_VALUE"""),66.0)</f>
        <v>66</v>
      </c>
      <c r="F76" s="27" t="str">
        <f>IFERROR(__xludf.DUMMYFUNCTION("""COMPUTED_VALUE"""),"BLACK")</f>
        <v>BLACK</v>
      </c>
      <c r="G76" s="28" t="str">
        <f>IFERROR(__xludf.DUMMYFUNCTION("""COMPUTED_VALUE"""),"First Times a Charm Cider")</f>
        <v>First Times a Charm Cider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IFERROR(__xludf.DUMMYFUNCTION("""COMPUTED_VALUE"""),43553.7860155092)</f>
        <v>43553.78602</v>
      </c>
      <c r="D77" s="23">
        <f>IFERROR(__xludf.DUMMYFUNCTION("""COMPUTED_VALUE"""),1.023)</f>
        <v>1.023</v>
      </c>
      <c r="E77" s="24">
        <f>IFERROR(__xludf.DUMMYFUNCTION("""COMPUTED_VALUE"""),66.0)</f>
        <v>66</v>
      </c>
      <c r="F77" s="27" t="str">
        <f>IFERROR(__xludf.DUMMYFUNCTION("""COMPUTED_VALUE"""),"BLACK")</f>
        <v>BLACK</v>
      </c>
      <c r="G77" s="28" t="str">
        <f>IFERROR(__xludf.DUMMYFUNCTION("""COMPUTED_VALUE"""),"First Times a Charm Cider")</f>
        <v>First Times a Charm Cider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IFERROR(__xludf.DUMMYFUNCTION("""COMPUTED_VALUE"""),43553.775583993)</f>
        <v>43553.77558</v>
      </c>
      <c r="D78" s="23">
        <f>IFERROR(__xludf.DUMMYFUNCTION("""COMPUTED_VALUE"""),1.023)</f>
        <v>1.023</v>
      </c>
      <c r="E78" s="24">
        <f>IFERROR(__xludf.DUMMYFUNCTION("""COMPUTED_VALUE"""),66.0)</f>
        <v>66</v>
      </c>
      <c r="F78" s="27" t="str">
        <f>IFERROR(__xludf.DUMMYFUNCTION("""COMPUTED_VALUE"""),"BLACK")</f>
        <v>BLACK</v>
      </c>
      <c r="G78" s="28" t="str">
        <f>IFERROR(__xludf.DUMMYFUNCTION("""COMPUTED_VALUE"""),"First Times a Charm Cider")</f>
        <v>First Times a Charm Cider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IFERROR(__xludf.DUMMYFUNCTION("""COMPUTED_VALUE"""),43553.7651495138)</f>
        <v>43553.76515</v>
      </c>
      <c r="D79" s="23">
        <f>IFERROR(__xludf.DUMMYFUNCTION("""COMPUTED_VALUE"""),1.022)</f>
        <v>1.022</v>
      </c>
      <c r="E79" s="24">
        <f>IFERROR(__xludf.DUMMYFUNCTION("""COMPUTED_VALUE"""),66.0)</f>
        <v>66</v>
      </c>
      <c r="F79" s="27" t="str">
        <f>IFERROR(__xludf.DUMMYFUNCTION("""COMPUTED_VALUE"""),"BLACK")</f>
        <v>BLACK</v>
      </c>
      <c r="G79" s="28" t="str">
        <f>IFERROR(__xludf.DUMMYFUNCTION("""COMPUTED_VALUE"""),"First Times a Charm Cider")</f>
        <v>First Times a Charm Cider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IFERROR(__xludf.DUMMYFUNCTION("""COMPUTED_VALUE"""),43553.7547171643)</f>
        <v>43553.75472</v>
      </c>
      <c r="D80" s="23">
        <f>IFERROR(__xludf.DUMMYFUNCTION("""COMPUTED_VALUE"""),1.022)</f>
        <v>1.022</v>
      </c>
      <c r="E80" s="24">
        <f>IFERROR(__xludf.DUMMYFUNCTION("""COMPUTED_VALUE"""),66.0)</f>
        <v>66</v>
      </c>
      <c r="F80" s="27" t="str">
        <f>IFERROR(__xludf.DUMMYFUNCTION("""COMPUTED_VALUE"""),"BLACK")</f>
        <v>BLACK</v>
      </c>
      <c r="G80" s="28" t="str">
        <f>IFERROR(__xludf.DUMMYFUNCTION("""COMPUTED_VALUE"""),"First Times a Charm Cider")</f>
        <v>First Times a Charm Cider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IFERROR(__xludf.DUMMYFUNCTION("""COMPUTED_VALUE"""),43553.7442956365)</f>
        <v>43553.7443</v>
      </c>
      <c r="D81" s="23">
        <f>IFERROR(__xludf.DUMMYFUNCTION("""COMPUTED_VALUE"""),1.022)</f>
        <v>1.022</v>
      </c>
      <c r="E81" s="24">
        <f>IFERROR(__xludf.DUMMYFUNCTION("""COMPUTED_VALUE"""),66.0)</f>
        <v>66</v>
      </c>
      <c r="F81" s="27" t="str">
        <f>IFERROR(__xludf.DUMMYFUNCTION("""COMPUTED_VALUE"""),"BLACK")</f>
        <v>BLACK</v>
      </c>
      <c r="G81" s="28" t="str">
        <f>IFERROR(__xludf.DUMMYFUNCTION("""COMPUTED_VALUE"""),"First Times a Charm Cider")</f>
        <v>First Times a Charm Cider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IFERROR(__xludf.DUMMYFUNCTION("""COMPUTED_VALUE"""),43553.733838912)</f>
        <v>43553.73384</v>
      </c>
      <c r="D82" s="23">
        <f>IFERROR(__xludf.DUMMYFUNCTION("""COMPUTED_VALUE"""),1.023)</f>
        <v>1.023</v>
      </c>
      <c r="E82" s="24">
        <f>IFERROR(__xludf.DUMMYFUNCTION("""COMPUTED_VALUE"""),66.0)</f>
        <v>66</v>
      </c>
      <c r="F82" s="27" t="str">
        <f>IFERROR(__xludf.DUMMYFUNCTION("""COMPUTED_VALUE"""),"BLACK")</f>
        <v>BLACK</v>
      </c>
      <c r="G82" s="28" t="str">
        <f>IFERROR(__xludf.DUMMYFUNCTION("""COMPUTED_VALUE"""),"First Times a Charm Cider")</f>
        <v>First Times a Charm Cider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IFERROR(__xludf.DUMMYFUNCTION("""COMPUTED_VALUE"""),43553.723393993)</f>
        <v>43553.72339</v>
      </c>
      <c r="D83" s="23">
        <f>IFERROR(__xludf.DUMMYFUNCTION("""COMPUTED_VALUE"""),1.023)</f>
        <v>1.023</v>
      </c>
      <c r="E83" s="24">
        <f>IFERROR(__xludf.DUMMYFUNCTION("""COMPUTED_VALUE"""),66.0)</f>
        <v>66</v>
      </c>
      <c r="F83" s="27" t="str">
        <f>IFERROR(__xludf.DUMMYFUNCTION("""COMPUTED_VALUE"""),"BLACK")</f>
        <v>BLACK</v>
      </c>
      <c r="G83" s="28" t="str">
        <f>IFERROR(__xludf.DUMMYFUNCTION("""COMPUTED_VALUE"""),"First Times a Charm Cider")</f>
        <v>First Times a Charm Cider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IFERROR(__xludf.DUMMYFUNCTION("""COMPUTED_VALUE"""),43553.7129623148)</f>
        <v>43553.71296</v>
      </c>
      <c r="D84" s="23">
        <f>IFERROR(__xludf.DUMMYFUNCTION("""COMPUTED_VALUE"""),1.023)</f>
        <v>1.023</v>
      </c>
      <c r="E84" s="24">
        <f>IFERROR(__xludf.DUMMYFUNCTION("""COMPUTED_VALUE"""),66.0)</f>
        <v>66</v>
      </c>
      <c r="F84" s="27" t="str">
        <f>IFERROR(__xludf.DUMMYFUNCTION("""COMPUTED_VALUE"""),"BLACK")</f>
        <v>BLACK</v>
      </c>
      <c r="G84" s="28" t="str">
        <f>IFERROR(__xludf.DUMMYFUNCTION("""COMPUTED_VALUE"""),"First Times a Charm Cider")</f>
        <v>First Times a Charm Cider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IFERROR(__xludf.DUMMYFUNCTION("""COMPUTED_VALUE"""),43553.7025408333)</f>
        <v>43553.70254</v>
      </c>
      <c r="D85" s="23">
        <f>IFERROR(__xludf.DUMMYFUNCTION("""COMPUTED_VALUE"""),1.022)</f>
        <v>1.022</v>
      </c>
      <c r="E85" s="24">
        <f>IFERROR(__xludf.DUMMYFUNCTION("""COMPUTED_VALUE"""),66.0)</f>
        <v>66</v>
      </c>
      <c r="F85" s="27" t="str">
        <f>IFERROR(__xludf.DUMMYFUNCTION("""COMPUTED_VALUE"""),"BLACK")</f>
        <v>BLACK</v>
      </c>
      <c r="G85" s="28" t="str">
        <f>IFERROR(__xludf.DUMMYFUNCTION("""COMPUTED_VALUE"""),"First Times a Charm Cider")</f>
        <v>First Times a Charm Cider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IFERROR(__xludf.DUMMYFUNCTION("""COMPUTED_VALUE"""),43553.692108125)</f>
        <v>43553.69211</v>
      </c>
      <c r="D86" s="23">
        <f>IFERROR(__xludf.DUMMYFUNCTION("""COMPUTED_VALUE"""),1.023)</f>
        <v>1.023</v>
      </c>
      <c r="E86" s="24">
        <f>IFERROR(__xludf.DUMMYFUNCTION("""COMPUTED_VALUE"""),66.0)</f>
        <v>66</v>
      </c>
      <c r="F86" s="27" t="str">
        <f>IFERROR(__xludf.DUMMYFUNCTION("""COMPUTED_VALUE"""),"BLACK")</f>
        <v>BLACK</v>
      </c>
      <c r="G86" s="28" t="str">
        <f>IFERROR(__xludf.DUMMYFUNCTION("""COMPUTED_VALUE"""),"First Times a Charm Cider")</f>
        <v>First Times a Charm Cider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IFERROR(__xludf.DUMMYFUNCTION("""COMPUTED_VALUE"""),43553.6816762847)</f>
        <v>43553.68168</v>
      </c>
      <c r="D87" s="23">
        <f>IFERROR(__xludf.DUMMYFUNCTION("""COMPUTED_VALUE"""),1.023)</f>
        <v>1.023</v>
      </c>
      <c r="E87" s="24">
        <f>IFERROR(__xludf.DUMMYFUNCTION("""COMPUTED_VALUE"""),66.0)</f>
        <v>66</v>
      </c>
      <c r="F87" s="27" t="str">
        <f>IFERROR(__xludf.DUMMYFUNCTION("""COMPUTED_VALUE"""),"BLACK")</f>
        <v>BLACK</v>
      </c>
      <c r="G87" s="28" t="str">
        <f>IFERROR(__xludf.DUMMYFUNCTION("""COMPUTED_VALUE"""),"First Times a Charm Cider")</f>
        <v>First Times a Charm Cider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IFERROR(__xludf.DUMMYFUNCTION("""COMPUTED_VALUE"""),43553.6710805324)</f>
        <v>43553.67108</v>
      </c>
      <c r="D88" s="23">
        <f>IFERROR(__xludf.DUMMYFUNCTION("""COMPUTED_VALUE"""),1.023)</f>
        <v>1.023</v>
      </c>
      <c r="E88" s="24">
        <f>IFERROR(__xludf.DUMMYFUNCTION("""COMPUTED_VALUE"""),66.0)</f>
        <v>66</v>
      </c>
      <c r="F88" s="27" t="str">
        <f>IFERROR(__xludf.DUMMYFUNCTION("""COMPUTED_VALUE"""),"BLACK")</f>
        <v>BLACK</v>
      </c>
      <c r="G88" s="28" t="str">
        <f>IFERROR(__xludf.DUMMYFUNCTION("""COMPUTED_VALUE"""),"First Times a Charm Cider")</f>
        <v>First Times a Charm Cider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IFERROR(__xludf.DUMMYFUNCTION("""COMPUTED_VALUE"""),43553.6606472685)</f>
        <v>43553.66065</v>
      </c>
      <c r="D89" s="23">
        <f>IFERROR(__xludf.DUMMYFUNCTION("""COMPUTED_VALUE"""),1.023)</f>
        <v>1.023</v>
      </c>
      <c r="E89" s="24">
        <f>IFERROR(__xludf.DUMMYFUNCTION("""COMPUTED_VALUE"""),66.0)</f>
        <v>66</v>
      </c>
      <c r="F89" s="27" t="str">
        <f>IFERROR(__xludf.DUMMYFUNCTION("""COMPUTED_VALUE"""),"BLACK")</f>
        <v>BLACK</v>
      </c>
      <c r="G89" s="28" t="str">
        <f>IFERROR(__xludf.DUMMYFUNCTION("""COMPUTED_VALUE"""),"First Times a Charm Cider")</f>
        <v>First Times a Charm Cider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IFERROR(__xludf.DUMMYFUNCTION("""COMPUTED_VALUE"""),43553.6501575925)</f>
        <v>43553.65016</v>
      </c>
      <c r="D90" s="23">
        <f>IFERROR(__xludf.DUMMYFUNCTION("""COMPUTED_VALUE"""),1.023)</f>
        <v>1.023</v>
      </c>
      <c r="E90" s="24">
        <f>IFERROR(__xludf.DUMMYFUNCTION("""COMPUTED_VALUE"""),66.0)</f>
        <v>66</v>
      </c>
      <c r="F90" s="27" t="str">
        <f>IFERROR(__xludf.DUMMYFUNCTION("""COMPUTED_VALUE"""),"BLACK")</f>
        <v>BLACK</v>
      </c>
      <c r="G90" s="28" t="str">
        <f>IFERROR(__xludf.DUMMYFUNCTION("""COMPUTED_VALUE"""),"First Times a Charm Cider")</f>
        <v>First Times a Charm Cider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IFERROR(__xludf.DUMMYFUNCTION("""COMPUTED_VALUE"""),43553.6397130902)</f>
        <v>43553.63971</v>
      </c>
      <c r="D91" s="23">
        <f>IFERROR(__xludf.DUMMYFUNCTION("""COMPUTED_VALUE"""),1.023)</f>
        <v>1.023</v>
      </c>
      <c r="E91" s="24">
        <f>IFERROR(__xludf.DUMMYFUNCTION("""COMPUTED_VALUE"""),66.0)</f>
        <v>66</v>
      </c>
      <c r="F91" s="27" t="str">
        <f>IFERROR(__xludf.DUMMYFUNCTION("""COMPUTED_VALUE"""),"BLACK")</f>
        <v>BLACK</v>
      </c>
      <c r="G91" s="28" t="str">
        <f>IFERROR(__xludf.DUMMYFUNCTION("""COMPUTED_VALUE"""),"First Times a Charm Cider")</f>
        <v>First Times a Charm Cider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IFERROR(__xludf.DUMMYFUNCTION("""COMPUTED_VALUE"""),43553.6292927893)</f>
        <v>43553.62929</v>
      </c>
      <c r="D92" s="23">
        <f>IFERROR(__xludf.DUMMYFUNCTION("""COMPUTED_VALUE"""),1.022)</f>
        <v>1.022</v>
      </c>
      <c r="E92" s="24">
        <f>IFERROR(__xludf.DUMMYFUNCTION("""COMPUTED_VALUE"""),66.0)</f>
        <v>66</v>
      </c>
      <c r="F92" s="27" t="str">
        <f>IFERROR(__xludf.DUMMYFUNCTION("""COMPUTED_VALUE"""),"BLACK")</f>
        <v>BLACK</v>
      </c>
      <c r="G92" s="28" t="str">
        <f>IFERROR(__xludf.DUMMYFUNCTION("""COMPUTED_VALUE"""),"First Times a Charm Cider")</f>
        <v>First Times a Charm Cider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IFERROR(__xludf.DUMMYFUNCTION("""COMPUTED_VALUE"""),43553.6188716319)</f>
        <v>43553.61887</v>
      </c>
      <c r="D93" s="23">
        <f>IFERROR(__xludf.DUMMYFUNCTION("""COMPUTED_VALUE"""),1.023)</f>
        <v>1.023</v>
      </c>
      <c r="E93" s="24">
        <f>IFERROR(__xludf.DUMMYFUNCTION("""COMPUTED_VALUE"""),66.0)</f>
        <v>66</v>
      </c>
      <c r="F93" s="27" t="str">
        <f>IFERROR(__xludf.DUMMYFUNCTION("""COMPUTED_VALUE"""),"BLACK")</f>
        <v>BLACK</v>
      </c>
      <c r="G93" s="28" t="str">
        <f>IFERROR(__xludf.DUMMYFUNCTION("""COMPUTED_VALUE"""),"First Times a Charm Cider")</f>
        <v>First Times a Charm Cider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IFERROR(__xludf.DUMMYFUNCTION("""COMPUTED_VALUE"""),43553.6084503356)</f>
        <v>43553.60845</v>
      </c>
      <c r="D94" s="23">
        <f>IFERROR(__xludf.DUMMYFUNCTION("""COMPUTED_VALUE"""),1.023)</f>
        <v>1.023</v>
      </c>
      <c r="E94" s="24">
        <f>IFERROR(__xludf.DUMMYFUNCTION("""COMPUTED_VALUE"""),66.0)</f>
        <v>66</v>
      </c>
      <c r="F94" s="27" t="str">
        <f>IFERROR(__xludf.DUMMYFUNCTION("""COMPUTED_VALUE"""),"BLACK")</f>
        <v>BLACK</v>
      </c>
      <c r="G94" s="28" t="str">
        <f>IFERROR(__xludf.DUMMYFUNCTION("""COMPUTED_VALUE"""),"First Times a Charm Cider")</f>
        <v>First Times a Charm Cider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IFERROR(__xludf.DUMMYFUNCTION("""COMPUTED_VALUE"""),43553.5980306134)</f>
        <v>43553.59803</v>
      </c>
      <c r="D95" s="23">
        <f>IFERROR(__xludf.DUMMYFUNCTION("""COMPUTED_VALUE"""),1.023)</f>
        <v>1.023</v>
      </c>
      <c r="E95" s="24">
        <f>IFERROR(__xludf.DUMMYFUNCTION("""COMPUTED_VALUE"""),66.0)</f>
        <v>66</v>
      </c>
      <c r="F95" s="27" t="str">
        <f>IFERROR(__xludf.DUMMYFUNCTION("""COMPUTED_VALUE"""),"BLACK")</f>
        <v>BLACK</v>
      </c>
      <c r="G95" s="28" t="str">
        <f>IFERROR(__xludf.DUMMYFUNCTION("""COMPUTED_VALUE"""),"First Times a Charm Cider")</f>
        <v>First Times a Charm Cider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IFERROR(__xludf.DUMMYFUNCTION("""COMPUTED_VALUE"""),43553.5875971875)</f>
        <v>43553.5876</v>
      </c>
      <c r="D96" s="23">
        <f>IFERROR(__xludf.DUMMYFUNCTION("""COMPUTED_VALUE"""),1.023)</f>
        <v>1.023</v>
      </c>
      <c r="E96" s="24">
        <f>IFERROR(__xludf.DUMMYFUNCTION("""COMPUTED_VALUE"""),66.0)</f>
        <v>66</v>
      </c>
      <c r="F96" s="27" t="str">
        <f>IFERROR(__xludf.DUMMYFUNCTION("""COMPUTED_VALUE"""),"BLACK")</f>
        <v>BLACK</v>
      </c>
      <c r="G96" s="28" t="str">
        <f>IFERROR(__xludf.DUMMYFUNCTION("""COMPUTED_VALUE"""),"First Times a Charm Cider")</f>
        <v>First Times a Charm Cider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IFERROR(__xludf.DUMMYFUNCTION("""COMPUTED_VALUE"""),43553.5771748958)</f>
        <v>43553.57717</v>
      </c>
      <c r="D97" s="23">
        <f>IFERROR(__xludf.DUMMYFUNCTION("""COMPUTED_VALUE"""),1.023)</f>
        <v>1.023</v>
      </c>
      <c r="E97" s="24">
        <f>IFERROR(__xludf.DUMMYFUNCTION("""COMPUTED_VALUE"""),66.0)</f>
        <v>66</v>
      </c>
      <c r="F97" s="27" t="str">
        <f>IFERROR(__xludf.DUMMYFUNCTION("""COMPUTED_VALUE"""),"BLACK")</f>
        <v>BLACK</v>
      </c>
      <c r="G97" s="28" t="str">
        <f>IFERROR(__xludf.DUMMYFUNCTION("""COMPUTED_VALUE"""),"First Times a Charm Cider")</f>
        <v>First Times a Charm Cider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IFERROR(__xludf.DUMMYFUNCTION("""COMPUTED_VALUE"""),43553.5667541435)</f>
        <v>43553.56675</v>
      </c>
      <c r="D98" s="23">
        <f>IFERROR(__xludf.DUMMYFUNCTION("""COMPUTED_VALUE"""),1.023)</f>
        <v>1.023</v>
      </c>
      <c r="E98" s="24">
        <f>IFERROR(__xludf.DUMMYFUNCTION("""COMPUTED_VALUE"""),66.0)</f>
        <v>66</v>
      </c>
      <c r="F98" s="27" t="str">
        <f>IFERROR(__xludf.DUMMYFUNCTION("""COMPUTED_VALUE"""),"BLACK")</f>
        <v>BLACK</v>
      </c>
      <c r="G98" s="28" t="str">
        <f>IFERROR(__xludf.DUMMYFUNCTION("""COMPUTED_VALUE"""),"First Times a Charm Cider")</f>
        <v>First Times a Charm Cider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IFERROR(__xludf.DUMMYFUNCTION("""COMPUTED_VALUE"""),43553.5563333564)</f>
        <v>43553.55633</v>
      </c>
      <c r="D99" s="23">
        <f>IFERROR(__xludf.DUMMYFUNCTION("""COMPUTED_VALUE"""),1.023)</f>
        <v>1.023</v>
      </c>
      <c r="E99" s="24">
        <f>IFERROR(__xludf.DUMMYFUNCTION("""COMPUTED_VALUE"""),66.0)</f>
        <v>66</v>
      </c>
      <c r="F99" s="27" t="str">
        <f>IFERROR(__xludf.DUMMYFUNCTION("""COMPUTED_VALUE"""),"BLACK")</f>
        <v>BLACK</v>
      </c>
      <c r="G99" s="28" t="str">
        <f>IFERROR(__xludf.DUMMYFUNCTION("""COMPUTED_VALUE"""),"First Times a Charm Cider")</f>
        <v>First Times a Charm Cider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IFERROR(__xludf.DUMMYFUNCTION("""COMPUTED_VALUE"""),43553.5459006018)</f>
        <v>43553.5459</v>
      </c>
      <c r="D100" s="23">
        <f>IFERROR(__xludf.DUMMYFUNCTION("""COMPUTED_VALUE"""),1.023)</f>
        <v>1.023</v>
      </c>
      <c r="E100" s="24">
        <f>IFERROR(__xludf.DUMMYFUNCTION("""COMPUTED_VALUE"""),66.0)</f>
        <v>66</v>
      </c>
      <c r="F100" s="27" t="str">
        <f>IFERROR(__xludf.DUMMYFUNCTION("""COMPUTED_VALUE"""),"BLACK")</f>
        <v>BLACK</v>
      </c>
      <c r="G100" s="28" t="str">
        <f>IFERROR(__xludf.DUMMYFUNCTION("""COMPUTED_VALUE"""),"First Times a Charm Cider")</f>
        <v>First Times a Charm Cider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IFERROR(__xludf.DUMMYFUNCTION("""COMPUTED_VALUE"""),43553.535477824)</f>
        <v>43553.53548</v>
      </c>
      <c r="D101" s="23">
        <f>IFERROR(__xludf.DUMMYFUNCTION("""COMPUTED_VALUE"""),1.023)</f>
        <v>1.023</v>
      </c>
      <c r="E101" s="24">
        <f>IFERROR(__xludf.DUMMYFUNCTION("""COMPUTED_VALUE"""),66.0)</f>
        <v>66</v>
      </c>
      <c r="F101" s="27" t="str">
        <f>IFERROR(__xludf.DUMMYFUNCTION("""COMPUTED_VALUE"""),"BLACK")</f>
        <v>BLACK</v>
      </c>
      <c r="G101" s="28" t="str">
        <f>IFERROR(__xludf.DUMMYFUNCTION("""COMPUTED_VALUE"""),"First Times a Charm Cider")</f>
        <v>First Times a Charm Cider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IFERROR(__xludf.DUMMYFUNCTION("""COMPUTED_VALUE"""),43553.5250560069)</f>
        <v>43553.52506</v>
      </c>
      <c r="D102" s="23">
        <f>IFERROR(__xludf.DUMMYFUNCTION("""COMPUTED_VALUE"""),1.023)</f>
        <v>1.023</v>
      </c>
      <c r="E102" s="24">
        <f>IFERROR(__xludf.DUMMYFUNCTION("""COMPUTED_VALUE"""),66.0)</f>
        <v>66</v>
      </c>
      <c r="F102" s="27" t="str">
        <f>IFERROR(__xludf.DUMMYFUNCTION("""COMPUTED_VALUE"""),"BLACK")</f>
        <v>BLACK</v>
      </c>
      <c r="G102" s="28" t="str">
        <f>IFERROR(__xludf.DUMMYFUNCTION("""COMPUTED_VALUE"""),"First Times a Charm Cider")</f>
        <v>First Times a Charm Cider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IFERROR(__xludf.DUMMYFUNCTION("""COMPUTED_VALUE"""),43553.5146338773)</f>
        <v>43553.51463</v>
      </c>
      <c r="D103" s="23">
        <f>IFERROR(__xludf.DUMMYFUNCTION("""COMPUTED_VALUE"""),1.023)</f>
        <v>1.023</v>
      </c>
      <c r="E103" s="24">
        <f>IFERROR(__xludf.DUMMYFUNCTION("""COMPUTED_VALUE"""),66.0)</f>
        <v>66</v>
      </c>
      <c r="F103" s="27" t="str">
        <f>IFERROR(__xludf.DUMMYFUNCTION("""COMPUTED_VALUE"""),"BLACK")</f>
        <v>BLACK</v>
      </c>
      <c r="G103" s="28" t="str">
        <f>IFERROR(__xludf.DUMMYFUNCTION("""COMPUTED_VALUE"""),"First Times a Charm Cider")</f>
        <v>First Times a Charm Cider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IFERROR(__xludf.DUMMYFUNCTION("""COMPUTED_VALUE"""),43553.5042027893)</f>
        <v>43553.5042</v>
      </c>
      <c r="D104" s="23">
        <f>IFERROR(__xludf.DUMMYFUNCTION("""COMPUTED_VALUE"""),1.023)</f>
        <v>1.023</v>
      </c>
      <c r="E104" s="24">
        <f>IFERROR(__xludf.DUMMYFUNCTION("""COMPUTED_VALUE"""),66.0)</f>
        <v>66</v>
      </c>
      <c r="F104" s="27" t="str">
        <f>IFERROR(__xludf.DUMMYFUNCTION("""COMPUTED_VALUE"""),"BLACK")</f>
        <v>BLACK</v>
      </c>
      <c r="G104" s="28" t="str">
        <f>IFERROR(__xludf.DUMMYFUNCTION("""COMPUTED_VALUE"""),"First Times a Charm Cider")</f>
        <v>First Times a Charm Cider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IFERROR(__xludf.DUMMYFUNCTION("""COMPUTED_VALUE"""),43553.493757824)</f>
        <v>43553.49376</v>
      </c>
      <c r="D105" s="23">
        <f>IFERROR(__xludf.DUMMYFUNCTION("""COMPUTED_VALUE"""),1.023)</f>
        <v>1.023</v>
      </c>
      <c r="E105" s="24">
        <f>IFERROR(__xludf.DUMMYFUNCTION("""COMPUTED_VALUE"""),66.0)</f>
        <v>66</v>
      </c>
      <c r="F105" s="27" t="str">
        <f>IFERROR(__xludf.DUMMYFUNCTION("""COMPUTED_VALUE"""),"BLACK")</f>
        <v>BLACK</v>
      </c>
      <c r="G105" s="28" t="str">
        <f>IFERROR(__xludf.DUMMYFUNCTION("""COMPUTED_VALUE"""),"First Times a Charm Cider")</f>
        <v>First Times a Charm Cider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IFERROR(__xludf.DUMMYFUNCTION("""COMPUTED_VALUE"""),43553.4833129745)</f>
        <v>43553.48331</v>
      </c>
      <c r="D106" s="23">
        <f>IFERROR(__xludf.DUMMYFUNCTION("""COMPUTED_VALUE"""),1.023)</f>
        <v>1.023</v>
      </c>
      <c r="E106" s="24">
        <f>IFERROR(__xludf.DUMMYFUNCTION("""COMPUTED_VALUE"""),66.0)</f>
        <v>66</v>
      </c>
      <c r="F106" s="27" t="str">
        <f>IFERROR(__xludf.DUMMYFUNCTION("""COMPUTED_VALUE"""),"BLACK")</f>
        <v>BLACK</v>
      </c>
      <c r="G106" s="28" t="str">
        <f>IFERROR(__xludf.DUMMYFUNCTION("""COMPUTED_VALUE"""),"First Times a Charm Cider")</f>
        <v>First Times a Charm Cider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IFERROR(__xludf.DUMMYFUNCTION("""COMPUTED_VALUE"""),43553.4728922916)</f>
        <v>43553.47289</v>
      </c>
      <c r="D107" s="23">
        <f>IFERROR(__xludf.DUMMYFUNCTION("""COMPUTED_VALUE"""),1.023)</f>
        <v>1.023</v>
      </c>
      <c r="E107" s="24">
        <f>IFERROR(__xludf.DUMMYFUNCTION("""COMPUTED_VALUE"""),66.0)</f>
        <v>66</v>
      </c>
      <c r="F107" s="27" t="str">
        <f>IFERROR(__xludf.DUMMYFUNCTION("""COMPUTED_VALUE"""),"BLACK")</f>
        <v>BLACK</v>
      </c>
      <c r="G107" s="28" t="str">
        <f>IFERROR(__xludf.DUMMYFUNCTION("""COMPUTED_VALUE"""),"First Times a Charm Cider")</f>
        <v>First Times a Charm Cider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IFERROR(__xludf.DUMMYFUNCTION("""COMPUTED_VALUE"""),43553.4624602083)</f>
        <v>43553.46246</v>
      </c>
      <c r="D108" s="23">
        <f>IFERROR(__xludf.DUMMYFUNCTION("""COMPUTED_VALUE"""),1.023)</f>
        <v>1.023</v>
      </c>
      <c r="E108" s="24">
        <f>IFERROR(__xludf.DUMMYFUNCTION("""COMPUTED_VALUE"""),66.0)</f>
        <v>66</v>
      </c>
      <c r="F108" s="27" t="str">
        <f>IFERROR(__xludf.DUMMYFUNCTION("""COMPUTED_VALUE"""),"BLACK")</f>
        <v>BLACK</v>
      </c>
      <c r="G108" s="28" t="str">
        <f>IFERROR(__xludf.DUMMYFUNCTION("""COMPUTED_VALUE"""),"First Times a Charm Cider")</f>
        <v>First Times a Charm Cider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IFERROR(__xludf.DUMMYFUNCTION("""COMPUTED_VALUE"""),43553.4520267361)</f>
        <v>43553.45203</v>
      </c>
      <c r="D109" s="23">
        <f>IFERROR(__xludf.DUMMYFUNCTION("""COMPUTED_VALUE"""),1.023)</f>
        <v>1.023</v>
      </c>
      <c r="E109" s="24">
        <f>IFERROR(__xludf.DUMMYFUNCTION("""COMPUTED_VALUE"""),66.0)</f>
        <v>66</v>
      </c>
      <c r="F109" s="27" t="str">
        <f>IFERROR(__xludf.DUMMYFUNCTION("""COMPUTED_VALUE"""),"BLACK")</f>
        <v>BLACK</v>
      </c>
      <c r="G109" s="28" t="str">
        <f>IFERROR(__xludf.DUMMYFUNCTION("""COMPUTED_VALUE"""),"First Times a Charm Cider")</f>
        <v>First Times a Charm Cider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IFERROR(__xludf.DUMMYFUNCTION("""COMPUTED_VALUE"""),43553.4415937731)</f>
        <v>43553.44159</v>
      </c>
      <c r="D110" s="23">
        <f>IFERROR(__xludf.DUMMYFUNCTION("""COMPUTED_VALUE"""),1.023)</f>
        <v>1.023</v>
      </c>
      <c r="E110" s="24">
        <f>IFERROR(__xludf.DUMMYFUNCTION("""COMPUTED_VALUE"""),66.0)</f>
        <v>66</v>
      </c>
      <c r="F110" s="27" t="str">
        <f>IFERROR(__xludf.DUMMYFUNCTION("""COMPUTED_VALUE"""),"BLACK")</f>
        <v>BLACK</v>
      </c>
      <c r="G110" s="28" t="str">
        <f>IFERROR(__xludf.DUMMYFUNCTION("""COMPUTED_VALUE"""),"First Times a Charm Cider")</f>
        <v>First Times a Charm Cider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IFERROR(__xludf.DUMMYFUNCTION("""COMPUTED_VALUE"""),43553.4311611458)</f>
        <v>43553.43116</v>
      </c>
      <c r="D111" s="23">
        <f>IFERROR(__xludf.DUMMYFUNCTION("""COMPUTED_VALUE"""),1.023)</f>
        <v>1.023</v>
      </c>
      <c r="E111" s="24">
        <f>IFERROR(__xludf.DUMMYFUNCTION("""COMPUTED_VALUE"""),66.0)</f>
        <v>66</v>
      </c>
      <c r="F111" s="27" t="str">
        <f>IFERROR(__xludf.DUMMYFUNCTION("""COMPUTED_VALUE"""),"BLACK")</f>
        <v>BLACK</v>
      </c>
      <c r="G111" s="28" t="str">
        <f>IFERROR(__xludf.DUMMYFUNCTION("""COMPUTED_VALUE"""),"First Times a Charm Cider")</f>
        <v>First Times a Charm Cider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IFERROR(__xludf.DUMMYFUNCTION("""COMPUTED_VALUE"""),43553.4207162499)</f>
        <v>43553.42072</v>
      </c>
      <c r="D112" s="23">
        <f>IFERROR(__xludf.DUMMYFUNCTION("""COMPUTED_VALUE"""),1.023)</f>
        <v>1.023</v>
      </c>
      <c r="E112" s="24">
        <f>IFERROR(__xludf.DUMMYFUNCTION("""COMPUTED_VALUE"""),66.0)</f>
        <v>66</v>
      </c>
      <c r="F112" s="27" t="str">
        <f>IFERROR(__xludf.DUMMYFUNCTION("""COMPUTED_VALUE"""),"BLACK")</f>
        <v>BLACK</v>
      </c>
      <c r="G112" s="28" t="str">
        <f>IFERROR(__xludf.DUMMYFUNCTION("""COMPUTED_VALUE"""),"First Times a Charm Cider")</f>
        <v>First Times a Charm Cider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IFERROR(__xludf.DUMMYFUNCTION("""COMPUTED_VALUE"""),43553.4102837615)</f>
        <v>43553.41028</v>
      </c>
      <c r="D113" s="23">
        <f>IFERROR(__xludf.DUMMYFUNCTION("""COMPUTED_VALUE"""),1.023)</f>
        <v>1.023</v>
      </c>
      <c r="E113" s="24">
        <f>IFERROR(__xludf.DUMMYFUNCTION("""COMPUTED_VALUE"""),66.0)</f>
        <v>66</v>
      </c>
      <c r="F113" s="27" t="str">
        <f>IFERROR(__xludf.DUMMYFUNCTION("""COMPUTED_VALUE"""),"BLACK")</f>
        <v>BLACK</v>
      </c>
      <c r="G113" s="28" t="str">
        <f>IFERROR(__xludf.DUMMYFUNCTION("""COMPUTED_VALUE"""),"First Times a Charm Cider")</f>
        <v>First Times a Charm Cider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IFERROR(__xludf.DUMMYFUNCTION("""COMPUTED_VALUE"""),43553.3998610416)</f>
        <v>43553.39986</v>
      </c>
      <c r="D114" s="23">
        <f>IFERROR(__xludf.DUMMYFUNCTION("""COMPUTED_VALUE"""),1.023)</f>
        <v>1.023</v>
      </c>
      <c r="E114" s="24">
        <f>IFERROR(__xludf.DUMMYFUNCTION("""COMPUTED_VALUE"""),66.0)</f>
        <v>66</v>
      </c>
      <c r="F114" s="27" t="str">
        <f>IFERROR(__xludf.DUMMYFUNCTION("""COMPUTED_VALUE"""),"BLACK")</f>
        <v>BLACK</v>
      </c>
      <c r="G114" s="28" t="str">
        <f>IFERROR(__xludf.DUMMYFUNCTION("""COMPUTED_VALUE"""),"First Times a Charm Cider")</f>
        <v>First Times a Charm Cider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IFERROR(__xludf.DUMMYFUNCTION("""COMPUTED_VALUE"""),43553.3894397106)</f>
        <v>43553.38944</v>
      </c>
      <c r="D115" s="23">
        <f>IFERROR(__xludf.DUMMYFUNCTION("""COMPUTED_VALUE"""),1.023)</f>
        <v>1.023</v>
      </c>
      <c r="E115" s="24">
        <f>IFERROR(__xludf.DUMMYFUNCTION("""COMPUTED_VALUE"""),66.0)</f>
        <v>66</v>
      </c>
      <c r="F115" s="27" t="str">
        <f>IFERROR(__xludf.DUMMYFUNCTION("""COMPUTED_VALUE"""),"BLACK")</f>
        <v>BLACK</v>
      </c>
      <c r="G115" s="28" t="str">
        <f>IFERROR(__xludf.DUMMYFUNCTION("""COMPUTED_VALUE"""),"First Times a Charm Cider")</f>
        <v>First Times a Charm Cider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IFERROR(__xludf.DUMMYFUNCTION("""COMPUTED_VALUE"""),43553.3790073611)</f>
        <v>43553.37901</v>
      </c>
      <c r="D116" s="23">
        <f>IFERROR(__xludf.DUMMYFUNCTION("""COMPUTED_VALUE"""),1.023)</f>
        <v>1.023</v>
      </c>
      <c r="E116" s="24">
        <f>IFERROR(__xludf.DUMMYFUNCTION("""COMPUTED_VALUE"""),66.0)</f>
        <v>66</v>
      </c>
      <c r="F116" s="27" t="str">
        <f>IFERROR(__xludf.DUMMYFUNCTION("""COMPUTED_VALUE"""),"BLACK")</f>
        <v>BLACK</v>
      </c>
      <c r="G116" s="28" t="str">
        <f>IFERROR(__xludf.DUMMYFUNCTION("""COMPUTED_VALUE"""),"First Times a Charm Cider")</f>
        <v>First Times a Charm Cider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IFERROR(__xludf.DUMMYFUNCTION("""COMPUTED_VALUE"""),43553.3685392592)</f>
        <v>43553.36854</v>
      </c>
      <c r="D117" s="23">
        <f>IFERROR(__xludf.DUMMYFUNCTION("""COMPUTED_VALUE"""),1.023)</f>
        <v>1.023</v>
      </c>
      <c r="E117" s="24">
        <f>IFERROR(__xludf.DUMMYFUNCTION("""COMPUTED_VALUE"""),66.0)</f>
        <v>66</v>
      </c>
      <c r="F117" s="27" t="str">
        <f>IFERROR(__xludf.DUMMYFUNCTION("""COMPUTED_VALUE"""),"BLACK")</f>
        <v>BLACK</v>
      </c>
      <c r="G117" s="28" t="str">
        <f>IFERROR(__xludf.DUMMYFUNCTION("""COMPUTED_VALUE"""),"First Times a Charm Cider")</f>
        <v>First Times a Charm Cider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IFERROR(__xludf.DUMMYFUNCTION("""COMPUTED_VALUE"""),43553.3581190162)</f>
        <v>43553.35812</v>
      </c>
      <c r="D118" s="23">
        <f>IFERROR(__xludf.DUMMYFUNCTION("""COMPUTED_VALUE"""),1.023)</f>
        <v>1.023</v>
      </c>
      <c r="E118" s="24">
        <f>IFERROR(__xludf.DUMMYFUNCTION("""COMPUTED_VALUE"""),66.0)</f>
        <v>66</v>
      </c>
      <c r="F118" s="27" t="str">
        <f>IFERROR(__xludf.DUMMYFUNCTION("""COMPUTED_VALUE"""),"BLACK")</f>
        <v>BLACK</v>
      </c>
      <c r="G118" s="28" t="str">
        <f>IFERROR(__xludf.DUMMYFUNCTION("""COMPUTED_VALUE"""),"First Times a Charm Cider")</f>
        <v>First Times a Charm Cider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IFERROR(__xludf.DUMMYFUNCTION("""COMPUTED_VALUE"""),43553.337273368)</f>
        <v>43553.33727</v>
      </c>
      <c r="D119" s="23">
        <f>IFERROR(__xludf.DUMMYFUNCTION("""COMPUTED_VALUE"""),1.023)</f>
        <v>1.023</v>
      </c>
      <c r="E119" s="24">
        <f>IFERROR(__xludf.DUMMYFUNCTION("""COMPUTED_VALUE"""),66.0)</f>
        <v>66</v>
      </c>
      <c r="F119" s="27" t="str">
        <f>IFERROR(__xludf.DUMMYFUNCTION("""COMPUTED_VALUE"""),"BLACK")</f>
        <v>BLACK</v>
      </c>
      <c r="G119" s="28" t="str">
        <f>IFERROR(__xludf.DUMMYFUNCTION("""COMPUTED_VALUE"""),"First Times a Charm Cider")</f>
        <v>First Times a Charm Cider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IFERROR(__xludf.DUMMYFUNCTION("""COMPUTED_VALUE"""),43553.3268414236)</f>
        <v>43553.32684</v>
      </c>
      <c r="D120" s="23">
        <f>IFERROR(__xludf.DUMMYFUNCTION("""COMPUTED_VALUE"""),1.023)</f>
        <v>1.023</v>
      </c>
      <c r="E120" s="24">
        <f>IFERROR(__xludf.DUMMYFUNCTION("""COMPUTED_VALUE"""),66.0)</f>
        <v>66</v>
      </c>
      <c r="F120" s="27" t="str">
        <f>IFERROR(__xludf.DUMMYFUNCTION("""COMPUTED_VALUE"""),"BLACK")</f>
        <v>BLACK</v>
      </c>
      <c r="G120" s="28" t="str">
        <f>IFERROR(__xludf.DUMMYFUNCTION("""COMPUTED_VALUE"""),"First Times a Charm Cider")</f>
        <v>First Times a Charm Cider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IFERROR(__xludf.DUMMYFUNCTION("""COMPUTED_VALUE"""),43553.3164204051)</f>
        <v>43553.31642</v>
      </c>
      <c r="D121" s="23">
        <f>IFERROR(__xludf.DUMMYFUNCTION("""COMPUTED_VALUE"""),1.023)</f>
        <v>1.023</v>
      </c>
      <c r="E121" s="24">
        <f>IFERROR(__xludf.DUMMYFUNCTION("""COMPUTED_VALUE"""),66.0)</f>
        <v>66</v>
      </c>
      <c r="F121" s="27" t="str">
        <f>IFERROR(__xludf.DUMMYFUNCTION("""COMPUTED_VALUE"""),"BLACK")</f>
        <v>BLACK</v>
      </c>
      <c r="G121" s="28" t="str">
        <f>IFERROR(__xludf.DUMMYFUNCTION("""COMPUTED_VALUE"""),"First Times a Charm Cider")</f>
        <v>First Times a Charm Cider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IFERROR(__xludf.DUMMYFUNCTION("""COMPUTED_VALUE"""),43553.3059980902)</f>
        <v>43553.306</v>
      </c>
      <c r="D122" s="23">
        <f>IFERROR(__xludf.DUMMYFUNCTION("""COMPUTED_VALUE"""),1.023)</f>
        <v>1.023</v>
      </c>
      <c r="E122" s="24">
        <f>IFERROR(__xludf.DUMMYFUNCTION("""COMPUTED_VALUE"""),66.0)</f>
        <v>66</v>
      </c>
      <c r="F122" s="27" t="str">
        <f>IFERROR(__xludf.DUMMYFUNCTION("""COMPUTED_VALUE"""),"BLACK")</f>
        <v>BLACK</v>
      </c>
      <c r="G122" s="28" t="str">
        <f>IFERROR(__xludf.DUMMYFUNCTION("""COMPUTED_VALUE"""),"First Times a Charm Cider")</f>
        <v>First Times a Charm Cider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IFERROR(__xludf.DUMMYFUNCTION("""COMPUTED_VALUE"""),43553.2955414699)</f>
        <v>43553.29554</v>
      </c>
      <c r="D123" s="23">
        <f>IFERROR(__xludf.DUMMYFUNCTION("""COMPUTED_VALUE"""),1.023)</f>
        <v>1.023</v>
      </c>
      <c r="E123" s="24">
        <f>IFERROR(__xludf.DUMMYFUNCTION("""COMPUTED_VALUE"""),66.0)</f>
        <v>66</v>
      </c>
      <c r="F123" s="27" t="str">
        <f>IFERROR(__xludf.DUMMYFUNCTION("""COMPUTED_VALUE"""),"BLACK")</f>
        <v>BLACK</v>
      </c>
      <c r="G123" s="28" t="str">
        <f>IFERROR(__xludf.DUMMYFUNCTION("""COMPUTED_VALUE"""),"First Times a Charm Cider")</f>
        <v>First Times a Charm Cider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IFERROR(__xludf.DUMMYFUNCTION("""COMPUTED_VALUE"""),43553.2851094444)</f>
        <v>43553.28511</v>
      </c>
      <c r="D124" s="23">
        <f>IFERROR(__xludf.DUMMYFUNCTION("""COMPUTED_VALUE"""),1.023)</f>
        <v>1.023</v>
      </c>
      <c r="E124" s="24">
        <f>IFERROR(__xludf.DUMMYFUNCTION("""COMPUTED_VALUE"""),66.0)</f>
        <v>66</v>
      </c>
      <c r="F124" s="27" t="str">
        <f>IFERROR(__xludf.DUMMYFUNCTION("""COMPUTED_VALUE"""),"BLACK")</f>
        <v>BLACK</v>
      </c>
      <c r="G124" s="28" t="str">
        <f>IFERROR(__xludf.DUMMYFUNCTION("""COMPUTED_VALUE"""),"First Times a Charm Cider")</f>
        <v>First Times a Charm Cider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IFERROR(__xludf.DUMMYFUNCTION("""COMPUTED_VALUE"""),43553.2746869444)</f>
        <v>43553.27469</v>
      </c>
      <c r="D125" s="23">
        <f>IFERROR(__xludf.DUMMYFUNCTION("""COMPUTED_VALUE"""),1.023)</f>
        <v>1.023</v>
      </c>
      <c r="E125" s="24">
        <f>IFERROR(__xludf.DUMMYFUNCTION("""COMPUTED_VALUE"""),66.0)</f>
        <v>66</v>
      </c>
      <c r="F125" s="27" t="str">
        <f>IFERROR(__xludf.DUMMYFUNCTION("""COMPUTED_VALUE"""),"BLACK")</f>
        <v>BLACK</v>
      </c>
      <c r="G125" s="28" t="str">
        <f>IFERROR(__xludf.DUMMYFUNCTION("""COMPUTED_VALUE"""),"First Times a Charm Cider")</f>
        <v>First Times a Charm Cider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IFERROR(__xludf.DUMMYFUNCTION("""COMPUTED_VALUE"""),43553.2642419676)</f>
        <v>43553.26424</v>
      </c>
      <c r="D126" s="23">
        <f>IFERROR(__xludf.DUMMYFUNCTION("""COMPUTED_VALUE"""),1.023)</f>
        <v>1.023</v>
      </c>
      <c r="E126" s="24">
        <f>IFERROR(__xludf.DUMMYFUNCTION("""COMPUTED_VALUE"""),66.0)</f>
        <v>66</v>
      </c>
      <c r="F126" s="27" t="str">
        <f>IFERROR(__xludf.DUMMYFUNCTION("""COMPUTED_VALUE"""),"BLACK")</f>
        <v>BLACK</v>
      </c>
      <c r="G126" s="28" t="str">
        <f>IFERROR(__xludf.DUMMYFUNCTION("""COMPUTED_VALUE"""),"First Times a Charm Cider")</f>
        <v>First Times a Charm Cider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IFERROR(__xludf.DUMMYFUNCTION("""COMPUTED_VALUE"""),43553.2538193518)</f>
        <v>43553.25382</v>
      </c>
      <c r="D127" s="23">
        <f>IFERROR(__xludf.DUMMYFUNCTION("""COMPUTED_VALUE"""),1.023)</f>
        <v>1.023</v>
      </c>
      <c r="E127" s="24">
        <f>IFERROR(__xludf.DUMMYFUNCTION("""COMPUTED_VALUE"""),66.0)</f>
        <v>66</v>
      </c>
      <c r="F127" s="27" t="str">
        <f>IFERROR(__xludf.DUMMYFUNCTION("""COMPUTED_VALUE"""),"BLACK")</f>
        <v>BLACK</v>
      </c>
      <c r="G127" s="28" t="str">
        <f>IFERROR(__xludf.DUMMYFUNCTION("""COMPUTED_VALUE"""),"First Times a Charm Cider")</f>
        <v>First Times a Charm Cider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IFERROR(__xludf.DUMMYFUNCTION("""COMPUTED_VALUE"""),43553.2433991319)</f>
        <v>43553.2434</v>
      </c>
      <c r="D128" s="23">
        <f>IFERROR(__xludf.DUMMYFUNCTION("""COMPUTED_VALUE"""),1.023)</f>
        <v>1.023</v>
      </c>
      <c r="E128" s="24">
        <f>IFERROR(__xludf.DUMMYFUNCTION("""COMPUTED_VALUE"""),66.0)</f>
        <v>66</v>
      </c>
      <c r="F128" s="27" t="str">
        <f>IFERROR(__xludf.DUMMYFUNCTION("""COMPUTED_VALUE"""),"BLACK")</f>
        <v>BLACK</v>
      </c>
      <c r="G128" s="28" t="str">
        <f>IFERROR(__xludf.DUMMYFUNCTION("""COMPUTED_VALUE"""),"First Times a Charm Cider")</f>
        <v>First Times a Charm Cider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IFERROR(__xludf.DUMMYFUNCTION("""COMPUTED_VALUE"""),43553.2329787847)</f>
        <v>43553.23298</v>
      </c>
      <c r="D129" s="23">
        <f>IFERROR(__xludf.DUMMYFUNCTION("""COMPUTED_VALUE"""),1.023)</f>
        <v>1.023</v>
      </c>
      <c r="E129" s="24">
        <f>IFERROR(__xludf.DUMMYFUNCTION("""COMPUTED_VALUE"""),66.0)</f>
        <v>66</v>
      </c>
      <c r="F129" s="27" t="str">
        <f>IFERROR(__xludf.DUMMYFUNCTION("""COMPUTED_VALUE"""),"BLACK")</f>
        <v>BLACK</v>
      </c>
      <c r="G129" s="28" t="str">
        <f>IFERROR(__xludf.DUMMYFUNCTION("""COMPUTED_VALUE"""),"First Times a Charm Cider")</f>
        <v>First Times a Charm Cider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IFERROR(__xludf.DUMMYFUNCTION("""COMPUTED_VALUE"""),43553.2225577662)</f>
        <v>43553.22256</v>
      </c>
      <c r="D130" s="23">
        <f>IFERROR(__xludf.DUMMYFUNCTION("""COMPUTED_VALUE"""),1.023)</f>
        <v>1.023</v>
      </c>
      <c r="E130" s="24">
        <f>IFERROR(__xludf.DUMMYFUNCTION("""COMPUTED_VALUE"""),66.0)</f>
        <v>66</v>
      </c>
      <c r="F130" s="27" t="str">
        <f>IFERROR(__xludf.DUMMYFUNCTION("""COMPUTED_VALUE"""),"BLACK")</f>
        <v>BLACK</v>
      </c>
      <c r="G130" s="28" t="str">
        <f>IFERROR(__xludf.DUMMYFUNCTION("""COMPUTED_VALUE"""),"First Times a Charm Cider")</f>
        <v>First Times a Charm Cider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IFERROR(__xludf.DUMMYFUNCTION("""COMPUTED_VALUE"""),43553.2121370023)</f>
        <v>43553.21214</v>
      </c>
      <c r="D131" s="23">
        <f>IFERROR(__xludf.DUMMYFUNCTION("""COMPUTED_VALUE"""),1.023)</f>
        <v>1.023</v>
      </c>
      <c r="E131" s="24">
        <f>IFERROR(__xludf.DUMMYFUNCTION("""COMPUTED_VALUE"""),66.0)</f>
        <v>66</v>
      </c>
      <c r="F131" s="27" t="str">
        <f>IFERROR(__xludf.DUMMYFUNCTION("""COMPUTED_VALUE"""),"BLACK")</f>
        <v>BLACK</v>
      </c>
      <c r="G131" s="28" t="str">
        <f>IFERROR(__xludf.DUMMYFUNCTION("""COMPUTED_VALUE"""),"First Times a Charm Cider")</f>
        <v>First Times a Charm Cider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IFERROR(__xludf.DUMMYFUNCTION("""COMPUTED_VALUE"""),43553.2016930787)</f>
        <v>43553.20169</v>
      </c>
      <c r="D132" s="23">
        <f>IFERROR(__xludf.DUMMYFUNCTION("""COMPUTED_VALUE"""),1.023)</f>
        <v>1.023</v>
      </c>
      <c r="E132" s="24">
        <f>IFERROR(__xludf.DUMMYFUNCTION("""COMPUTED_VALUE"""),66.0)</f>
        <v>66</v>
      </c>
      <c r="F132" s="27" t="str">
        <f>IFERROR(__xludf.DUMMYFUNCTION("""COMPUTED_VALUE"""),"BLACK")</f>
        <v>BLACK</v>
      </c>
      <c r="G132" s="28" t="str">
        <f>IFERROR(__xludf.DUMMYFUNCTION("""COMPUTED_VALUE"""),"First Times a Charm Cider")</f>
        <v>First Times a Charm Cider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IFERROR(__xludf.DUMMYFUNCTION("""COMPUTED_VALUE"""),43553.1912727314)</f>
        <v>43553.19127</v>
      </c>
      <c r="D133" s="23">
        <f>IFERROR(__xludf.DUMMYFUNCTION("""COMPUTED_VALUE"""),1.023)</f>
        <v>1.023</v>
      </c>
      <c r="E133" s="24">
        <f>IFERROR(__xludf.DUMMYFUNCTION("""COMPUTED_VALUE"""),66.0)</f>
        <v>66</v>
      </c>
      <c r="F133" s="27" t="str">
        <f>IFERROR(__xludf.DUMMYFUNCTION("""COMPUTED_VALUE"""),"BLACK")</f>
        <v>BLACK</v>
      </c>
      <c r="G133" s="28" t="str">
        <f>IFERROR(__xludf.DUMMYFUNCTION("""COMPUTED_VALUE"""),"First Times a Charm Cider")</f>
        <v>First Times a Charm Cider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IFERROR(__xludf.DUMMYFUNCTION("""COMPUTED_VALUE"""),43553.180851412)</f>
        <v>43553.18085</v>
      </c>
      <c r="D134" s="23">
        <f>IFERROR(__xludf.DUMMYFUNCTION("""COMPUTED_VALUE"""),1.023)</f>
        <v>1.023</v>
      </c>
      <c r="E134" s="24">
        <f>IFERROR(__xludf.DUMMYFUNCTION("""COMPUTED_VALUE"""),66.0)</f>
        <v>66</v>
      </c>
      <c r="F134" s="27" t="str">
        <f>IFERROR(__xludf.DUMMYFUNCTION("""COMPUTED_VALUE"""),"BLACK")</f>
        <v>BLACK</v>
      </c>
      <c r="G134" s="28" t="str">
        <f>IFERROR(__xludf.DUMMYFUNCTION("""COMPUTED_VALUE"""),"First Times a Charm Cider")</f>
        <v>First Times a Charm Cider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IFERROR(__xludf.DUMMYFUNCTION("""COMPUTED_VALUE"""),43553.170430324)</f>
        <v>43553.17043</v>
      </c>
      <c r="D135" s="23">
        <f>IFERROR(__xludf.DUMMYFUNCTION("""COMPUTED_VALUE"""),1.023)</f>
        <v>1.023</v>
      </c>
      <c r="E135" s="24">
        <f>IFERROR(__xludf.DUMMYFUNCTION("""COMPUTED_VALUE"""),66.0)</f>
        <v>66</v>
      </c>
      <c r="F135" s="27" t="str">
        <f>IFERROR(__xludf.DUMMYFUNCTION("""COMPUTED_VALUE"""),"BLACK")</f>
        <v>BLACK</v>
      </c>
      <c r="G135" s="28" t="str">
        <f>IFERROR(__xludf.DUMMYFUNCTION("""COMPUTED_VALUE"""),"First Times a Charm Cider")</f>
        <v>First Times a Charm Cider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IFERROR(__xludf.DUMMYFUNCTION("""COMPUTED_VALUE"""),43553.1600084953)</f>
        <v>43553.16001</v>
      </c>
      <c r="D136" s="23">
        <f>IFERROR(__xludf.DUMMYFUNCTION("""COMPUTED_VALUE"""),1.023)</f>
        <v>1.023</v>
      </c>
      <c r="E136" s="24">
        <f>IFERROR(__xludf.DUMMYFUNCTION("""COMPUTED_VALUE"""),66.0)</f>
        <v>66</v>
      </c>
      <c r="F136" s="27" t="str">
        <f>IFERROR(__xludf.DUMMYFUNCTION("""COMPUTED_VALUE"""),"BLACK")</f>
        <v>BLACK</v>
      </c>
      <c r="G136" s="28" t="str">
        <f>IFERROR(__xludf.DUMMYFUNCTION("""COMPUTED_VALUE"""),"First Times a Charm Cider")</f>
        <v>First Times a Charm Cider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IFERROR(__xludf.DUMMYFUNCTION("""COMPUTED_VALUE"""),43553.1495871064)</f>
        <v>43553.14959</v>
      </c>
      <c r="D137" s="23">
        <f>IFERROR(__xludf.DUMMYFUNCTION("""COMPUTED_VALUE"""),1.023)</f>
        <v>1.023</v>
      </c>
      <c r="E137" s="24">
        <f>IFERROR(__xludf.DUMMYFUNCTION("""COMPUTED_VALUE"""),66.0)</f>
        <v>66</v>
      </c>
      <c r="F137" s="27" t="str">
        <f>IFERROR(__xludf.DUMMYFUNCTION("""COMPUTED_VALUE"""),"BLACK")</f>
        <v>BLACK</v>
      </c>
      <c r="G137" s="28" t="str">
        <f>IFERROR(__xludf.DUMMYFUNCTION("""COMPUTED_VALUE"""),"First Times a Charm Cider")</f>
        <v>First Times a Charm Cider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IFERROR(__xludf.DUMMYFUNCTION("""COMPUTED_VALUE"""),43553.1391668055)</f>
        <v>43553.13917</v>
      </c>
      <c r="D138" s="23">
        <f>IFERROR(__xludf.DUMMYFUNCTION("""COMPUTED_VALUE"""),1.023)</f>
        <v>1.023</v>
      </c>
      <c r="E138" s="24">
        <f>IFERROR(__xludf.DUMMYFUNCTION("""COMPUTED_VALUE"""),66.0)</f>
        <v>66</v>
      </c>
      <c r="F138" s="27" t="str">
        <f>IFERROR(__xludf.DUMMYFUNCTION("""COMPUTED_VALUE"""),"BLACK")</f>
        <v>BLACK</v>
      </c>
      <c r="G138" s="28" t="str">
        <f>IFERROR(__xludf.DUMMYFUNCTION("""COMPUTED_VALUE"""),"First Times a Charm Cider")</f>
        <v>First Times a Charm Cider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IFERROR(__xludf.DUMMYFUNCTION("""COMPUTED_VALUE"""),43553.128734537)</f>
        <v>43553.12873</v>
      </c>
      <c r="D139" s="23">
        <f>IFERROR(__xludf.DUMMYFUNCTION("""COMPUTED_VALUE"""),1.023)</f>
        <v>1.023</v>
      </c>
      <c r="E139" s="24">
        <f>IFERROR(__xludf.DUMMYFUNCTION("""COMPUTED_VALUE"""),66.0)</f>
        <v>66</v>
      </c>
      <c r="F139" s="27" t="str">
        <f>IFERROR(__xludf.DUMMYFUNCTION("""COMPUTED_VALUE"""),"BLACK")</f>
        <v>BLACK</v>
      </c>
      <c r="G139" s="28" t="str">
        <f>IFERROR(__xludf.DUMMYFUNCTION("""COMPUTED_VALUE"""),"First Times a Charm Cider")</f>
        <v>First Times a Charm Cider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IFERROR(__xludf.DUMMYFUNCTION("""COMPUTED_VALUE"""),43553.118314537)</f>
        <v>43553.11831</v>
      </c>
      <c r="D140" s="23">
        <f>IFERROR(__xludf.DUMMYFUNCTION("""COMPUTED_VALUE"""),1.023)</f>
        <v>1.023</v>
      </c>
      <c r="E140" s="24">
        <f>IFERROR(__xludf.DUMMYFUNCTION("""COMPUTED_VALUE"""),66.0)</f>
        <v>66</v>
      </c>
      <c r="F140" s="27" t="str">
        <f>IFERROR(__xludf.DUMMYFUNCTION("""COMPUTED_VALUE"""),"BLACK")</f>
        <v>BLACK</v>
      </c>
      <c r="G140" s="28" t="str">
        <f>IFERROR(__xludf.DUMMYFUNCTION("""COMPUTED_VALUE"""),"First Times a Charm Cider")</f>
        <v>First Times a Charm Cider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IFERROR(__xludf.DUMMYFUNCTION("""COMPUTED_VALUE"""),43553.1078940162)</f>
        <v>43553.10789</v>
      </c>
      <c r="D141" s="23">
        <f>IFERROR(__xludf.DUMMYFUNCTION("""COMPUTED_VALUE"""),1.023)</f>
        <v>1.023</v>
      </c>
      <c r="E141" s="24">
        <f>IFERROR(__xludf.DUMMYFUNCTION("""COMPUTED_VALUE"""),66.0)</f>
        <v>66</v>
      </c>
      <c r="F141" s="27" t="str">
        <f>IFERROR(__xludf.DUMMYFUNCTION("""COMPUTED_VALUE"""),"BLACK")</f>
        <v>BLACK</v>
      </c>
      <c r="G141" s="28" t="str">
        <f>IFERROR(__xludf.DUMMYFUNCTION("""COMPUTED_VALUE"""),"First Times a Charm Cider")</f>
        <v>First Times a Charm Cider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IFERROR(__xludf.DUMMYFUNCTION("""COMPUTED_VALUE"""),43553.0974590625)</f>
        <v>43553.09746</v>
      </c>
      <c r="D142" s="23">
        <f>IFERROR(__xludf.DUMMYFUNCTION("""COMPUTED_VALUE"""),1.023)</f>
        <v>1.023</v>
      </c>
      <c r="E142" s="24">
        <f>IFERROR(__xludf.DUMMYFUNCTION("""COMPUTED_VALUE"""),66.0)</f>
        <v>66</v>
      </c>
      <c r="F142" s="27" t="str">
        <f>IFERROR(__xludf.DUMMYFUNCTION("""COMPUTED_VALUE"""),"BLACK")</f>
        <v>BLACK</v>
      </c>
      <c r="G142" s="28" t="str">
        <f>IFERROR(__xludf.DUMMYFUNCTION("""COMPUTED_VALUE"""),"First Times a Charm Cider")</f>
        <v>First Times a Charm Cider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IFERROR(__xludf.DUMMYFUNCTION("""COMPUTED_VALUE"""),43553.0870391203)</f>
        <v>43553.08704</v>
      </c>
      <c r="D143" s="23">
        <f>IFERROR(__xludf.DUMMYFUNCTION("""COMPUTED_VALUE"""),1.023)</f>
        <v>1.023</v>
      </c>
      <c r="E143" s="24">
        <f>IFERROR(__xludf.DUMMYFUNCTION("""COMPUTED_VALUE"""),66.0)</f>
        <v>66</v>
      </c>
      <c r="F143" s="27" t="str">
        <f>IFERROR(__xludf.DUMMYFUNCTION("""COMPUTED_VALUE"""),"BLACK")</f>
        <v>BLACK</v>
      </c>
      <c r="G143" s="28" t="str">
        <f>IFERROR(__xludf.DUMMYFUNCTION("""COMPUTED_VALUE"""),"First Times a Charm Cider")</f>
        <v>First Times a Charm Cider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IFERROR(__xludf.DUMMYFUNCTION("""COMPUTED_VALUE"""),43553.0766174074)</f>
        <v>43553.07662</v>
      </c>
      <c r="D144" s="23">
        <f>IFERROR(__xludf.DUMMYFUNCTION("""COMPUTED_VALUE"""),1.023)</f>
        <v>1.023</v>
      </c>
      <c r="E144" s="24">
        <f>IFERROR(__xludf.DUMMYFUNCTION("""COMPUTED_VALUE"""),66.0)</f>
        <v>66</v>
      </c>
      <c r="F144" s="27" t="str">
        <f>IFERROR(__xludf.DUMMYFUNCTION("""COMPUTED_VALUE"""),"BLACK")</f>
        <v>BLACK</v>
      </c>
      <c r="G144" s="28" t="str">
        <f>IFERROR(__xludf.DUMMYFUNCTION("""COMPUTED_VALUE"""),"First Times a Charm Cider")</f>
        <v>First Times a Charm Cider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IFERROR(__xludf.DUMMYFUNCTION("""COMPUTED_VALUE"""),43553.0661719444)</f>
        <v>43553.06617</v>
      </c>
      <c r="D145" s="23">
        <f>IFERROR(__xludf.DUMMYFUNCTION("""COMPUTED_VALUE"""),1.023)</f>
        <v>1.023</v>
      </c>
      <c r="E145" s="24">
        <f>IFERROR(__xludf.DUMMYFUNCTION("""COMPUTED_VALUE"""),66.0)</f>
        <v>66</v>
      </c>
      <c r="F145" s="27" t="str">
        <f>IFERROR(__xludf.DUMMYFUNCTION("""COMPUTED_VALUE"""),"BLACK")</f>
        <v>BLACK</v>
      </c>
      <c r="G145" s="28" t="str">
        <f>IFERROR(__xludf.DUMMYFUNCTION("""COMPUTED_VALUE"""),"First Times a Charm Cider")</f>
        <v>First Times a Charm Cider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IFERROR(__xludf.DUMMYFUNCTION("""COMPUTED_VALUE"""),43553.055739456)</f>
        <v>43553.05574</v>
      </c>
      <c r="D146" s="23">
        <f>IFERROR(__xludf.DUMMYFUNCTION("""COMPUTED_VALUE"""),1.023)</f>
        <v>1.023</v>
      </c>
      <c r="E146" s="24">
        <f>IFERROR(__xludf.DUMMYFUNCTION("""COMPUTED_VALUE"""),66.0)</f>
        <v>66</v>
      </c>
      <c r="F146" s="27" t="str">
        <f>IFERROR(__xludf.DUMMYFUNCTION("""COMPUTED_VALUE"""),"BLACK")</f>
        <v>BLACK</v>
      </c>
      <c r="G146" s="28" t="str">
        <f>IFERROR(__xludf.DUMMYFUNCTION("""COMPUTED_VALUE"""),"First Times a Charm Cider")</f>
        <v>First Times a Charm Cider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IFERROR(__xludf.DUMMYFUNCTION("""COMPUTED_VALUE"""),43553.0453188425)</f>
        <v>43553.04532</v>
      </c>
      <c r="D147" s="23">
        <f>IFERROR(__xludf.DUMMYFUNCTION("""COMPUTED_VALUE"""),1.023)</f>
        <v>1.023</v>
      </c>
      <c r="E147" s="24">
        <f>IFERROR(__xludf.DUMMYFUNCTION("""COMPUTED_VALUE"""),66.0)</f>
        <v>66</v>
      </c>
      <c r="F147" s="27" t="str">
        <f>IFERROR(__xludf.DUMMYFUNCTION("""COMPUTED_VALUE"""),"BLACK")</f>
        <v>BLACK</v>
      </c>
      <c r="G147" s="28" t="str">
        <f>IFERROR(__xludf.DUMMYFUNCTION("""COMPUTED_VALUE"""),"First Times a Charm Cider")</f>
        <v>First Times a Charm Cider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IFERROR(__xludf.DUMMYFUNCTION("""COMPUTED_VALUE"""),43553.034897581)</f>
        <v>43553.0349</v>
      </c>
      <c r="D148" s="23">
        <f>IFERROR(__xludf.DUMMYFUNCTION("""COMPUTED_VALUE"""),1.023)</f>
        <v>1.023</v>
      </c>
      <c r="E148" s="24">
        <f>IFERROR(__xludf.DUMMYFUNCTION("""COMPUTED_VALUE"""),66.0)</f>
        <v>66</v>
      </c>
      <c r="F148" s="27" t="str">
        <f>IFERROR(__xludf.DUMMYFUNCTION("""COMPUTED_VALUE"""),"BLACK")</f>
        <v>BLACK</v>
      </c>
      <c r="G148" s="28" t="str">
        <f>IFERROR(__xludf.DUMMYFUNCTION("""COMPUTED_VALUE"""),"First Times a Charm Cider")</f>
        <v>First Times a Charm Cider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IFERROR(__xludf.DUMMYFUNCTION("""COMPUTED_VALUE"""),43553.0244631365)</f>
        <v>43553.02446</v>
      </c>
      <c r="D149" s="23">
        <f>IFERROR(__xludf.DUMMYFUNCTION("""COMPUTED_VALUE"""),1.023)</f>
        <v>1.023</v>
      </c>
      <c r="E149" s="24">
        <f>IFERROR(__xludf.DUMMYFUNCTION("""COMPUTED_VALUE"""),66.0)</f>
        <v>66</v>
      </c>
      <c r="F149" s="27" t="str">
        <f>IFERROR(__xludf.DUMMYFUNCTION("""COMPUTED_VALUE"""),"BLACK")</f>
        <v>BLACK</v>
      </c>
      <c r="G149" s="28" t="str">
        <f>IFERROR(__xludf.DUMMYFUNCTION("""COMPUTED_VALUE"""),"First Times a Charm Cider")</f>
        <v>First Times a Charm Cider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IFERROR(__xludf.DUMMYFUNCTION("""COMPUTED_VALUE"""),43553.0140316666)</f>
        <v>43553.01403</v>
      </c>
      <c r="D150" s="23">
        <f>IFERROR(__xludf.DUMMYFUNCTION("""COMPUTED_VALUE"""),1.023)</f>
        <v>1.023</v>
      </c>
      <c r="E150" s="24">
        <f>IFERROR(__xludf.DUMMYFUNCTION("""COMPUTED_VALUE"""),66.0)</f>
        <v>66</v>
      </c>
      <c r="F150" s="27" t="str">
        <f>IFERROR(__xludf.DUMMYFUNCTION("""COMPUTED_VALUE"""),"BLACK")</f>
        <v>BLACK</v>
      </c>
      <c r="G150" s="28" t="str">
        <f>IFERROR(__xludf.DUMMYFUNCTION("""COMPUTED_VALUE"""),"First Times a Charm Cider")</f>
        <v>First Times a Charm Cider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IFERROR(__xludf.DUMMYFUNCTION("""COMPUTED_VALUE"""),43553.0035879745)</f>
        <v>43553.00359</v>
      </c>
      <c r="D151" s="23">
        <f>IFERROR(__xludf.DUMMYFUNCTION("""COMPUTED_VALUE"""),1.023)</f>
        <v>1.023</v>
      </c>
      <c r="E151" s="24">
        <f>IFERROR(__xludf.DUMMYFUNCTION("""COMPUTED_VALUE"""),66.0)</f>
        <v>66</v>
      </c>
      <c r="F151" s="27" t="str">
        <f>IFERROR(__xludf.DUMMYFUNCTION("""COMPUTED_VALUE"""),"BLACK")</f>
        <v>BLACK</v>
      </c>
      <c r="G151" s="28" t="str">
        <f>IFERROR(__xludf.DUMMYFUNCTION("""COMPUTED_VALUE"""),"First Times a Charm Cider")</f>
        <v>First Times a Charm Cider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IFERROR(__xludf.DUMMYFUNCTION("""COMPUTED_VALUE"""),43552.993165706)</f>
        <v>43552.99317</v>
      </c>
      <c r="D152" s="23">
        <f>IFERROR(__xludf.DUMMYFUNCTION("""COMPUTED_VALUE"""),1.023)</f>
        <v>1.023</v>
      </c>
      <c r="E152" s="24">
        <f>IFERROR(__xludf.DUMMYFUNCTION("""COMPUTED_VALUE"""),66.0)</f>
        <v>66</v>
      </c>
      <c r="F152" s="27" t="str">
        <f>IFERROR(__xludf.DUMMYFUNCTION("""COMPUTED_VALUE"""),"BLACK")</f>
        <v>BLACK</v>
      </c>
      <c r="G152" s="28" t="str">
        <f>IFERROR(__xludf.DUMMYFUNCTION("""COMPUTED_VALUE"""),"First Times a Charm Cider")</f>
        <v>First Times a Charm Cider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IFERROR(__xludf.DUMMYFUNCTION("""COMPUTED_VALUE"""),43552.9827442245)</f>
        <v>43552.98274</v>
      </c>
      <c r="D153" s="23">
        <f>IFERROR(__xludf.DUMMYFUNCTION("""COMPUTED_VALUE"""),1.023)</f>
        <v>1.023</v>
      </c>
      <c r="E153" s="24">
        <f>IFERROR(__xludf.DUMMYFUNCTION("""COMPUTED_VALUE"""),66.0)</f>
        <v>66</v>
      </c>
      <c r="F153" s="27" t="str">
        <f>IFERROR(__xludf.DUMMYFUNCTION("""COMPUTED_VALUE"""),"BLACK")</f>
        <v>BLACK</v>
      </c>
      <c r="G153" s="28" t="str">
        <f>IFERROR(__xludf.DUMMYFUNCTION("""COMPUTED_VALUE"""),"First Times a Charm Cider")</f>
        <v>First Times a Charm Cider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IFERROR(__xludf.DUMMYFUNCTION("""COMPUTED_VALUE"""),43552.9723213078)</f>
        <v>43552.97232</v>
      </c>
      <c r="D154" s="23">
        <f>IFERROR(__xludf.DUMMYFUNCTION("""COMPUTED_VALUE"""),1.023)</f>
        <v>1.023</v>
      </c>
      <c r="E154" s="24">
        <f>IFERROR(__xludf.DUMMYFUNCTION("""COMPUTED_VALUE"""),66.0)</f>
        <v>66</v>
      </c>
      <c r="F154" s="27" t="str">
        <f>IFERROR(__xludf.DUMMYFUNCTION("""COMPUTED_VALUE"""),"BLACK")</f>
        <v>BLACK</v>
      </c>
      <c r="G154" s="28" t="str">
        <f>IFERROR(__xludf.DUMMYFUNCTION("""COMPUTED_VALUE"""),"First Times a Charm Cider")</f>
        <v>First Times a Charm Cider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IFERROR(__xludf.DUMMYFUNCTION("""COMPUTED_VALUE"""),43552.9618994676)</f>
        <v>43552.9619</v>
      </c>
      <c r="D155" s="23">
        <f>IFERROR(__xludf.DUMMYFUNCTION("""COMPUTED_VALUE"""),1.023)</f>
        <v>1.023</v>
      </c>
      <c r="E155" s="24">
        <f>IFERROR(__xludf.DUMMYFUNCTION("""COMPUTED_VALUE"""),66.0)</f>
        <v>66</v>
      </c>
      <c r="F155" s="27" t="str">
        <f>IFERROR(__xludf.DUMMYFUNCTION("""COMPUTED_VALUE"""),"BLACK")</f>
        <v>BLACK</v>
      </c>
      <c r="G155" s="28" t="str">
        <f>IFERROR(__xludf.DUMMYFUNCTION("""COMPUTED_VALUE"""),"First Times a Charm Cider")</f>
        <v>First Times a Charm Cider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IFERROR(__xludf.DUMMYFUNCTION("""COMPUTED_VALUE"""),43552.9514787152)</f>
        <v>43552.95148</v>
      </c>
      <c r="D156" s="23">
        <f>IFERROR(__xludf.DUMMYFUNCTION("""COMPUTED_VALUE"""),1.023)</f>
        <v>1.023</v>
      </c>
      <c r="E156" s="24">
        <f>IFERROR(__xludf.DUMMYFUNCTION("""COMPUTED_VALUE"""),66.0)</f>
        <v>66</v>
      </c>
      <c r="F156" s="27" t="str">
        <f>IFERROR(__xludf.DUMMYFUNCTION("""COMPUTED_VALUE"""),"BLACK")</f>
        <v>BLACK</v>
      </c>
      <c r="G156" s="28" t="str">
        <f>IFERROR(__xludf.DUMMYFUNCTION("""COMPUTED_VALUE"""),"First Times a Charm Cider")</f>
        <v>First Times a Charm Cider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IFERROR(__xludf.DUMMYFUNCTION("""COMPUTED_VALUE"""),43552.9410577662)</f>
        <v>43552.94106</v>
      </c>
      <c r="D157" s="23">
        <f>IFERROR(__xludf.DUMMYFUNCTION("""COMPUTED_VALUE"""),1.023)</f>
        <v>1.023</v>
      </c>
      <c r="E157" s="24">
        <f>IFERROR(__xludf.DUMMYFUNCTION("""COMPUTED_VALUE"""),66.0)</f>
        <v>66</v>
      </c>
      <c r="F157" s="27" t="str">
        <f>IFERROR(__xludf.DUMMYFUNCTION("""COMPUTED_VALUE"""),"BLACK")</f>
        <v>BLACK</v>
      </c>
      <c r="G157" s="28" t="str">
        <f>IFERROR(__xludf.DUMMYFUNCTION("""COMPUTED_VALUE"""),"First Times a Charm Cider")</f>
        <v>First Times a Charm Cider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IFERROR(__xludf.DUMMYFUNCTION("""COMPUTED_VALUE"""),43552.9306366435)</f>
        <v>43552.93064</v>
      </c>
      <c r="D158" s="23">
        <f>IFERROR(__xludf.DUMMYFUNCTION("""COMPUTED_VALUE"""),1.023)</f>
        <v>1.023</v>
      </c>
      <c r="E158" s="24">
        <f>IFERROR(__xludf.DUMMYFUNCTION("""COMPUTED_VALUE"""),66.0)</f>
        <v>66</v>
      </c>
      <c r="F158" s="27" t="str">
        <f>IFERROR(__xludf.DUMMYFUNCTION("""COMPUTED_VALUE"""),"BLACK")</f>
        <v>BLACK</v>
      </c>
      <c r="G158" s="28" t="str">
        <f>IFERROR(__xludf.DUMMYFUNCTION("""COMPUTED_VALUE"""),"First Times a Charm Cider")</f>
        <v>First Times a Charm Cider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IFERROR(__xludf.DUMMYFUNCTION("""COMPUTED_VALUE"""),43552.9202162731)</f>
        <v>43552.92022</v>
      </c>
      <c r="D159" s="23">
        <f>IFERROR(__xludf.DUMMYFUNCTION("""COMPUTED_VALUE"""),1.023)</f>
        <v>1.023</v>
      </c>
      <c r="E159" s="24">
        <f>IFERROR(__xludf.DUMMYFUNCTION("""COMPUTED_VALUE"""),66.0)</f>
        <v>66</v>
      </c>
      <c r="F159" s="27" t="str">
        <f>IFERROR(__xludf.DUMMYFUNCTION("""COMPUTED_VALUE"""),"BLACK")</f>
        <v>BLACK</v>
      </c>
      <c r="G159" s="28" t="str">
        <f>IFERROR(__xludf.DUMMYFUNCTION("""COMPUTED_VALUE"""),"First Times a Charm Cider")</f>
        <v>First Times a Charm Cider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IFERROR(__xludf.DUMMYFUNCTION("""COMPUTED_VALUE"""),43552.9097951273)</f>
        <v>43552.9098</v>
      </c>
      <c r="D160" s="23">
        <f>IFERROR(__xludf.DUMMYFUNCTION("""COMPUTED_VALUE"""),1.024)</f>
        <v>1.024</v>
      </c>
      <c r="E160" s="24">
        <f>IFERROR(__xludf.DUMMYFUNCTION("""COMPUTED_VALUE"""),66.0)</f>
        <v>66</v>
      </c>
      <c r="F160" s="27" t="str">
        <f>IFERROR(__xludf.DUMMYFUNCTION("""COMPUTED_VALUE"""),"BLACK")</f>
        <v>BLACK</v>
      </c>
      <c r="G160" s="28" t="str">
        <f>IFERROR(__xludf.DUMMYFUNCTION("""COMPUTED_VALUE"""),"First Times a Charm Cider")</f>
        <v>First Times a Charm Cider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IFERROR(__xludf.DUMMYFUNCTION("""COMPUTED_VALUE"""),43552.8993751736)</f>
        <v>43552.89938</v>
      </c>
      <c r="D161" s="23">
        <f>IFERROR(__xludf.DUMMYFUNCTION("""COMPUTED_VALUE"""),1.023)</f>
        <v>1.023</v>
      </c>
      <c r="E161" s="24">
        <f>IFERROR(__xludf.DUMMYFUNCTION("""COMPUTED_VALUE"""),66.0)</f>
        <v>66</v>
      </c>
      <c r="F161" s="27" t="str">
        <f>IFERROR(__xludf.DUMMYFUNCTION("""COMPUTED_VALUE"""),"BLACK")</f>
        <v>BLACK</v>
      </c>
      <c r="G161" s="28" t="str">
        <f>IFERROR(__xludf.DUMMYFUNCTION("""COMPUTED_VALUE"""),"First Times a Charm Cider")</f>
        <v>First Times a Charm Cider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IFERROR(__xludf.DUMMYFUNCTION("""COMPUTED_VALUE"""),43552.8889540162)</f>
        <v>43552.88895</v>
      </c>
      <c r="D162" s="23">
        <f>IFERROR(__xludf.DUMMYFUNCTION("""COMPUTED_VALUE"""),1.023)</f>
        <v>1.023</v>
      </c>
      <c r="E162" s="24">
        <f>IFERROR(__xludf.DUMMYFUNCTION("""COMPUTED_VALUE"""),66.0)</f>
        <v>66</v>
      </c>
      <c r="F162" s="27" t="str">
        <f>IFERROR(__xludf.DUMMYFUNCTION("""COMPUTED_VALUE"""),"BLACK")</f>
        <v>BLACK</v>
      </c>
      <c r="G162" s="28" t="str">
        <f>IFERROR(__xludf.DUMMYFUNCTION("""COMPUTED_VALUE"""),"First Times a Charm Cider")</f>
        <v>First Times a Charm Cider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IFERROR(__xludf.DUMMYFUNCTION("""COMPUTED_VALUE"""),43552.8785331597)</f>
        <v>43552.87853</v>
      </c>
      <c r="D163" s="23">
        <f>IFERROR(__xludf.DUMMYFUNCTION("""COMPUTED_VALUE"""),1.023)</f>
        <v>1.023</v>
      </c>
      <c r="E163" s="24">
        <f>IFERROR(__xludf.DUMMYFUNCTION("""COMPUTED_VALUE"""),66.0)</f>
        <v>66</v>
      </c>
      <c r="F163" s="27" t="str">
        <f>IFERROR(__xludf.DUMMYFUNCTION("""COMPUTED_VALUE"""),"BLACK")</f>
        <v>BLACK</v>
      </c>
      <c r="G163" s="28" t="str">
        <f>IFERROR(__xludf.DUMMYFUNCTION("""COMPUTED_VALUE"""),"First Times a Charm Cider")</f>
        <v>First Times a Charm Cider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IFERROR(__xludf.DUMMYFUNCTION("""COMPUTED_VALUE"""),43552.8680791203)</f>
        <v>43552.86808</v>
      </c>
      <c r="D164" s="23">
        <f>IFERROR(__xludf.DUMMYFUNCTION("""COMPUTED_VALUE"""),1.023)</f>
        <v>1.023</v>
      </c>
      <c r="E164" s="24">
        <f>IFERROR(__xludf.DUMMYFUNCTION("""COMPUTED_VALUE"""),66.0)</f>
        <v>66</v>
      </c>
      <c r="F164" s="27" t="str">
        <f>IFERROR(__xludf.DUMMYFUNCTION("""COMPUTED_VALUE"""),"BLACK")</f>
        <v>BLACK</v>
      </c>
      <c r="G164" s="28" t="str">
        <f>IFERROR(__xludf.DUMMYFUNCTION("""COMPUTED_VALUE"""),"First Times a Charm Cider")</f>
        <v>First Times a Charm Cider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IFERROR(__xludf.DUMMYFUNCTION("""COMPUTED_VALUE"""),43552.857657581)</f>
        <v>43552.85766</v>
      </c>
      <c r="D165" s="23">
        <f>IFERROR(__xludf.DUMMYFUNCTION("""COMPUTED_VALUE"""),1.023)</f>
        <v>1.023</v>
      </c>
      <c r="E165" s="24">
        <f>IFERROR(__xludf.DUMMYFUNCTION("""COMPUTED_VALUE"""),66.0)</f>
        <v>66</v>
      </c>
      <c r="F165" s="27" t="str">
        <f>IFERROR(__xludf.DUMMYFUNCTION("""COMPUTED_VALUE"""),"BLACK")</f>
        <v>BLACK</v>
      </c>
      <c r="G165" s="28" t="str">
        <f>IFERROR(__xludf.DUMMYFUNCTION("""COMPUTED_VALUE"""),"First Times a Charm Cider")</f>
        <v>First Times a Charm Cider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IFERROR(__xludf.DUMMYFUNCTION("""COMPUTED_VALUE"""),43552.8472371296)</f>
        <v>43552.84724</v>
      </c>
      <c r="D166" s="23">
        <f>IFERROR(__xludf.DUMMYFUNCTION("""COMPUTED_VALUE"""),1.023)</f>
        <v>1.023</v>
      </c>
      <c r="E166" s="24">
        <f>IFERROR(__xludf.DUMMYFUNCTION("""COMPUTED_VALUE"""),66.0)</f>
        <v>66</v>
      </c>
      <c r="F166" s="27" t="str">
        <f>IFERROR(__xludf.DUMMYFUNCTION("""COMPUTED_VALUE"""),"BLACK")</f>
        <v>BLACK</v>
      </c>
      <c r="G166" s="28" t="str">
        <f>IFERROR(__xludf.DUMMYFUNCTION("""COMPUTED_VALUE"""),"First Times a Charm Cider")</f>
        <v>First Times a Charm Cider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IFERROR(__xludf.DUMMYFUNCTION("""COMPUTED_VALUE"""),43552.8368165856)</f>
        <v>43552.83682</v>
      </c>
      <c r="D167" s="23">
        <f>IFERROR(__xludf.DUMMYFUNCTION("""COMPUTED_VALUE"""),1.023)</f>
        <v>1.023</v>
      </c>
      <c r="E167" s="24">
        <f>IFERROR(__xludf.DUMMYFUNCTION("""COMPUTED_VALUE"""),66.0)</f>
        <v>66</v>
      </c>
      <c r="F167" s="27" t="str">
        <f>IFERROR(__xludf.DUMMYFUNCTION("""COMPUTED_VALUE"""),"BLACK")</f>
        <v>BLACK</v>
      </c>
      <c r="G167" s="28" t="str">
        <f>IFERROR(__xludf.DUMMYFUNCTION("""COMPUTED_VALUE"""),"First Times a Charm Cider")</f>
        <v>First Times a Charm Cider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IFERROR(__xludf.DUMMYFUNCTION("""COMPUTED_VALUE"""),43552.8263948611)</f>
        <v>43552.82639</v>
      </c>
      <c r="D168" s="23">
        <f>IFERROR(__xludf.DUMMYFUNCTION("""COMPUTED_VALUE"""),1.023)</f>
        <v>1.023</v>
      </c>
      <c r="E168" s="24">
        <f>IFERROR(__xludf.DUMMYFUNCTION("""COMPUTED_VALUE"""),66.0)</f>
        <v>66</v>
      </c>
      <c r="F168" s="27" t="str">
        <f>IFERROR(__xludf.DUMMYFUNCTION("""COMPUTED_VALUE"""),"BLACK")</f>
        <v>BLACK</v>
      </c>
      <c r="G168" s="28" t="str">
        <f>IFERROR(__xludf.DUMMYFUNCTION("""COMPUTED_VALUE"""),"First Times a Charm Cider")</f>
        <v>First Times a Charm Cider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IFERROR(__xludf.DUMMYFUNCTION("""COMPUTED_VALUE"""),43552.815940625)</f>
        <v>43552.81594</v>
      </c>
      <c r="D169" s="23">
        <f>IFERROR(__xludf.DUMMYFUNCTION("""COMPUTED_VALUE"""),1.023)</f>
        <v>1.023</v>
      </c>
      <c r="E169" s="24">
        <f>IFERROR(__xludf.DUMMYFUNCTION("""COMPUTED_VALUE"""),66.0)</f>
        <v>66</v>
      </c>
      <c r="F169" s="27" t="str">
        <f>IFERROR(__xludf.DUMMYFUNCTION("""COMPUTED_VALUE"""),"BLACK")</f>
        <v>BLACK</v>
      </c>
      <c r="G169" s="28" t="str">
        <f>IFERROR(__xludf.DUMMYFUNCTION("""COMPUTED_VALUE"""),"First Times a Charm Cider")</f>
        <v>First Times a Charm Cider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IFERROR(__xludf.DUMMYFUNCTION("""COMPUTED_VALUE"""),43552.8055078587)</f>
        <v>43552.80551</v>
      </c>
      <c r="D170" s="23">
        <f>IFERROR(__xludf.DUMMYFUNCTION("""COMPUTED_VALUE"""),1.023)</f>
        <v>1.023</v>
      </c>
      <c r="E170" s="24">
        <f>IFERROR(__xludf.DUMMYFUNCTION("""COMPUTED_VALUE"""),66.0)</f>
        <v>66</v>
      </c>
      <c r="F170" s="27" t="str">
        <f>IFERROR(__xludf.DUMMYFUNCTION("""COMPUTED_VALUE"""),"BLACK")</f>
        <v>BLACK</v>
      </c>
      <c r="G170" s="28" t="str">
        <f>IFERROR(__xludf.DUMMYFUNCTION("""COMPUTED_VALUE"""),"First Times a Charm Cider")</f>
        <v>First Times a Charm Cider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IFERROR(__xludf.DUMMYFUNCTION("""COMPUTED_VALUE"""),43552.7950759722)</f>
        <v>43552.79508</v>
      </c>
      <c r="D171" s="23">
        <f>IFERROR(__xludf.DUMMYFUNCTION("""COMPUTED_VALUE"""),1.023)</f>
        <v>1.023</v>
      </c>
      <c r="E171" s="24">
        <f>IFERROR(__xludf.DUMMYFUNCTION("""COMPUTED_VALUE"""),66.0)</f>
        <v>66</v>
      </c>
      <c r="F171" s="27" t="str">
        <f>IFERROR(__xludf.DUMMYFUNCTION("""COMPUTED_VALUE"""),"BLACK")</f>
        <v>BLACK</v>
      </c>
      <c r="G171" s="28" t="str">
        <f>IFERROR(__xludf.DUMMYFUNCTION("""COMPUTED_VALUE"""),"First Times a Charm Cider")</f>
        <v>First Times a Charm Cider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IFERROR(__xludf.DUMMYFUNCTION("""COMPUTED_VALUE"""),43552.7846544791)</f>
        <v>43552.78465</v>
      </c>
      <c r="D172" s="23">
        <f>IFERROR(__xludf.DUMMYFUNCTION("""COMPUTED_VALUE"""),1.024)</f>
        <v>1.024</v>
      </c>
      <c r="E172" s="24">
        <f>IFERROR(__xludf.DUMMYFUNCTION("""COMPUTED_VALUE"""),66.0)</f>
        <v>66</v>
      </c>
      <c r="F172" s="27" t="str">
        <f>IFERROR(__xludf.DUMMYFUNCTION("""COMPUTED_VALUE"""),"BLACK")</f>
        <v>BLACK</v>
      </c>
      <c r="G172" s="28" t="str">
        <f>IFERROR(__xludf.DUMMYFUNCTION("""COMPUTED_VALUE"""),"First Times a Charm Cider")</f>
        <v>First Times a Charm Cider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IFERROR(__xludf.DUMMYFUNCTION("""COMPUTED_VALUE"""),43552.7742210995)</f>
        <v>43552.77422</v>
      </c>
      <c r="D173" s="23">
        <f>IFERROR(__xludf.DUMMYFUNCTION("""COMPUTED_VALUE"""),1.023)</f>
        <v>1.023</v>
      </c>
      <c r="E173" s="24">
        <f>IFERROR(__xludf.DUMMYFUNCTION("""COMPUTED_VALUE"""),66.0)</f>
        <v>66</v>
      </c>
      <c r="F173" s="27" t="str">
        <f>IFERROR(__xludf.DUMMYFUNCTION("""COMPUTED_VALUE"""),"BLACK")</f>
        <v>BLACK</v>
      </c>
      <c r="G173" s="28" t="str">
        <f>IFERROR(__xludf.DUMMYFUNCTION("""COMPUTED_VALUE"""),"First Times a Charm Cider")</f>
        <v>First Times a Charm Cider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IFERROR(__xludf.DUMMYFUNCTION("""COMPUTED_VALUE"""),43552.7637870949)</f>
        <v>43552.76379</v>
      </c>
      <c r="D174" s="23">
        <f>IFERROR(__xludf.DUMMYFUNCTION("""COMPUTED_VALUE"""),1.024)</f>
        <v>1.024</v>
      </c>
      <c r="E174" s="24">
        <f>IFERROR(__xludf.DUMMYFUNCTION("""COMPUTED_VALUE"""),66.0)</f>
        <v>66</v>
      </c>
      <c r="F174" s="27" t="str">
        <f>IFERROR(__xludf.DUMMYFUNCTION("""COMPUTED_VALUE"""),"BLACK")</f>
        <v>BLACK</v>
      </c>
      <c r="G174" s="28" t="str">
        <f>IFERROR(__xludf.DUMMYFUNCTION("""COMPUTED_VALUE"""),"First Times a Charm Cider")</f>
        <v>First Times a Charm Cider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IFERROR(__xludf.DUMMYFUNCTION("""COMPUTED_VALUE"""),43552.7533411921)</f>
        <v>43552.75334</v>
      </c>
      <c r="D175" s="23">
        <f>IFERROR(__xludf.DUMMYFUNCTION("""COMPUTED_VALUE"""),1.024)</f>
        <v>1.024</v>
      </c>
      <c r="E175" s="24">
        <f>IFERROR(__xludf.DUMMYFUNCTION("""COMPUTED_VALUE"""),66.0)</f>
        <v>66</v>
      </c>
      <c r="F175" s="27" t="str">
        <f>IFERROR(__xludf.DUMMYFUNCTION("""COMPUTED_VALUE"""),"BLACK")</f>
        <v>BLACK</v>
      </c>
      <c r="G175" s="28" t="str">
        <f>IFERROR(__xludf.DUMMYFUNCTION("""COMPUTED_VALUE"""),"First Times a Charm Cider")</f>
        <v>First Times a Charm Cider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IFERROR(__xludf.DUMMYFUNCTION("""COMPUTED_VALUE"""),43552.7429218287)</f>
        <v>43552.74292</v>
      </c>
      <c r="D176" s="23">
        <f>IFERROR(__xludf.DUMMYFUNCTION("""COMPUTED_VALUE"""),1.024)</f>
        <v>1.024</v>
      </c>
      <c r="E176" s="24">
        <f>IFERROR(__xludf.DUMMYFUNCTION("""COMPUTED_VALUE"""),66.0)</f>
        <v>66</v>
      </c>
      <c r="F176" s="27" t="str">
        <f>IFERROR(__xludf.DUMMYFUNCTION("""COMPUTED_VALUE"""),"BLACK")</f>
        <v>BLACK</v>
      </c>
      <c r="G176" s="28" t="str">
        <f>IFERROR(__xludf.DUMMYFUNCTION("""COMPUTED_VALUE"""),"First Times a Charm Cider")</f>
        <v>First Times a Charm Cider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IFERROR(__xludf.DUMMYFUNCTION("""COMPUTED_VALUE"""),43552.7325005092)</f>
        <v>43552.7325</v>
      </c>
      <c r="D177" s="23">
        <f>IFERROR(__xludf.DUMMYFUNCTION("""COMPUTED_VALUE"""),1.023)</f>
        <v>1.023</v>
      </c>
      <c r="E177" s="24">
        <f>IFERROR(__xludf.DUMMYFUNCTION("""COMPUTED_VALUE"""),66.0)</f>
        <v>66</v>
      </c>
      <c r="F177" s="27" t="str">
        <f>IFERROR(__xludf.DUMMYFUNCTION("""COMPUTED_VALUE"""),"BLACK")</f>
        <v>BLACK</v>
      </c>
      <c r="G177" s="28" t="str">
        <f>IFERROR(__xludf.DUMMYFUNCTION("""COMPUTED_VALUE"""),"First Times a Charm Cider")</f>
        <v>First Times a Charm Cider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IFERROR(__xludf.DUMMYFUNCTION("""COMPUTED_VALUE"""),43552.7220676504)</f>
        <v>43552.72207</v>
      </c>
      <c r="D178" s="23">
        <f>IFERROR(__xludf.DUMMYFUNCTION("""COMPUTED_VALUE"""),1.024)</f>
        <v>1.024</v>
      </c>
      <c r="E178" s="24">
        <f>IFERROR(__xludf.DUMMYFUNCTION("""COMPUTED_VALUE"""),66.0)</f>
        <v>66</v>
      </c>
      <c r="F178" s="27" t="str">
        <f>IFERROR(__xludf.DUMMYFUNCTION("""COMPUTED_VALUE"""),"BLACK")</f>
        <v>BLACK</v>
      </c>
      <c r="G178" s="28" t="str">
        <f>IFERROR(__xludf.DUMMYFUNCTION("""COMPUTED_VALUE"""),"First Times a Charm Cider")</f>
        <v>First Times a Charm Cider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IFERROR(__xludf.DUMMYFUNCTION("""COMPUTED_VALUE"""),43552.7116346527)</f>
        <v>43552.71163</v>
      </c>
      <c r="D179" s="23">
        <f>IFERROR(__xludf.DUMMYFUNCTION("""COMPUTED_VALUE"""),1.024)</f>
        <v>1.024</v>
      </c>
      <c r="E179" s="24">
        <f>IFERROR(__xludf.DUMMYFUNCTION("""COMPUTED_VALUE"""),66.0)</f>
        <v>66</v>
      </c>
      <c r="F179" s="27" t="str">
        <f>IFERROR(__xludf.DUMMYFUNCTION("""COMPUTED_VALUE"""),"BLACK")</f>
        <v>BLACK</v>
      </c>
      <c r="G179" s="28" t="str">
        <f>IFERROR(__xludf.DUMMYFUNCTION("""COMPUTED_VALUE"""),"First Times a Charm Cider")</f>
        <v>First Times a Charm Cider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IFERROR(__xludf.DUMMYFUNCTION("""COMPUTED_VALUE"""),43552.7012154976)</f>
        <v>43552.70122</v>
      </c>
      <c r="D180" s="23">
        <f>IFERROR(__xludf.DUMMYFUNCTION("""COMPUTED_VALUE"""),1.024)</f>
        <v>1.024</v>
      </c>
      <c r="E180" s="24">
        <f>IFERROR(__xludf.DUMMYFUNCTION("""COMPUTED_VALUE"""),66.0)</f>
        <v>66</v>
      </c>
      <c r="F180" s="27" t="str">
        <f>IFERROR(__xludf.DUMMYFUNCTION("""COMPUTED_VALUE"""),"BLACK")</f>
        <v>BLACK</v>
      </c>
      <c r="G180" s="28" t="str">
        <f>IFERROR(__xludf.DUMMYFUNCTION("""COMPUTED_VALUE"""),"First Times a Charm Cider")</f>
        <v>First Times a Charm Cider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IFERROR(__xludf.DUMMYFUNCTION("""COMPUTED_VALUE"""),43552.6907940393)</f>
        <v>43552.69079</v>
      </c>
      <c r="D181" s="23">
        <f>IFERROR(__xludf.DUMMYFUNCTION("""COMPUTED_VALUE"""),1.024)</f>
        <v>1.024</v>
      </c>
      <c r="E181" s="24">
        <f>IFERROR(__xludf.DUMMYFUNCTION("""COMPUTED_VALUE"""),66.0)</f>
        <v>66</v>
      </c>
      <c r="F181" s="27" t="str">
        <f>IFERROR(__xludf.DUMMYFUNCTION("""COMPUTED_VALUE"""),"BLACK")</f>
        <v>BLACK</v>
      </c>
      <c r="G181" s="28" t="str">
        <f>IFERROR(__xludf.DUMMYFUNCTION("""COMPUTED_VALUE"""),"First Times a Charm Cider")</f>
        <v>First Times a Charm Cider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IFERROR(__xludf.DUMMYFUNCTION("""COMPUTED_VALUE"""),43552.6803625231)</f>
        <v>43552.68036</v>
      </c>
      <c r="D182" s="23">
        <f>IFERROR(__xludf.DUMMYFUNCTION("""COMPUTED_VALUE"""),1.024)</f>
        <v>1.024</v>
      </c>
      <c r="E182" s="24">
        <f>IFERROR(__xludf.DUMMYFUNCTION("""COMPUTED_VALUE"""),66.0)</f>
        <v>66</v>
      </c>
      <c r="F182" s="27" t="str">
        <f>IFERROR(__xludf.DUMMYFUNCTION("""COMPUTED_VALUE"""),"BLACK")</f>
        <v>BLACK</v>
      </c>
      <c r="G182" s="28" t="str">
        <f>IFERROR(__xludf.DUMMYFUNCTION("""COMPUTED_VALUE"""),"First Times a Charm Cider")</f>
        <v>First Times a Charm Cider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IFERROR(__xludf.DUMMYFUNCTION("""COMPUTED_VALUE"""),43552.6699308564)</f>
        <v>43552.66993</v>
      </c>
      <c r="D183" s="23">
        <f>IFERROR(__xludf.DUMMYFUNCTION("""COMPUTED_VALUE"""),1.024)</f>
        <v>1.024</v>
      </c>
      <c r="E183" s="24">
        <f>IFERROR(__xludf.DUMMYFUNCTION("""COMPUTED_VALUE"""),66.0)</f>
        <v>66</v>
      </c>
      <c r="F183" s="27" t="str">
        <f>IFERROR(__xludf.DUMMYFUNCTION("""COMPUTED_VALUE"""),"BLACK")</f>
        <v>BLACK</v>
      </c>
      <c r="G183" s="28" t="str">
        <f>IFERROR(__xludf.DUMMYFUNCTION("""COMPUTED_VALUE"""),"First Times a Charm Cider")</f>
        <v>First Times a Charm Cider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IFERROR(__xludf.DUMMYFUNCTION("""COMPUTED_VALUE"""),43552.6594873148)</f>
        <v>43552.65949</v>
      </c>
      <c r="D184" s="23">
        <f>IFERROR(__xludf.DUMMYFUNCTION("""COMPUTED_VALUE"""),1.023)</f>
        <v>1.023</v>
      </c>
      <c r="E184" s="24">
        <f>IFERROR(__xludf.DUMMYFUNCTION("""COMPUTED_VALUE"""),66.0)</f>
        <v>66</v>
      </c>
      <c r="F184" s="27" t="str">
        <f>IFERROR(__xludf.DUMMYFUNCTION("""COMPUTED_VALUE"""),"BLACK")</f>
        <v>BLACK</v>
      </c>
      <c r="G184" s="28" t="str">
        <f>IFERROR(__xludf.DUMMYFUNCTION("""COMPUTED_VALUE"""),"First Times a Charm Cider")</f>
        <v>First Times a Charm Cider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IFERROR(__xludf.DUMMYFUNCTION("""COMPUTED_VALUE"""),43552.6490556828)</f>
        <v>43552.64906</v>
      </c>
      <c r="D185" s="23">
        <f>IFERROR(__xludf.DUMMYFUNCTION("""COMPUTED_VALUE"""),1.024)</f>
        <v>1.024</v>
      </c>
      <c r="E185" s="24">
        <f>IFERROR(__xludf.DUMMYFUNCTION("""COMPUTED_VALUE"""),66.0)</f>
        <v>66</v>
      </c>
      <c r="F185" s="27" t="str">
        <f>IFERROR(__xludf.DUMMYFUNCTION("""COMPUTED_VALUE"""),"BLACK")</f>
        <v>BLACK</v>
      </c>
      <c r="G185" s="28" t="str">
        <f>IFERROR(__xludf.DUMMYFUNCTION("""COMPUTED_VALUE"""),"First Times a Charm Cider")</f>
        <v>First Times a Charm Cider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IFERROR(__xludf.DUMMYFUNCTION("""COMPUTED_VALUE"""),43552.6386348842)</f>
        <v>43552.63863</v>
      </c>
      <c r="D186" s="23">
        <f>IFERROR(__xludf.DUMMYFUNCTION("""COMPUTED_VALUE"""),1.024)</f>
        <v>1.024</v>
      </c>
      <c r="E186" s="24">
        <f>IFERROR(__xludf.DUMMYFUNCTION("""COMPUTED_VALUE"""),66.0)</f>
        <v>66</v>
      </c>
      <c r="F186" s="27" t="str">
        <f>IFERROR(__xludf.DUMMYFUNCTION("""COMPUTED_VALUE"""),"BLACK")</f>
        <v>BLACK</v>
      </c>
      <c r="G186" s="28" t="str">
        <f>IFERROR(__xludf.DUMMYFUNCTION("""COMPUTED_VALUE"""),"First Times a Charm Cider")</f>
        <v>First Times a Charm Cider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IFERROR(__xludf.DUMMYFUNCTION("""COMPUTED_VALUE"""),43552.6281787037)</f>
        <v>43552.62818</v>
      </c>
      <c r="D187" s="23">
        <f>IFERROR(__xludf.DUMMYFUNCTION("""COMPUTED_VALUE"""),1.024)</f>
        <v>1.024</v>
      </c>
      <c r="E187" s="24">
        <f>IFERROR(__xludf.DUMMYFUNCTION("""COMPUTED_VALUE"""),66.0)</f>
        <v>66</v>
      </c>
      <c r="F187" s="27" t="str">
        <f>IFERROR(__xludf.DUMMYFUNCTION("""COMPUTED_VALUE"""),"BLACK")</f>
        <v>BLACK</v>
      </c>
      <c r="G187" s="28" t="str">
        <f>IFERROR(__xludf.DUMMYFUNCTION("""COMPUTED_VALUE"""),"First Times a Charm Cider")</f>
        <v>First Times a Charm Cider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IFERROR(__xludf.DUMMYFUNCTION("""COMPUTED_VALUE"""),43552.6177573379)</f>
        <v>43552.61776</v>
      </c>
      <c r="D188" s="23">
        <f>IFERROR(__xludf.DUMMYFUNCTION("""COMPUTED_VALUE"""),1.024)</f>
        <v>1.024</v>
      </c>
      <c r="E188" s="24">
        <f>IFERROR(__xludf.DUMMYFUNCTION("""COMPUTED_VALUE"""),66.0)</f>
        <v>66</v>
      </c>
      <c r="F188" s="27" t="str">
        <f>IFERROR(__xludf.DUMMYFUNCTION("""COMPUTED_VALUE"""),"BLACK")</f>
        <v>BLACK</v>
      </c>
      <c r="G188" s="28" t="str">
        <f>IFERROR(__xludf.DUMMYFUNCTION("""COMPUTED_VALUE"""),"First Times a Charm Cider")</f>
        <v>First Times a Charm Cider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IFERROR(__xludf.DUMMYFUNCTION("""COMPUTED_VALUE"""),43552.6073343981)</f>
        <v>43552.60733</v>
      </c>
      <c r="D189" s="23">
        <f>IFERROR(__xludf.DUMMYFUNCTION("""COMPUTED_VALUE"""),1.024)</f>
        <v>1.024</v>
      </c>
      <c r="E189" s="24">
        <f>IFERROR(__xludf.DUMMYFUNCTION("""COMPUTED_VALUE"""),66.0)</f>
        <v>66</v>
      </c>
      <c r="F189" s="27" t="str">
        <f>IFERROR(__xludf.DUMMYFUNCTION("""COMPUTED_VALUE"""),"BLACK")</f>
        <v>BLACK</v>
      </c>
      <c r="G189" s="28" t="str">
        <f>IFERROR(__xludf.DUMMYFUNCTION("""COMPUTED_VALUE"""),"First Times a Charm Cider")</f>
        <v>First Times a Charm Cider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IFERROR(__xludf.DUMMYFUNCTION("""COMPUTED_VALUE"""),43552.5969125)</f>
        <v>43552.59691</v>
      </c>
      <c r="D190" s="23">
        <f>IFERROR(__xludf.DUMMYFUNCTION("""COMPUTED_VALUE"""),1.024)</f>
        <v>1.024</v>
      </c>
      <c r="E190" s="24">
        <f>IFERROR(__xludf.DUMMYFUNCTION("""COMPUTED_VALUE"""),66.0)</f>
        <v>66</v>
      </c>
      <c r="F190" s="27" t="str">
        <f>IFERROR(__xludf.DUMMYFUNCTION("""COMPUTED_VALUE"""),"BLACK")</f>
        <v>BLACK</v>
      </c>
      <c r="G190" s="28" t="str">
        <f>IFERROR(__xludf.DUMMYFUNCTION("""COMPUTED_VALUE"""),"First Times a Charm Cider")</f>
        <v>First Times a Charm Cider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IFERROR(__xludf.DUMMYFUNCTION("""COMPUTED_VALUE"""),43552.5864906134)</f>
        <v>43552.58649</v>
      </c>
      <c r="D191" s="23">
        <f>IFERROR(__xludf.DUMMYFUNCTION("""COMPUTED_VALUE"""),1.023)</f>
        <v>1.023</v>
      </c>
      <c r="E191" s="24">
        <f>IFERROR(__xludf.DUMMYFUNCTION("""COMPUTED_VALUE"""),66.0)</f>
        <v>66</v>
      </c>
      <c r="F191" s="27" t="str">
        <f>IFERROR(__xludf.DUMMYFUNCTION("""COMPUTED_VALUE"""),"BLACK")</f>
        <v>BLACK</v>
      </c>
      <c r="G191" s="28" t="str">
        <f>IFERROR(__xludf.DUMMYFUNCTION("""COMPUTED_VALUE"""),"First Times a Charm Cider")</f>
        <v>First Times a Charm Cider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IFERROR(__xludf.DUMMYFUNCTION("""COMPUTED_VALUE"""),43552.5760470717)</f>
        <v>43552.57605</v>
      </c>
      <c r="D192" s="23">
        <f>IFERROR(__xludf.DUMMYFUNCTION("""COMPUTED_VALUE"""),1.023)</f>
        <v>1.023</v>
      </c>
      <c r="E192" s="24">
        <f>IFERROR(__xludf.DUMMYFUNCTION("""COMPUTED_VALUE"""),66.0)</f>
        <v>66</v>
      </c>
      <c r="F192" s="27" t="str">
        <f>IFERROR(__xludf.DUMMYFUNCTION("""COMPUTED_VALUE"""),"BLACK")</f>
        <v>BLACK</v>
      </c>
      <c r="G192" s="28" t="str">
        <f>IFERROR(__xludf.DUMMYFUNCTION("""COMPUTED_VALUE"""),"First Times a Charm Cider")</f>
        <v>First Times a Charm Cider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IFERROR(__xludf.DUMMYFUNCTION("""COMPUTED_VALUE"""),43552.5656153703)</f>
        <v>43552.56562</v>
      </c>
      <c r="D193" s="23">
        <f>IFERROR(__xludf.DUMMYFUNCTION("""COMPUTED_VALUE"""),1.024)</f>
        <v>1.024</v>
      </c>
      <c r="E193" s="24">
        <f>IFERROR(__xludf.DUMMYFUNCTION("""COMPUTED_VALUE"""),66.0)</f>
        <v>66</v>
      </c>
      <c r="F193" s="27" t="str">
        <f>IFERROR(__xludf.DUMMYFUNCTION("""COMPUTED_VALUE"""),"BLACK")</f>
        <v>BLACK</v>
      </c>
      <c r="G193" s="28" t="str">
        <f>IFERROR(__xludf.DUMMYFUNCTION("""COMPUTED_VALUE"""),"First Times a Charm Cider")</f>
        <v>First Times a Charm Cider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IFERROR(__xludf.DUMMYFUNCTION("""COMPUTED_VALUE"""),43552.5551950115)</f>
        <v>43552.5552</v>
      </c>
      <c r="D194" s="23">
        <f>IFERROR(__xludf.DUMMYFUNCTION("""COMPUTED_VALUE"""),1.024)</f>
        <v>1.024</v>
      </c>
      <c r="E194" s="24">
        <f>IFERROR(__xludf.DUMMYFUNCTION("""COMPUTED_VALUE"""),66.0)</f>
        <v>66</v>
      </c>
      <c r="F194" s="27" t="str">
        <f>IFERROR(__xludf.DUMMYFUNCTION("""COMPUTED_VALUE"""),"BLACK")</f>
        <v>BLACK</v>
      </c>
      <c r="G194" s="28" t="str">
        <f>IFERROR(__xludf.DUMMYFUNCTION("""COMPUTED_VALUE"""),"First Times a Charm Cider")</f>
        <v>First Times a Charm Cider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IFERROR(__xludf.DUMMYFUNCTION("""COMPUTED_VALUE"""),43552.5447754513)</f>
        <v>43552.54478</v>
      </c>
      <c r="D195" s="23">
        <f>IFERROR(__xludf.DUMMYFUNCTION("""COMPUTED_VALUE"""),1.024)</f>
        <v>1.024</v>
      </c>
      <c r="E195" s="24">
        <f>IFERROR(__xludf.DUMMYFUNCTION("""COMPUTED_VALUE"""),66.0)</f>
        <v>66</v>
      </c>
      <c r="F195" s="27" t="str">
        <f>IFERROR(__xludf.DUMMYFUNCTION("""COMPUTED_VALUE"""),"BLACK")</f>
        <v>BLACK</v>
      </c>
      <c r="G195" s="28" t="str">
        <f>IFERROR(__xludf.DUMMYFUNCTION("""COMPUTED_VALUE"""),"First Times a Charm Cider")</f>
        <v>First Times a Charm Cider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IFERROR(__xludf.DUMMYFUNCTION("""COMPUTED_VALUE"""),43552.5343417708)</f>
        <v>43552.53434</v>
      </c>
      <c r="D196" s="23">
        <f>IFERROR(__xludf.DUMMYFUNCTION("""COMPUTED_VALUE"""),1.024)</f>
        <v>1.024</v>
      </c>
      <c r="E196" s="24">
        <f>IFERROR(__xludf.DUMMYFUNCTION("""COMPUTED_VALUE"""),66.0)</f>
        <v>66</v>
      </c>
      <c r="F196" s="27" t="str">
        <f>IFERROR(__xludf.DUMMYFUNCTION("""COMPUTED_VALUE"""),"BLACK")</f>
        <v>BLACK</v>
      </c>
      <c r="G196" s="28" t="str">
        <f>IFERROR(__xludf.DUMMYFUNCTION("""COMPUTED_VALUE"""),"First Times a Charm Cider")</f>
        <v>First Times a Charm Cider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IFERROR(__xludf.DUMMYFUNCTION("""COMPUTED_VALUE"""),43552.5239085763)</f>
        <v>43552.52391</v>
      </c>
      <c r="D197" s="23">
        <f>IFERROR(__xludf.DUMMYFUNCTION("""COMPUTED_VALUE"""),1.024)</f>
        <v>1.024</v>
      </c>
      <c r="E197" s="24">
        <f>IFERROR(__xludf.DUMMYFUNCTION("""COMPUTED_VALUE"""),66.0)</f>
        <v>66</v>
      </c>
      <c r="F197" s="27" t="str">
        <f>IFERROR(__xludf.DUMMYFUNCTION("""COMPUTED_VALUE"""),"BLACK")</f>
        <v>BLACK</v>
      </c>
      <c r="G197" s="28" t="str">
        <f>IFERROR(__xludf.DUMMYFUNCTION("""COMPUTED_VALUE"""),"First Times a Charm Cider")</f>
        <v>First Times a Charm Cider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IFERROR(__xludf.DUMMYFUNCTION("""COMPUTED_VALUE"""),43552.513486331)</f>
        <v>43552.51349</v>
      </c>
      <c r="D198" s="23">
        <f>IFERROR(__xludf.DUMMYFUNCTION("""COMPUTED_VALUE"""),1.024)</f>
        <v>1.024</v>
      </c>
      <c r="E198" s="24">
        <f>IFERROR(__xludf.DUMMYFUNCTION("""COMPUTED_VALUE"""),66.0)</f>
        <v>66</v>
      </c>
      <c r="F198" s="27" t="str">
        <f>IFERROR(__xludf.DUMMYFUNCTION("""COMPUTED_VALUE"""),"BLACK")</f>
        <v>BLACK</v>
      </c>
      <c r="G198" s="28" t="str">
        <f>IFERROR(__xludf.DUMMYFUNCTION("""COMPUTED_VALUE"""),"First Times a Charm Cider")</f>
        <v>First Times a Charm Cider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IFERROR(__xludf.DUMMYFUNCTION("""COMPUTED_VALUE"""),43552.5030653703)</f>
        <v>43552.50307</v>
      </c>
      <c r="D199" s="23">
        <f>IFERROR(__xludf.DUMMYFUNCTION("""COMPUTED_VALUE"""),1.024)</f>
        <v>1.024</v>
      </c>
      <c r="E199" s="24">
        <f>IFERROR(__xludf.DUMMYFUNCTION("""COMPUTED_VALUE"""),66.0)</f>
        <v>66</v>
      </c>
      <c r="F199" s="27" t="str">
        <f>IFERROR(__xludf.DUMMYFUNCTION("""COMPUTED_VALUE"""),"BLACK")</f>
        <v>BLACK</v>
      </c>
      <c r="G199" s="28" t="str">
        <f>IFERROR(__xludf.DUMMYFUNCTION("""COMPUTED_VALUE"""),"First Times a Charm Cider")</f>
        <v>First Times a Charm Cider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IFERROR(__xludf.DUMMYFUNCTION("""COMPUTED_VALUE"""),43552.4926447916)</f>
        <v>43552.49264</v>
      </c>
      <c r="D200" s="23">
        <f>IFERROR(__xludf.DUMMYFUNCTION("""COMPUTED_VALUE"""),1.023)</f>
        <v>1.023</v>
      </c>
      <c r="E200" s="24">
        <f>IFERROR(__xludf.DUMMYFUNCTION("""COMPUTED_VALUE"""),66.0)</f>
        <v>66</v>
      </c>
      <c r="F200" s="27" t="str">
        <f>IFERROR(__xludf.DUMMYFUNCTION("""COMPUTED_VALUE"""),"BLACK")</f>
        <v>BLACK</v>
      </c>
      <c r="G200" s="28" t="str">
        <f>IFERROR(__xludf.DUMMYFUNCTION("""COMPUTED_VALUE"""),"First Times a Charm Cider")</f>
        <v>First Times a Charm Cider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IFERROR(__xludf.DUMMYFUNCTION("""COMPUTED_VALUE"""),43552.4822259722)</f>
        <v>43552.48223</v>
      </c>
      <c r="D201" s="23">
        <f>IFERROR(__xludf.DUMMYFUNCTION("""COMPUTED_VALUE"""),1.024)</f>
        <v>1.024</v>
      </c>
      <c r="E201" s="24">
        <f>IFERROR(__xludf.DUMMYFUNCTION("""COMPUTED_VALUE"""),66.0)</f>
        <v>66</v>
      </c>
      <c r="F201" s="27" t="str">
        <f>IFERROR(__xludf.DUMMYFUNCTION("""COMPUTED_VALUE"""),"BLACK")</f>
        <v>BLACK</v>
      </c>
      <c r="G201" s="28" t="str">
        <f>IFERROR(__xludf.DUMMYFUNCTION("""COMPUTED_VALUE"""),"First Times a Charm Cider")</f>
        <v>First Times a Charm Cider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IFERROR(__xludf.DUMMYFUNCTION("""COMPUTED_VALUE"""),43552.47180228)</f>
        <v>43552.4718</v>
      </c>
      <c r="D202" s="23">
        <f>IFERROR(__xludf.DUMMYFUNCTION("""COMPUTED_VALUE"""),1.023)</f>
        <v>1.023</v>
      </c>
      <c r="E202" s="24">
        <f>IFERROR(__xludf.DUMMYFUNCTION("""COMPUTED_VALUE"""),66.0)</f>
        <v>66</v>
      </c>
      <c r="F202" s="27" t="str">
        <f>IFERROR(__xludf.DUMMYFUNCTION("""COMPUTED_VALUE"""),"BLACK")</f>
        <v>BLACK</v>
      </c>
      <c r="G202" s="28" t="str">
        <f>IFERROR(__xludf.DUMMYFUNCTION("""COMPUTED_VALUE"""),"First Times a Charm Cider")</f>
        <v>First Times a Charm Cider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IFERROR(__xludf.DUMMYFUNCTION("""COMPUTED_VALUE"""),43552.4613807523)</f>
        <v>43552.46138</v>
      </c>
      <c r="D203" s="23">
        <f>IFERROR(__xludf.DUMMYFUNCTION("""COMPUTED_VALUE"""),1.023)</f>
        <v>1.023</v>
      </c>
      <c r="E203" s="24">
        <f>IFERROR(__xludf.DUMMYFUNCTION("""COMPUTED_VALUE"""),66.0)</f>
        <v>66</v>
      </c>
      <c r="F203" s="27" t="str">
        <f>IFERROR(__xludf.DUMMYFUNCTION("""COMPUTED_VALUE"""),"BLACK")</f>
        <v>BLACK</v>
      </c>
      <c r="G203" s="28" t="str">
        <f>IFERROR(__xludf.DUMMYFUNCTION("""COMPUTED_VALUE"""),"First Times a Charm Cider")</f>
        <v>First Times a Charm Cider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IFERROR(__xludf.DUMMYFUNCTION("""COMPUTED_VALUE"""),43552.4509595833)</f>
        <v>43552.45096</v>
      </c>
      <c r="D204" s="23">
        <f>IFERROR(__xludf.DUMMYFUNCTION("""COMPUTED_VALUE"""),1.024)</f>
        <v>1.024</v>
      </c>
      <c r="E204" s="24">
        <f>IFERROR(__xludf.DUMMYFUNCTION("""COMPUTED_VALUE"""),66.0)</f>
        <v>66</v>
      </c>
      <c r="F204" s="27" t="str">
        <f>IFERROR(__xludf.DUMMYFUNCTION("""COMPUTED_VALUE"""),"BLACK")</f>
        <v>BLACK</v>
      </c>
      <c r="G204" s="28" t="str">
        <f>IFERROR(__xludf.DUMMYFUNCTION("""COMPUTED_VALUE"""),"First Times a Charm Cider")</f>
        <v>First Times a Charm Cider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IFERROR(__xludf.DUMMYFUNCTION("""COMPUTED_VALUE"""),43552.4405024768)</f>
        <v>43552.4405</v>
      </c>
      <c r="D205" s="23">
        <f>IFERROR(__xludf.DUMMYFUNCTION("""COMPUTED_VALUE"""),1.024)</f>
        <v>1.024</v>
      </c>
      <c r="E205" s="24">
        <f>IFERROR(__xludf.DUMMYFUNCTION("""COMPUTED_VALUE"""),66.0)</f>
        <v>66</v>
      </c>
      <c r="F205" s="27" t="str">
        <f>IFERROR(__xludf.DUMMYFUNCTION("""COMPUTED_VALUE"""),"BLACK")</f>
        <v>BLACK</v>
      </c>
      <c r="G205" s="28" t="str">
        <f>IFERROR(__xludf.DUMMYFUNCTION("""COMPUTED_VALUE"""),"First Times a Charm Cider")</f>
        <v>First Times a Charm Cider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IFERROR(__xludf.DUMMYFUNCTION("""COMPUTED_VALUE"""),43552.4300693171)</f>
        <v>43552.43007</v>
      </c>
      <c r="D206" s="23">
        <f>IFERROR(__xludf.DUMMYFUNCTION("""COMPUTED_VALUE"""),1.024)</f>
        <v>1.024</v>
      </c>
      <c r="E206" s="24">
        <f>IFERROR(__xludf.DUMMYFUNCTION("""COMPUTED_VALUE"""),66.0)</f>
        <v>66</v>
      </c>
      <c r="F206" s="27" t="str">
        <f>IFERROR(__xludf.DUMMYFUNCTION("""COMPUTED_VALUE"""),"BLACK")</f>
        <v>BLACK</v>
      </c>
      <c r="G206" s="28" t="str">
        <f>IFERROR(__xludf.DUMMYFUNCTION("""COMPUTED_VALUE"""),"First Times a Charm Cider")</f>
        <v>First Times a Charm Cider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IFERROR(__xludf.DUMMYFUNCTION("""COMPUTED_VALUE"""),43552.4196479398)</f>
        <v>43552.41965</v>
      </c>
      <c r="D207" s="23">
        <f>IFERROR(__xludf.DUMMYFUNCTION("""COMPUTED_VALUE"""),1.024)</f>
        <v>1.024</v>
      </c>
      <c r="E207" s="24">
        <f>IFERROR(__xludf.DUMMYFUNCTION("""COMPUTED_VALUE"""),66.0)</f>
        <v>66</v>
      </c>
      <c r="F207" s="27" t="str">
        <f>IFERROR(__xludf.DUMMYFUNCTION("""COMPUTED_VALUE"""),"BLACK")</f>
        <v>BLACK</v>
      </c>
      <c r="G207" s="28" t="str">
        <f>IFERROR(__xludf.DUMMYFUNCTION("""COMPUTED_VALUE"""),"First Times a Charm Cider")</f>
        <v>First Times a Charm Cider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IFERROR(__xludf.DUMMYFUNCTION("""COMPUTED_VALUE"""),43552.4092286574)</f>
        <v>43552.40923</v>
      </c>
      <c r="D208" s="23">
        <f>IFERROR(__xludf.DUMMYFUNCTION("""COMPUTED_VALUE"""),1.024)</f>
        <v>1.024</v>
      </c>
      <c r="E208" s="24">
        <f>IFERROR(__xludf.DUMMYFUNCTION("""COMPUTED_VALUE"""),66.0)</f>
        <v>66</v>
      </c>
      <c r="F208" s="27" t="str">
        <f>IFERROR(__xludf.DUMMYFUNCTION("""COMPUTED_VALUE"""),"BLACK")</f>
        <v>BLACK</v>
      </c>
      <c r="G208" s="28" t="str">
        <f>IFERROR(__xludf.DUMMYFUNCTION("""COMPUTED_VALUE"""),"First Times a Charm Cider")</f>
        <v>First Times a Charm Cider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IFERROR(__xludf.DUMMYFUNCTION("""COMPUTED_VALUE"""),43552.3988082523)</f>
        <v>43552.39881</v>
      </c>
      <c r="D209" s="23">
        <f>IFERROR(__xludf.DUMMYFUNCTION("""COMPUTED_VALUE"""),1.024)</f>
        <v>1.024</v>
      </c>
      <c r="E209" s="24">
        <f>IFERROR(__xludf.DUMMYFUNCTION("""COMPUTED_VALUE"""),66.0)</f>
        <v>66</v>
      </c>
      <c r="F209" s="27" t="str">
        <f>IFERROR(__xludf.DUMMYFUNCTION("""COMPUTED_VALUE"""),"BLACK")</f>
        <v>BLACK</v>
      </c>
      <c r="G209" s="28" t="str">
        <f>IFERROR(__xludf.DUMMYFUNCTION("""COMPUTED_VALUE"""),"First Times a Charm Cider")</f>
        <v>First Times a Charm Cider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IFERROR(__xludf.DUMMYFUNCTION("""COMPUTED_VALUE"""),43552.3883751388)</f>
        <v>43552.38838</v>
      </c>
      <c r="D210" s="23">
        <f>IFERROR(__xludf.DUMMYFUNCTION("""COMPUTED_VALUE"""),1.024)</f>
        <v>1.024</v>
      </c>
      <c r="E210" s="24">
        <f>IFERROR(__xludf.DUMMYFUNCTION("""COMPUTED_VALUE"""),66.0)</f>
        <v>66</v>
      </c>
      <c r="F210" s="27" t="str">
        <f>IFERROR(__xludf.DUMMYFUNCTION("""COMPUTED_VALUE"""),"BLACK")</f>
        <v>BLACK</v>
      </c>
      <c r="G210" s="28" t="str">
        <f>IFERROR(__xludf.DUMMYFUNCTION("""COMPUTED_VALUE"""),"First Times a Charm Cider")</f>
        <v>First Times a Charm Cider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IFERROR(__xludf.DUMMYFUNCTION("""COMPUTED_VALUE"""),43552.3779542939)</f>
        <v>43552.37795</v>
      </c>
      <c r="D211" s="23">
        <f>IFERROR(__xludf.DUMMYFUNCTION("""COMPUTED_VALUE"""),1.024)</f>
        <v>1.024</v>
      </c>
      <c r="E211" s="24">
        <f>IFERROR(__xludf.DUMMYFUNCTION("""COMPUTED_VALUE"""),66.0)</f>
        <v>66</v>
      </c>
      <c r="F211" s="27" t="str">
        <f>IFERROR(__xludf.DUMMYFUNCTION("""COMPUTED_VALUE"""),"BLACK")</f>
        <v>BLACK</v>
      </c>
      <c r="G211" s="28" t="str">
        <f>IFERROR(__xludf.DUMMYFUNCTION("""COMPUTED_VALUE"""),"First Times a Charm Cider")</f>
        <v>First Times a Charm Cider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IFERROR(__xludf.DUMMYFUNCTION("""COMPUTED_VALUE"""),43552.3675232754)</f>
        <v>43552.36752</v>
      </c>
      <c r="D212" s="23">
        <f>IFERROR(__xludf.DUMMYFUNCTION("""COMPUTED_VALUE"""),1.024)</f>
        <v>1.024</v>
      </c>
      <c r="E212" s="24">
        <f>IFERROR(__xludf.DUMMYFUNCTION("""COMPUTED_VALUE"""),66.0)</f>
        <v>66</v>
      </c>
      <c r="F212" s="27" t="str">
        <f>IFERROR(__xludf.DUMMYFUNCTION("""COMPUTED_VALUE"""),"BLACK")</f>
        <v>BLACK</v>
      </c>
      <c r="G212" s="28" t="str">
        <f>IFERROR(__xludf.DUMMYFUNCTION("""COMPUTED_VALUE"""),"First Times a Charm Cider")</f>
        <v>First Times a Charm Cider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IFERROR(__xludf.DUMMYFUNCTION("""COMPUTED_VALUE"""),43552.3571010532)</f>
        <v>43552.3571</v>
      </c>
      <c r="D213" s="23">
        <f>IFERROR(__xludf.DUMMYFUNCTION("""COMPUTED_VALUE"""),1.024)</f>
        <v>1.024</v>
      </c>
      <c r="E213" s="24">
        <f>IFERROR(__xludf.DUMMYFUNCTION("""COMPUTED_VALUE"""),66.0)</f>
        <v>66</v>
      </c>
      <c r="F213" s="27" t="str">
        <f>IFERROR(__xludf.DUMMYFUNCTION("""COMPUTED_VALUE"""),"BLACK")</f>
        <v>BLACK</v>
      </c>
      <c r="G213" s="28" t="str">
        <f>IFERROR(__xludf.DUMMYFUNCTION("""COMPUTED_VALUE"""),"First Times a Charm Cider")</f>
        <v>First Times a Charm Cider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IFERROR(__xludf.DUMMYFUNCTION("""COMPUTED_VALUE"""),43552.3466814814)</f>
        <v>43552.34668</v>
      </c>
      <c r="D214" s="23">
        <f>IFERROR(__xludf.DUMMYFUNCTION("""COMPUTED_VALUE"""),1.024)</f>
        <v>1.024</v>
      </c>
      <c r="E214" s="24">
        <f>IFERROR(__xludf.DUMMYFUNCTION("""COMPUTED_VALUE"""),66.0)</f>
        <v>66</v>
      </c>
      <c r="F214" s="27" t="str">
        <f>IFERROR(__xludf.DUMMYFUNCTION("""COMPUTED_VALUE"""),"BLACK")</f>
        <v>BLACK</v>
      </c>
      <c r="G214" s="28" t="str">
        <f>IFERROR(__xludf.DUMMYFUNCTION("""COMPUTED_VALUE"""),"First Times a Charm Cider")</f>
        <v>First Times a Charm Cider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IFERROR(__xludf.DUMMYFUNCTION("""COMPUTED_VALUE"""),43552.3362613425)</f>
        <v>43552.33626</v>
      </c>
      <c r="D215" s="23">
        <f>IFERROR(__xludf.DUMMYFUNCTION("""COMPUTED_VALUE"""),1.024)</f>
        <v>1.024</v>
      </c>
      <c r="E215" s="24">
        <f>IFERROR(__xludf.DUMMYFUNCTION("""COMPUTED_VALUE"""),66.0)</f>
        <v>66</v>
      </c>
      <c r="F215" s="27" t="str">
        <f>IFERROR(__xludf.DUMMYFUNCTION("""COMPUTED_VALUE"""),"BLACK")</f>
        <v>BLACK</v>
      </c>
      <c r="G215" s="28" t="str">
        <f>IFERROR(__xludf.DUMMYFUNCTION("""COMPUTED_VALUE"""),"First Times a Charm Cider")</f>
        <v>First Times a Charm Cider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IFERROR(__xludf.DUMMYFUNCTION("""COMPUTED_VALUE"""),43552.3258405208)</f>
        <v>43552.32584</v>
      </c>
      <c r="D216" s="23">
        <f>IFERROR(__xludf.DUMMYFUNCTION("""COMPUTED_VALUE"""),1.024)</f>
        <v>1.024</v>
      </c>
      <c r="E216" s="24">
        <f>IFERROR(__xludf.DUMMYFUNCTION("""COMPUTED_VALUE"""),66.0)</f>
        <v>66</v>
      </c>
      <c r="F216" s="27" t="str">
        <f>IFERROR(__xludf.DUMMYFUNCTION("""COMPUTED_VALUE"""),"BLACK")</f>
        <v>BLACK</v>
      </c>
      <c r="G216" s="28" t="str">
        <f>IFERROR(__xludf.DUMMYFUNCTION("""COMPUTED_VALUE"""),"First Times a Charm Cider")</f>
        <v>First Times a Charm Cider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IFERROR(__xludf.DUMMYFUNCTION("""COMPUTED_VALUE"""),43552.3153952662)</f>
        <v>43552.3154</v>
      </c>
      <c r="D217" s="23">
        <f>IFERROR(__xludf.DUMMYFUNCTION("""COMPUTED_VALUE"""),1.024)</f>
        <v>1.024</v>
      </c>
      <c r="E217" s="24">
        <f>IFERROR(__xludf.DUMMYFUNCTION("""COMPUTED_VALUE"""),66.0)</f>
        <v>66</v>
      </c>
      <c r="F217" s="27" t="str">
        <f>IFERROR(__xludf.DUMMYFUNCTION("""COMPUTED_VALUE"""),"BLACK")</f>
        <v>BLACK</v>
      </c>
      <c r="G217" s="28" t="str">
        <f>IFERROR(__xludf.DUMMYFUNCTION("""COMPUTED_VALUE"""),"First Times a Charm Cider")</f>
        <v>First Times a Charm Cider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IFERROR(__xludf.DUMMYFUNCTION("""COMPUTED_VALUE"""),43552.3049275)</f>
        <v>43552.30493</v>
      </c>
      <c r="D218" s="23">
        <f>IFERROR(__xludf.DUMMYFUNCTION("""COMPUTED_VALUE"""),1.024)</f>
        <v>1.024</v>
      </c>
      <c r="E218" s="24">
        <f>IFERROR(__xludf.DUMMYFUNCTION("""COMPUTED_VALUE"""),66.0)</f>
        <v>66</v>
      </c>
      <c r="F218" s="27" t="str">
        <f>IFERROR(__xludf.DUMMYFUNCTION("""COMPUTED_VALUE"""),"BLACK")</f>
        <v>BLACK</v>
      </c>
      <c r="G218" s="28" t="str">
        <f>IFERROR(__xludf.DUMMYFUNCTION("""COMPUTED_VALUE"""),"First Times a Charm Cider")</f>
        <v>First Times a Charm Cider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IFERROR(__xludf.DUMMYFUNCTION("""COMPUTED_VALUE"""),43552.2945075462)</f>
        <v>43552.29451</v>
      </c>
      <c r="D219" s="23">
        <f>IFERROR(__xludf.DUMMYFUNCTION("""COMPUTED_VALUE"""),1.024)</f>
        <v>1.024</v>
      </c>
      <c r="E219" s="24">
        <f>IFERROR(__xludf.DUMMYFUNCTION("""COMPUTED_VALUE"""),66.0)</f>
        <v>66</v>
      </c>
      <c r="F219" s="27" t="str">
        <f>IFERROR(__xludf.DUMMYFUNCTION("""COMPUTED_VALUE"""),"BLACK")</f>
        <v>BLACK</v>
      </c>
      <c r="G219" s="28" t="str">
        <f>IFERROR(__xludf.DUMMYFUNCTION("""COMPUTED_VALUE"""),"First Times a Charm Cider")</f>
        <v>First Times a Charm Cider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IFERROR(__xludf.DUMMYFUNCTION("""COMPUTED_VALUE"""),43552.2840870833)</f>
        <v>43552.28409</v>
      </c>
      <c r="D220" s="23">
        <f>IFERROR(__xludf.DUMMYFUNCTION("""COMPUTED_VALUE"""),1.024)</f>
        <v>1.024</v>
      </c>
      <c r="E220" s="24">
        <f>IFERROR(__xludf.DUMMYFUNCTION("""COMPUTED_VALUE"""),66.0)</f>
        <v>66</v>
      </c>
      <c r="F220" s="27" t="str">
        <f>IFERROR(__xludf.DUMMYFUNCTION("""COMPUTED_VALUE"""),"BLACK")</f>
        <v>BLACK</v>
      </c>
      <c r="G220" s="28" t="str">
        <f>IFERROR(__xludf.DUMMYFUNCTION("""COMPUTED_VALUE"""),"First Times a Charm Cider")</f>
        <v>First Times a Charm Cider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IFERROR(__xludf.DUMMYFUNCTION("""COMPUTED_VALUE"""),43552.2736419097)</f>
        <v>43552.27364</v>
      </c>
      <c r="D221" s="23">
        <f>IFERROR(__xludf.DUMMYFUNCTION("""COMPUTED_VALUE"""),1.024)</f>
        <v>1.024</v>
      </c>
      <c r="E221" s="24">
        <f>IFERROR(__xludf.DUMMYFUNCTION("""COMPUTED_VALUE"""),66.0)</f>
        <v>66</v>
      </c>
      <c r="F221" s="27" t="str">
        <f>IFERROR(__xludf.DUMMYFUNCTION("""COMPUTED_VALUE"""),"BLACK")</f>
        <v>BLACK</v>
      </c>
      <c r="G221" s="28" t="str">
        <f>IFERROR(__xludf.DUMMYFUNCTION("""COMPUTED_VALUE"""),"First Times a Charm Cider")</f>
        <v>First Times a Charm Cider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IFERROR(__xludf.DUMMYFUNCTION("""COMPUTED_VALUE"""),43552.2632213078)</f>
        <v>43552.26322</v>
      </c>
      <c r="D222" s="23">
        <f>IFERROR(__xludf.DUMMYFUNCTION("""COMPUTED_VALUE"""),1.024)</f>
        <v>1.024</v>
      </c>
      <c r="E222" s="24">
        <f>IFERROR(__xludf.DUMMYFUNCTION("""COMPUTED_VALUE"""),66.0)</f>
        <v>66</v>
      </c>
      <c r="F222" s="27" t="str">
        <f>IFERROR(__xludf.DUMMYFUNCTION("""COMPUTED_VALUE"""),"BLACK")</f>
        <v>BLACK</v>
      </c>
      <c r="G222" s="28" t="str">
        <f>IFERROR(__xludf.DUMMYFUNCTION("""COMPUTED_VALUE"""),"First Times a Charm Cider")</f>
        <v>First Times a Charm Cider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IFERROR(__xludf.DUMMYFUNCTION("""COMPUTED_VALUE"""),43552.2528009259)</f>
        <v>43552.2528</v>
      </c>
      <c r="D223" s="23">
        <f>IFERROR(__xludf.DUMMYFUNCTION("""COMPUTED_VALUE"""),1.024)</f>
        <v>1.024</v>
      </c>
      <c r="E223" s="24">
        <f>IFERROR(__xludf.DUMMYFUNCTION("""COMPUTED_VALUE"""),66.0)</f>
        <v>66</v>
      </c>
      <c r="F223" s="27" t="str">
        <f>IFERROR(__xludf.DUMMYFUNCTION("""COMPUTED_VALUE"""),"BLACK")</f>
        <v>BLACK</v>
      </c>
      <c r="G223" s="28" t="str">
        <f>IFERROR(__xludf.DUMMYFUNCTION("""COMPUTED_VALUE"""),"First Times a Charm Cider")</f>
        <v>First Times a Charm Cider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IFERROR(__xludf.DUMMYFUNCTION("""COMPUTED_VALUE"""),43552.24238125)</f>
        <v>43552.24238</v>
      </c>
      <c r="D224" s="23">
        <f>IFERROR(__xludf.DUMMYFUNCTION("""COMPUTED_VALUE"""),1.024)</f>
        <v>1.024</v>
      </c>
      <c r="E224" s="24">
        <f>IFERROR(__xludf.DUMMYFUNCTION("""COMPUTED_VALUE"""),66.0)</f>
        <v>66</v>
      </c>
      <c r="F224" s="27" t="str">
        <f>IFERROR(__xludf.DUMMYFUNCTION("""COMPUTED_VALUE"""),"BLACK")</f>
        <v>BLACK</v>
      </c>
      <c r="G224" s="28" t="str">
        <f>IFERROR(__xludf.DUMMYFUNCTION("""COMPUTED_VALUE"""),"First Times a Charm Cider")</f>
        <v>First Times a Charm Cider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IFERROR(__xludf.DUMMYFUNCTION("""COMPUTED_VALUE"""),43552.2319582407)</f>
        <v>43552.23196</v>
      </c>
      <c r="D225" s="23">
        <f>IFERROR(__xludf.DUMMYFUNCTION("""COMPUTED_VALUE"""),1.024)</f>
        <v>1.024</v>
      </c>
      <c r="E225" s="24">
        <f>IFERROR(__xludf.DUMMYFUNCTION("""COMPUTED_VALUE"""),66.0)</f>
        <v>66</v>
      </c>
      <c r="F225" s="27" t="str">
        <f>IFERROR(__xludf.DUMMYFUNCTION("""COMPUTED_VALUE"""),"BLACK")</f>
        <v>BLACK</v>
      </c>
      <c r="G225" s="28" t="str">
        <f>IFERROR(__xludf.DUMMYFUNCTION("""COMPUTED_VALUE"""),"First Times a Charm Cider")</f>
        <v>First Times a Charm Cider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IFERROR(__xludf.DUMMYFUNCTION("""COMPUTED_VALUE"""),43552.2215383912)</f>
        <v>43552.22154</v>
      </c>
      <c r="D226" s="23">
        <f>IFERROR(__xludf.DUMMYFUNCTION("""COMPUTED_VALUE"""),1.024)</f>
        <v>1.024</v>
      </c>
      <c r="E226" s="24">
        <f>IFERROR(__xludf.DUMMYFUNCTION("""COMPUTED_VALUE"""),66.0)</f>
        <v>66</v>
      </c>
      <c r="F226" s="27" t="str">
        <f>IFERROR(__xludf.DUMMYFUNCTION("""COMPUTED_VALUE"""),"BLACK")</f>
        <v>BLACK</v>
      </c>
      <c r="G226" s="28" t="str">
        <f>IFERROR(__xludf.DUMMYFUNCTION("""COMPUTED_VALUE"""),"First Times a Charm Cider")</f>
        <v>First Times a Charm Cider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IFERROR(__xludf.DUMMYFUNCTION("""COMPUTED_VALUE"""),43552.2111053703)</f>
        <v>43552.21111</v>
      </c>
      <c r="D227" s="23">
        <f>IFERROR(__xludf.DUMMYFUNCTION("""COMPUTED_VALUE"""),1.024)</f>
        <v>1.024</v>
      </c>
      <c r="E227" s="24">
        <f>IFERROR(__xludf.DUMMYFUNCTION("""COMPUTED_VALUE"""),66.0)</f>
        <v>66</v>
      </c>
      <c r="F227" s="27" t="str">
        <f>IFERROR(__xludf.DUMMYFUNCTION("""COMPUTED_VALUE"""),"BLACK")</f>
        <v>BLACK</v>
      </c>
      <c r="G227" s="28" t="str">
        <f>IFERROR(__xludf.DUMMYFUNCTION("""COMPUTED_VALUE"""),"First Times a Charm Cider")</f>
        <v>First Times a Charm Cider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IFERROR(__xludf.DUMMYFUNCTION("""COMPUTED_VALUE"""),43552.2006845254)</f>
        <v>43552.20068</v>
      </c>
      <c r="D228" s="23">
        <f>IFERROR(__xludf.DUMMYFUNCTION("""COMPUTED_VALUE"""),1.024)</f>
        <v>1.024</v>
      </c>
      <c r="E228" s="24">
        <f>IFERROR(__xludf.DUMMYFUNCTION("""COMPUTED_VALUE"""),66.0)</f>
        <v>66</v>
      </c>
      <c r="F228" s="27" t="str">
        <f>IFERROR(__xludf.DUMMYFUNCTION("""COMPUTED_VALUE"""),"BLACK")</f>
        <v>BLACK</v>
      </c>
      <c r="G228" s="28" t="str">
        <f>IFERROR(__xludf.DUMMYFUNCTION("""COMPUTED_VALUE"""),"First Times a Charm Cider")</f>
        <v>First Times a Charm Cider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IFERROR(__xludf.DUMMYFUNCTION("""COMPUTED_VALUE"""),43552.1902515856)</f>
        <v>43552.19025</v>
      </c>
      <c r="D229" s="23">
        <f>IFERROR(__xludf.DUMMYFUNCTION("""COMPUTED_VALUE"""),1.024)</f>
        <v>1.024</v>
      </c>
      <c r="E229" s="24">
        <f>IFERROR(__xludf.DUMMYFUNCTION("""COMPUTED_VALUE"""),66.0)</f>
        <v>66</v>
      </c>
      <c r="F229" s="27" t="str">
        <f>IFERROR(__xludf.DUMMYFUNCTION("""COMPUTED_VALUE"""),"BLACK")</f>
        <v>BLACK</v>
      </c>
      <c r="G229" s="28" t="str">
        <f>IFERROR(__xludf.DUMMYFUNCTION("""COMPUTED_VALUE"""),"First Times a Charm Cider")</f>
        <v>First Times a Charm Cider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IFERROR(__xludf.DUMMYFUNCTION("""COMPUTED_VALUE"""),43552.1797961921)</f>
        <v>43552.1798</v>
      </c>
      <c r="D230" s="23">
        <f>IFERROR(__xludf.DUMMYFUNCTION("""COMPUTED_VALUE"""),1.024)</f>
        <v>1.024</v>
      </c>
      <c r="E230" s="24">
        <f>IFERROR(__xludf.DUMMYFUNCTION("""COMPUTED_VALUE"""),66.0)</f>
        <v>66</v>
      </c>
      <c r="F230" s="27" t="str">
        <f>IFERROR(__xludf.DUMMYFUNCTION("""COMPUTED_VALUE"""),"BLACK")</f>
        <v>BLACK</v>
      </c>
      <c r="G230" s="28" t="str">
        <f>IFERROR(__xludf.DUMMYFUNCTION("""COMPUTED_VALUE"""),"First Times a Charm Cider")</f>
        <v>First Times a Charm Cider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IFERROR(__xludf.DUMMYFUNCTION("""COMPUTED_VALUE"""),43552.1693741898)</f>
        <v>43552.16937</v>
      </c>
      <c r="D231" s="23">
        <f>IFERROR(__xludf.DUMMYFUNCTION("""COMPUTED_VALUE"""),1.024)</f>
        <v>1.024</v>
      </c>
      <c r="E231" s="24">
        <f>IFERROR(__xludf.DUMMYFUNCTION("""COMPUTED_VALUE"""),66.0)</f>
        <v>66</v>
      </c>
      <c r="F231" s="27" t="str">
        <f>IFERROR(__xludf.DUMMYFUNCTION("""COMPUTED_VALUE"""),"BLACK")</f>
        <v>BLACK</v>
      </c>
      <c r="G231" s="28" t="str">
        <f>IFERROR(__xludf.DUMMYFUNCTION("""COMPUTED_VALUE"""),"First Times a Charm Cider")</f>
        <v>First Times a Charm Cider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IFERROR(__xludf.DUMMYFUNCTION("""COMPUTED_VALUE"""),43552.1589544328)</f>
        <v>43552.15895</v>
      </c>
      <c r="D232" s="23">
        <f>IFERROR(__xludf.DUMMYFUNCTION("""COMPUTED_VALUE"""),1.024)</f>
        <v>1.024</v>
      </c>
      <c r="E232" s="24">
        <f>IFERROR(__xludf.DUMMYFUNCTION("""COMPUTED_VALUE"""),66.0)</f>
        <v>66</v>
      </c>
      <c r="F232" s="27" t="str">
        <f>IFERROR(__xludf.DUMMYFUNCTION("""COMPUTED_VALUE"""),"BLACK")</f>
        <v>BLACK</v>
      </c>
      <c r="G232" s="28" t="str">
        <f>IFERROR(__xludf.DUMMYFUNCTION("""COMPUTED_VALUE"""),"First Times a Charm Cider")</f>
        <v>First Times a Charm Cider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IFERROR(__xludf.DUMMYFUNCTION("""COMPUTED_VALUE"""),43552.1485100347)</f>
        <v>43552.14851</v>
      </c>
      <c r="D233" s="23">
        <f>IFERROR(__xludf.DUMMYFUNCTION("""COMPUTED_VALUE"""),1.024)</f>
        <v>1.024</v>
      </c>
      <c r="E233" s="24">
        <f>IFERROR(__xludf.DUMMYFUNCTION("""COMPUTED_VALUE"""),66.0)</f>
        <v>66</v>
      </c>
      <c r="F233" s="27" t="str">
        <f>IFERROR(__xludf.DUMMYFUNCTION("""COMPUTED_VALUE"""),"BLACK")</f>
        <v>BLACK</v>
      </c>
      <c r="G233" s="28" t="str">
        <f>IFERROR(__xludf.DUMMYFUNCTION("""COMPUTED_VALUE"""),"First Times a Charm Cider")</f>
        <v>First Times a Charm Cider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IFERROR(__xludf.DUMMYFUNCTION("""COMPUTED_VALUE"""),43552.1380881828)</f>
        <v>43552.13809</v>
      </c>
      <c r="D234" s="23">
        <f>IFERROR(__xludf.DUMMYFUNCTION("""COMPUTED_VALUE"""),1.024)</f>
        <v>1.024</v>
      </c>
      <c r="E234" s="24">
        <f>IFERROR(__xludf.DUMMYFUNCTION("""COMPUTED_VALUE"""),66.0)</f>
        <v>66</v>
      </c>
      <c r="F234" s="27" t="str">
        <f>IFERROR(__xludf.DUMMYFUNCTION("""COMPUTED_VALUE"""),"BLACK")</f>
        <v>BLACK</v>
      </c>
      <c r="G234" s="28" t="str">
        <f>IFERROR(__xludf.DUMMYFUNCTION("""COMPUTED_VALUE"""),"First Times a Charm Cider")</f>
        <v>First Times a Charm Cider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IFERROR(__xludf.DUMMYFUNCTION("""COMPUTED_VALUE"""),43552.1276666782)</f>
        <v>43552.12767</v>
      </c>
      <c r="D235" s="23">
        <f>IFERROR(__xludf.DUMMYFUNCTION("""COMPUTED_VALUE"""),1.024)</f>
        <v>1.024</v>
      </c>
      <c r="E235" s="24">
        <f>IFERROR(__xludf.DUMMYFUNCTION("""COMPUTED_VALUE"""),66.0)</f>
        <v>66</v>
      </c>
      <c r="F235" s="27" t="str">
        <f>IFERROR(__xludf.DUMMYFUNCTION("""COMPUTED_VALUE"""),"BLACK")</f>
        <v>BLACK</v>
      </c>
      <c r="G235" s="28" t="str">
        <f>IFERROR(__xludf.DUMMYFUNCTION("""COMPUTED_VALUE"""),"First Times a Charm Cider")</f>
        <v>First Times a Charm Cider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IFERROR(__xludf.DUMMYFUNCTION("""COMPUTED_VALUE"""),43552.1172439004)</f>
        <v>43552.11724</v>
      </c>
      <c r="D236" s="23">
        <f>IFERROR(__xludf.DUMMYFUNCTION("""COMPUTED_VALUE"""),1.024)</f>
        <v>1.024</v>
      </c>
      <c r="E236" s="24">
        <f>IFERROR(__xludf.DUMMYFUNCTION("""COMPUTED_VALUE"""),66.0)</f>
        <v>66</v>
      </c>
      <c r="F236" s="27" t="str">
        <f>IFERROR(__xludf.DUMMYFUNCTION("""COMPUTED_VALUE"""),"BLACK")</f>
        <v>BLACK</v>
      </c>
      <c r="G236" s="28" t="str">
        <f>IFERROR(__xludf.DUMMYFUNCTION("""COMPUTED_VALUE"""),"First Times a Charm Cider")</f>
        <v>First Times a Charm Cider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IFERROR(__xludf.DUMMYFUNCTION("""COMPUTED_VALUE"""),43552.1068197916)</f>
        <v>43552.10682</v>
      </c>
      <c r="D237" s="23">
        <f>IFERROR(__xludf.DUMMYFUNCTION("""COMPUTED_VALUE"""),1.024)</f>
        <v>1.024</v>
      </c>
      <c r="E237" s="24">
        <f>IFERROR(__xludf.DUMMYFUNCTION("""COMPUTED_VALUE"""),66.0)</f>
        <v>66</v>
      </c>
      <c r="F237" s="27" t="str">
        <f>IFERROR(__xludf.DUMMYFUNCTION("""COMPUTED_VALUE"""),"BLACK")</f>
        <v>BLACK</v>
      </c>
      <c r="G237" s="28" t="str">
        <f>IFERROR(__xludf.DUMMYFUNCTION("""COMPUTED_VALUE"""),"First Times a Charm Cider")</f>
        <v>First Times a Charm Cider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IFERROR(__xludf.DUMMYFUNCTION("""COMPUTED_VALUE"""),43552.096363912)</f>
        <v>43552.09636</v>
      </c>
      <c r="D238" s="23">
        <f>IFERROR(__xludf.DUMMYFUNCTION("""COMPUTED_VALUE"""),1.024)</f>
        <v>1.024</v>
      </c>
      <c r="E238" s="24">
        <f>IFERROR(__xludf.DUMMYFUNCTION("""COMPUTED_VALUE"""),66.0)</f>
        <v>66</v>
      </c>
      <c r="F238" s="27" t="str">
        <f>IFERROR(__xludf.DUMMYFUNCTION("""COMPUTED_VALUE"""),"BLACK")</f>
        <v>BLACK</v>
      </c>
      <c r="G238" s="28" t="str">
        <f>IFERROR(__xludf.DUMMYFUNCTION("""COMPUTED_VALUE"""),"First Times a Charm Cider")</f>
        <v>First Times a Charm Cider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IFERROR(__xludf.DUMMYFUNCTION("""COMPUTED_VALUE"""),43552.0859308217)</f>
        <v>43552.08593</v>
      </c>
      <c r="D239" s="23">
        <f>IFERROR(__xludf.DUMMYFUNCTION("""COMPUTED_VALUE"""),1.024)</f>
        <v>1.024</v>
      </c>
      <c r="E239" s="24">
        <f>IFERROR(__xludf.DUMMYFUNCTION("""COMPUTED_VALUE"""),66.0)</f>
        <v>66</v>
      </c>
      <c r="F239" s="27" t="str">
        <f>IFERROR(__xludf.DUMMYFUNCTION("""COMPUTED_VALUE"""),"BLACK")</f>
        <v>BLACK</v>
      </c>
      <c r="G239" s="28" t="str">
        <f>IFERROR(__xludf.DUMMYFUNCTION("""COMPUTED_VALUE"""),"First Times a Charm Cider")</f>
        <v>First Times a Charm Cider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IFERROR(__xludf.DUMMYFUNCTION("""COMPUTED_VALUE"""),43552.075496655)</f>
        <v>43552.0755</v>
      </c>
      <c r="D240" s="23">
        <f>IFERROR(__xludf.DUMMYFUNCTION("""COMPUTED_VALUE"""),1.024)</f>
        <v>1.024</v>
      </c>
      <c r="E240" s="24">
        <f>IFERROR(__xludf.DUMMYFUNCTION("""COMPUTED_VALUE"""),66.0)</f>
        <v>66</v>
      </c>
      <c r="F240" s="27" t="str">
        <f>IFERROR(__xludf.DUMMYFUNCTION("""COMPUTED_VALUE"""),"BLACK")</f>
        <v>BLACK</v>
      </c>
      <c r="G240" s="28" t="str">
        <f>IFERROR(__xludf.DUMMYFUNCTION("""COMPUTED_VALUE"""),"First Times a Charm Cider")</f>
        <v>First Times a Charm Cider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IFERROR(__xludf.DUMMYFUNCTION("""COMPUTED_VALUE"""),43552.0650758101)</f>
        <v>43552.06508</v>
      </c>
      <c r="D241" s="23">
        <f>IFERROR(__xludf.DUMMYFUNCTION("""COMPUTED_VALUE"""),1.024)</f>
        <v>1.024</v>
      </c>
      <c r="E241" s="24">
        <f>IFERROR(__xludf.DUMMYFUNCTION("""COMPUTED_VALUE"""),66.0)</f>
        <v>66</v>
      </c>
      <c r="F241" s="27" t="str">
        <f>IFERROR(__xludf.DUMMYFUNCTION("""COMPUTED_VALUE"""),"BLACK")</f>
        <v>BLACK</v>
      </c>
      <c r="G241" s="28" t="str">
        <f>IFERROR(__xludf.DUMMYFUNCTION("""COMPUTED_VALUE"""),"First Times a Charm Cider")</f>
        <v>First Times a Charm Cider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IFERROR(__xludf.DUMMYFUNCTION("""COMPUTED_VALUE"""),43552.0546559722)</f>
        <v>43552.05466</v>
      </c>
      <c r="D242" s="23">
        <f>IFERROR(__xludf.DUMMYFUNCTION("""COMPUTED_VALUE"""),1.024)</f>
        <v>1.024</v>
      </c>
      <c r="E242" s="24">
        <f>IFERROR(__xludf.DUMMYFUNCTION("""COMPUTED_VALUE"""),66.0)</f>
        <v>66</v>
      </c>
      <c r="F242" s="27" t="str">
        <f>IFERROR(__xludf.DUMMYFUNCTION("""COMPUTED_VALUE"""),"BLACK")</f>
        <v>BLACK</v>
      </c>
      <c r="G242" s="28" t="str">
        <f>IFERROR(__xludf.DUMMYFUNCTION("""COMPUTED_VALUE"""),"First Times a Charm Cider")</f>
        <v>First Times a Charm Cider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IFERROR(__xludf.DUMMYFUNCTION("""COMPUTED_VALUE"""),43552.0442350231)</f>
        <v>43552.04424</v>
      </c>
      <c r="D243" s="23">
        <f>IFERROR(__xludf.DUMMYFUNCTION("""COMPUTED_VALUE"""),1.024)</f>
        <v>1.024</v>
      </c>
      <c r="E243" s="24">
        <f>IFERROR(__xludf.DUMMYFUNCTION("""COMPUTED_VALUE"""),66.0)</f>
        <v>66</v>
      </c>
      <c r="F243" s="27" t="str">
        <f>IFERROR(__xludf.DUMMYFUNCTION("""COMPUTED_VALUE"""),"BLACK")</f>
        <v>BLACK</v>
      </c>
      <c r="G243" s="28" t="str">
        <f>IFERROR(__xludf.DUMMYFUNCTION("""COMPUTED_VALUE"""),"First Times a Charm Cider")</f>
        <v>First Times a Charm Cider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IFERROR(__xludf.DUMMYFUNCTION("""COMPUTED_VALUE"""),43552.0338125463)</f>
        <v>43552.03381</v>
      </c>
      <c r="D244" s="23">
        <f>IFERROR(__xludf.DUMMYFUNCTION("""COMPUTED_VALUE"""),1.024)</f>
        <v>1.024</v>
      </c>
      <c r="E244" s="24">
        <f>IFERROR(__xludf.DUMMYFUNCTION("""COMPUTED_VALUE"""),66.0)</f>
        <v>66</v>
      </c>
      <c r="F244" s="27" t="str">
        <f>IFERROR(__xludf.DUMMYFUNCTION("""COMPUTED_VALUE"""),"BLACK")</f>
        <v>BLACK</v>
      </c>
      <c r="G244" s="28" t="str">
        <f>IFERROR(__xludf.DUMMYFUNCTION("""COMPUTED_VALUE"""),"First Times a Charm Cider")</f>
        <v>First Times a Charm Cider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IFERROR(__xludf.DUMMYFUNCTION("""COMPUTED_VALUE"""),43552.0233792013)</f>
        <v>43552.02338</v>
      </c>
      <c r="D245" s="23">
        <f>IFERROR(__xludf.DUMMYFUNCTION("""COMPUTED_VALUE"""),1.024)</f>
        <v>1.024</v>
      </c>
      <c r="E245" s="24">
        <f>IFERROR(__xludf.DUMMYFUNCTION("""COMPUTED_VALUE"""),66.0)</f>
        <v>66</v>
      </c>
      <c r="F245" s="27" t="str">
        <f>IFERROR(__xludf.DUMMYFUNCTION("""COMPUTED_VALUE"""),"BLACK")</f>
        <v>BLACK</v>
      </c>
      <c r="G245" s="28" t="str">
        <f>IFERROR(__xludf.DUMMYFUNCTION("""COMPUTED_VALUE"""),"First Times a Charm Cider")</f>
        <v>First Times a Charm Cider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IFERROR(__xludf.DUMMYFUNCTION("""COMPUTED_VALUE"""),43552.0129572338)</f>
        <v>43552.01296</v>
      </c>
      <c r="D246" s="23">
        <f>IFERROR(__xludf.DUMMYFUNCTION("""COMPUTED_VALUE"""),1.024)</f>
        <v>1.024</v>
      </c>
      <c r="E246" s="24">
        <f>IFERROR(__xludf.DUMMYFUNCTION("""COMPUTED_VALUE"""),66.0)</f>
        <v>66</v>
      </c>
      <c r="F246" s="27" t="str">
        <f>IFERROR(__xludf.DUMMYFUNCTION("""COMPUTED_VALUE"""),"BLACK")</f>
        <v>BLACK</v>
      </c>
      <c r="G246" s="28" t="str">
        <f>IFERROR(__xludf.DUMMYFUNCTION("""COMPUTED_VALUE"""),"First Times a Charm Cider")</f>
        <v>First Times a Charm Cider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IFERROR(__xludf.DUMMYFUNCTION("""COMPUTED_VALUE"""),43552.0025249421)</f>
        <v>43552.00252</v>
      </c>
      <c r="D247" s="23">
        <f>IFERROR(__xludf.DUMMYFUNCTION("""COMPUTED_VALUE"""),1.024)</f>
        <v>1.024</v>
      </c>
      <c r="E247" s="24">
        <f>IFERROR(__xludf.DUMMYFUNCTION("""COMPUTED_VALUE"""),66.0)</f>
        <v>66</v>
      </c>
      <c r="F247" s="27" t="str">
        <f>IFERROR(__xludf.DUMMYFUNCTION("""COMPUTED_VALUE"""),"BLACK")</f>
        <v>BLACK</v>
      </c>
      <c r="G247" s="28" t="str">
        <f>IFERROR(__xludf.DUMMYFUNCTION("""COMPUTED_VALUE"""),"First Times a Charm Cider")</f>
        <v>First Times a Charm Cider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IFERROR(__xludf.DUMMYFUNCTION("""COMPUTED_VALUE"""),43551.9921028472)</f>
        <v>43551.9921</v>
      </c>
      <c r="D248" s="23">
        <f>IFERROR(__xludf.DUMMYFUNCTION("""COMPUTED_VALUE"""),1.024)</f>
        <v>1.024</v>
      </c>
      <c r="E248" s="24">
        <f>IFERROR(__xludf.DUMMYFUNCTION("""COMPUTED_VALUE"""),66.0)</f>
        <v>66</v>
      </c>
      <c r="F248" s="27" t="str">
        <f>IFERROR(__xludf.DUMMYFUNCTION("""COMPUTED_VALUE"""),"BLACK")</f>
        <v>BLACK</v>
      </c>
      <c r="G248" s="28" t="str">
        <f>IFERROR(__xludf.DUMMYFUNCTION("""COMPUTED_VALUE"""),"First Times a Charm Cider")</f>
        <v>First Times a Charm Cider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IFERROR(__xludf.DUMMYFUNCTION("""COMPUTED_VALUE"""),43551.9816819328)</f>
        <v>43551.98168</v>
      </c>
      <c r="D249" s="23">
        <f>IFERROR(__xludf.DUMMYFUNCTION("""COMPUTED_VALUE"""),1.024)</f>
        <v>1.024</v>
      </c>
      <c r="E249" s="24">
        <f>IFERROR(__xludf.DUMMYFUNCTION("""COMPUTED_VALUE"""),66.0)</f>
        <v>66</v>
      </c>
      <c r="F249" s="27" t="str">
        <f>IFERROR(__xludf.DUMMYFUNCTION("""COMPUTED_VALUE"""),"BLACK")</f>
        <v>BLACK</v>
      </c>
      <c r="G249" s="28" t="str">
        <f>IFERROR(__xludf.DUMMYFUNCTION("""COMPUTED_VALUE"""),"First Times a Charm Cider")</f>
        <v>First Times a Charm Cider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IFERROR(__xludf.DUMMYFUNCTION("""COMPUTED_VALUE"""),43551.9712620833)</f>
        <v>43551.97126</v>
      </c>
      <c r="D250" s="23">
        <f>IFERROR(__xludf.DUMMYFUNCTION("""COMPUTED_VALUE"""),1.024)</f>
        <v>1.024</v>
      </c>
      <c r="E250" s="24">
        <f>IFERROR(__xludf.DUMMYFUNCTION("""COMPUTED_VALUE"""),66.0)</f>
        <v>66</v>
      </c>
      <c r="F250" s="27" t="str">
        <f>IFERROR(__xludf.DUMMYFUNCTION("""COMPUTED_VALUE"""),"BLACK")</f>
        <v>BLACK</v>
      </c>
      <c r="G250" s="28" t="str">
        <f>IFERROR(__xludf.DUMMYFUNCTION("""COMPUTED_VALUE"""),"First Times a Charm Cider")</f>
        <v>First Times a Charm Cider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IFERROR(__xludf.DUMMYFUNCTION("""COMPUTED_VALUE"""),43551.9608411342)</f>
        <v>43551.96084</v>
      </c>
      <c r="D251" s="23">
        <f>IFERROR(__xludf.DUMMYFUNCTION("""COMPUTED_VALUE"""),1.024)</f>
        <v>1.024</v>
      </c>
      <c r="E251" s="24">
        <f>IFERROR(__xludf.DUMMYFUNCTION("""COMPUTED_VALUE"""),66.0)</f>
        <v>66</v>
      </c>
      <c r="F251" s="27" t="str">
        <f>IFERROR(__xludf.DUMMYFUNCTION("""COMPUTED_VALUE"""),"BLACK")</f>
        <v>BLACK</v>
      </c>
      <c r="G251" s="28" t="str">
        <f>IFERROR(__xludf.DUMMYFUNCTION("""COMPUTED_VALUE"""),"First Times a Charm Cider")</f>
        <v>First Times a Charm Cider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IFERROR(__xludf.DUMMYFUNCTION("""COMPUTED_VALUE"""),43551.950406655)</f>
        <v>43551.95041</v>
      </c>
      <c r="D252" s="23">
        <f>IFERROR(__xludf.DUMMYFUNCTION("""COMPUTED_VALUE"""),1.024)</f>
        <v>1.024</v>
      </c>
      <c r="E252" s="24">
        <f>IFERROR(__xludf.DUMMYFUNCTION("""COMPUTED_VALUE"""),66.0)</f>
        <v>66</v>
      </c>
      <c r="F252" s="27" t="str">
        <f>IFERROR(__xludf.DUMMYFUNCTION("""COMPUTED_VALUE"""),"BLACK")</f>
        <v>BLACK</v>
      </c>
      <c r="G252" s="28" t="str">
        <f>IFERROR(__xludf.DUMMYFUNCTION("""COMPUTED_VALUE"""),"First Times a Charm Cider")</f>
        <v>First Times a Charm Cider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IFERROR(__xludf.DUMMYFUNCTION("""COMPUTED_VALUE"""),43551.9399873148)</f>
        <v>43551.93999</v>
      </c>
      <c r="D253" s="23">
        <f>IFERROR(__xludf.DUMMYFUNCTION("""COMPUTED_VALUE"""),1.024)</f>
        <v>1.024</v>
      </c>
      <c r="E253" s="24">
        <f>IFERROR(__xludf.DUMMYFUNCTION("""COMPUTED_VALUE"""),66.0)</f>
        <v>66</v>
      </c>
      <c r="F253" s="27" t="str">
        <f>IFERROR(__xludf.DUMMYFUNCTION("""COMPUTED_VALUE"""),"BLACK")</f>
        <v>BLACK</v>
      </c>
      <c r="G253" s="28" t="str">
        <f>IFERROR(__xludf.DUMMYFUNCTION("""COMPUTED_VALUE"""),"First Times a Charm Cider")</f>
        <v>First Times a Charm Cider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IFERROR(__xludf.DUMMYFUNCTION("""COMPUTED_VALUE"""),43551.9295663657)</f>
        <v>43551.92957</v>
      </c>
      <c r="D254" s="23">
        <f>IFERROR(__xludf.DUMMYFUNCTION("""COMPUTED_VALUE"""),1.024)</f>
        <v>1.024</v>
      </c>
      <c r="E254" s="24">
        <f>IFERROR(__xludf.DUMMYFUNCTION("""COMPUTED_VALUE"""),66.0)</f>
        <v>66</v>
      </c>
      <c r="F254" s="27" t="str">
        <f>IFERROR(__xludf.DUMMYFUNCTION("""COMPUTED_VALUE"""),"BLACK")</f>
        <v>BLACK</v>
      </c>
      <c r="G254" s="28" t="str">
        <f>IFERROR(__xludf.DUMMYFUNCTION("""COMPUTED_VALUE"""),"First Times a Charm Cider")</f>
        <v>First Times a Charm Cider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IFERROR(__xludf.DUMMYFUNCTION("""COMPUTED_VALUE"""),43551.9191340277)</f>
        <v>43551.91913</v>
      </c>
      <c r="D255" s="23">
        <f>IFERROR(__xludf.DUMMYFUNCTION("""COMPUTED_VALUE"""),1.024)</f>
        <v>1.024</v>
      </c>
      <c r="E255" s="24">
        <f>IFERROR(__xludf.DUMMYFUNCTION("""COMPUTED_VALUE"""),66.0)</f>
        <v>66</v>
      </c>
      <c r="F255" s="27" t="str">
        <f>IFERROR(__xludf.DUMMYFUNCTION("""COMPUTED_VALUE"""),"BLACK")</f>
        <v>BLACK</v>
      </c>
      <c r="G255" s="28" t="str">
        <f>IFERROR(__xludf.DUMMYFUNCTION("""COMPUTED_VALUE"""),"First Times a Charm Cider")</f>
        <v>First Times a Charm Cider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IFERROR(__xludf.DUMMYFUNCTION("""COMPUTED_VALUE"""),43551.9087017592)</f>
        <v>43551.9087</v>
      </c>
      <c r="D256" s="23">
        <f>IFERROR(__xludf.DUMMYFUNCTION("""COMPUTED_VALUE"""),1.024)</f>
        <v>1.024</v>
      </c>
      <c r="E256" s="24">
        <f>IFERROR(__xludf.DUMMYFUNCTION("""COMPUTED_VALUE"""),66.0)</f>
        <v>66</v>
      </c>
      <c r="F256" s="27" t="str">
        <f>IFERROR(__xludf.DUMMYFUNCTION("""COMPUTED_VALUE"""),"BLACK")</f>
        <v>BLACK</v>
      </c>
      <c r="G256" s="28" t="str">
        <f>IFERROR(__xludf.DUMMYFUNCTION("""COMPUTED_VALUE"""),"First Times a Charm Cider")</f>
        <v>First Times a Charm Cider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IFERROR(__xludf.DUMMYFUNCTION("""COMPUTED_VALUE"""),43551.8982705902)</f>
        <v>43551.89827</v>
      </c>
      <c r="D257" s="23">
        <f>IFERROR(__xludf.DUMMYFUNCTION("""COMPUTED_VALUE"""),1.024)</f>
        <v>1.024</v>
      </c>
      <c r="E257" s="24">
        <f>IFERROR(__xludf.DUMMYFUNCTION("""COMPUTED_VALUE"""),66.0)</f>
        <v>66</v>
      </c>
      <c r="F257" s="27" t="str">
        <f>IFERROR(__xludf.DUMMYFUNCTION("""COMPUTED_VALUE"""),"BLACK")</f>
        <v>BLACK</v>
      </c>
      <c r="G257" s="28" t="str">
        <f>IFERROR(__xludf.DUMMYFUNCTION("""COMPUTED_VALUE"""),"First Times a Charm Cider")</f>
        <v>First Times a Charm Cider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IFERROR(__xludf.DUMMYFUNCTION("""COMPUTED_VALUE"""),43551.8878485648)</f>
        <v>43551.88785</v>
      </c>
      <c r="D258" s="23">
        <f>IFERROR(__xludf.DUMMYFUNCTION("""COMPUTED_VALUE"""),1.024)</f>
        <v>1.024</v>
      </c>
      <c r="E258" s="24">
        <f>IFERROR(__xludf.DUMMYFUNCTION("""COMPUTED_VALUE"""),66.0)</f>
        <v>66</v>
      </c>
      <c r="F258" s="27" t="str">
        <f>IFERROR(__xludf.DUMMYFUNCTION("""COMPUTED_VALUE"""),"BLACK")</f>
        <v>BLACK</v>
      </c>
      <c r="G258" s="28" t="str">
        <f>IFERROR(__xludf.DUMMYFUNCTION("""COMPUTED_VALUE"""),"First Times a Charm Cider")</f>
        <v>First Times a Charm Cider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IFERROR(__xludf.DUMMYFUNCTION("""COMPUTED_VALUE"""),43551.8774159027)</f>
        <v>43551.87742</v>
      </c>
      <c r="D259" s="23">
        <f>IFERROR(__xludf.DUMMYFUNCTION("""COMPUTED_VALUE"""),1.024)</f>
        <v>1.024</v>
      </c>
      <c r="E259" s="24">
        <f>IFERROR(__xludf.DUMMYFUNCTION("""COMPUTED_VALUE"""),66.0)</f>
        <v>66</v>
      </c>
      <c r="F259" s="27" t="str">
        <f>IFERROR(__xludf.DUMMYFUNCTION("""COMPUTED_VALUE"""),"BLACK")</f>
        <v>BLACK</v>
      </c>
      <c r="G259" s="28" t="str">
        <f>IFERROR(__xludf.DUMMYFUNCTION("""COMPUTED_VALUE"""),"First Times a Charm Cider")</f>
        <v>First Times a Charm Cider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IFERROR(__xludf.DUMMYFUNCTION("""COMPUTED_VALUE"""),43551.8669933796)</f>
        <v>43551.86699</v>
      </c>
      <c r="D260" s="23">
        <f>IFERROR(__xludf.DUMMYFUNCTION("""COMPUTED_VALUE"""),1.024)</f>
        <v>1.024</v>
      </c>
      <c r="E260" s="24">
        <f>IFERROR(__xludf.DUMMYFUNCTION("""COMPUTED_VALUE"""),66.0)</f>
        <v>66</v>
      </c>
      <c r="F260" s="27" t="str">
        <f>IFERROR(__xludf.DUMMYFUNCTION("""COMPUTED_VALUE"""),"BLACK")</f>
        <v>BLACK</v>
      </c>
      <c r="G260" s="28" t="str">
        <f>IFERROR(__xludf.DUMMYFUNCTION("""COMPUTED_VALUE"""),"First Times a Charm Cider")</f>
        <v>First Times a Charm Cider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IFERROR(__xludf.DUMMYFUNCTION("""COMPUTED_VALUE"""),43551.8565725578)</f>
        <v>43551.85657</v>
      </c>
      <c r="D261" s="23">
        <f>IFERROR(__xludf.DUMMYFUNCTION("""COMPUTED_VALUE"""),1.024)</f>
        <v>1.024</v>
      </c>
      <c r="E261" s="24">
        <f>IFERROR(__xludf.DUMMYFUNCTION("""COMPUTED_VALUE"""),66.0)</f>
        <v>66</v>
      </c>
      <c r="F261" s="27" t="str">
        <f>IFERROR(__xludf.DUMMYFUNCTION("""COMPUTED_VALUE"""),"BLACK")</f>
        <v>BLACK</v>
      </c>
      <c r="G261" s="28" t="str">
        <f>IFERROR(__xludf.DUMMYFUNCTION("""COMPUTED_VALUE"""),"First Times a Charm Cider")</f>
        <v>First Times a Charm Cider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IFERROR(__xludf.DUMMYFUNCTION("""COMPUTED_VALUE"""),43551.8461527083)</f>
        <v>43551.84615</v>
      </c>
      <c r="D262" s="23">
        <f>IFERROR(__xludf.DUMMYFUNCTION("""COMPUTED_VALUE"""),1.024)</f>
        <v>1.024</v>
      </c>
      <c r="E262" s="24">
        <f>IFERROR(__xludf.DUMMYFUNCTION("""COMPUTED_VALUE"""),66.0)</f>
        <v>66</v>
      </c>
      <c r="F262" s="27" t="str">
        <f>IFERROR(__xludf.DUMMYFUNCTION("""COMPUTED_VALUE"""),"BLACK")</f>
        <v>BLACK</v>
      </c>
      <c r="G262" s="28" t="str">
        <f>IFERROR(__xludf.DUMMYFUNCTION("""COMPUTED_VALUE"""),"First Times a Charm Cider")</f>
        <v>First Times a Charm Cider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IFERROR(__xludf.DUMMYFUNCTION("""COMPUTED_VALUE"""),43551.8357326851)</f>
        <v>43551.83573</v>
      </c>
      <c r="D263" s="23">
        <f>IFERROR(__xludf.DUMMYFUNCTION("""COMPUTED_VALUE"""),1.024)</f>
        <v>1.024</v>
      </c>
      <c r="E263" s="24">
        <f>IFERROR(__xludf.DUMMYFUNCTION("""COMPUTED_VALUE"""),66.0)</f>
        <v>66</v>
      </c>
      <c r="F263" s="27" t="str">
        <f>IFERROR(__xludf.DUMMYFUNCTION("""COMPUTED_VALUE"""),"BLACK")</f>
        <v>BLACK</v>
      </c>
      <c r="G263" s="28" t="str">
        <f>IFERROR(__xludf.DUMMYFUNCTION("""COMPUTED_VALUE"""),"First Times a Charm Cider")</f>
        <v>First Times a Charm Cider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IFERROR(__xludf.DUMMYFUNCTION("""COMPUTED_VALUE"""),43551.8252993518)</f>
        <v>43551.8253</v>
      </c>
      <c r="D264" s="23">
        <f>IFERROR(__xludf.DUMMYFUNCTION("""COMPUTED_VALUE"""),1.024)</f>
        <v>1.024</v>
      </c>
      <c r="E264" s="24">
        <f>IFERROR(__xludf.DUMMYFUNCTION("""COMPUTED_VALUE"""),66.0)</f>
        <v>66</v>
      </c>
      <c r="F264" s="27" t="str">
        <f>IFERROR(__xludf.DUMMYFUNCTION("""COMPUTED_VALUE"""),"BLACK")</f>
        <v>BLACK</v>
      </c>
      <c r="G264" s="28" t="str">
        <f>IFERROR(__xludf.DUMMYFUNCTION("""COMPUTED_VALUE"""),"First Times a Charm Cider")</f>
        <v>First Times a Charm Cider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IFERROR(__xludf.DUMMYFUNCTION("""COMPUTED_VALUE"""),43551.8148780902)</f>
        <v>43551.81488</v>
      </c>
      <c r="D265" s="23">
        <f>IFERROR(__xludf.DUMMYFUNCTION("""COMPUTED_VALUE"""),1.024)</f>
        <v>1.024</v>
      </c>
      <c r="E265" s="24">
        <f>IFERROR(__xludf.DUMMYFUNCTION("""COMPUTED_VALUE"""),66.0)</f>
        <v>66</v>
      </c>
      <c r="F265" s="27" t="str">
        <f>IFERROR(__xludf.DUMMYFUNCTION("""COMPUTED_VALUE"""),"BLACK")</f>
        <v>BLACK</v>
      </c>
      <c r="G265" s="28" t="str">
        <f>IFERROR(__xludf.DUMMYFUNCTION("""COMPUTED_VALUE"""),"First Times a Charm Cider")</f>
        <v>First Times a Charm Cider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IFERROR(__xludf.DUMMYFUNCTION("""COMPUTED_VALUE"""),43551.8044455092)</f>
        <v>43551.80445</v>
      </c>
      <c r="D266" s="23">
        <f>IFERROR(__xludf.DUMMYFUNCTION("""COMPUTED_VALUE"""),1.024)</f>
        <v>1.024</v>
      </c>
      <c r="E266" s="24">
        <f>IFERROR(__xludf.DUMMYFUNCTION("""COMPUTED_VALUE"""),66.0)</f>
        <v>66</v>
      </c>
      <c r="F266" s="27" t="str">
        <f>IFERROR(__xludf.DUMMYFUNCTION("""COMPUTED_VALUE"""),"BLACK")</f>
        <v>BLACK</v>
      </c>
      <c r="G266" s="28" t="str">
        <f>IFERROR(__xludf.DUMMYFUNCTION("""COMPUTED_VALUE"""),"First Times a Charm Cider")</f>
        <v>First Times a Charm Cider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IFERROR(__xludf.DUMMYFUNCTION("""COMPUTED_VALUE"""),43551.7940259953)</f>
        <v>43551.79403</v>
      </c>
      <c r="D267" s="23">
        <f>IFERROR(__xludf.DUMMYFUNCTION("""COMPUTED_VALUE"""),1.024)</f>
        <v>1.024</v>
      </c>
      <c r="E267" s="24">
        <f>IFERROR(__xludf.DUMMYFUNCTION("""COMPUTED_VALUE"""),66.0)</f>
        <v>66</v>
      </c>
      <c r="F267" s="27" t="str">
        <f>IFERROR(__xludf.DUMMYFUNCTION("""COMPUTED_VALUE"""),"BLACK")</f>
        <v>BLACK</v>
      </c>
      <c r="G267" s="28" t="str">
        <f>IFERROR(__xludf.DUMMYFUNCTION("""COMPUTED_VALUE"""),"First Times a Charm Cider")</f>
        <v>First Times a Charm Cider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IFERROR(__xludf.DUMMYFUNCTION("""COMPUTED_VALUE"""),43551.7835340162)</f>
        <v>43551.78353</v>
      </c>
      <c r="D268" s="23">
        <f>IFERROR(__xludf.DUMMYFUNCTION("""COMPUTED_VALUE"""),1.024)</f>
        <v>1.024</v>
      </c>
      <c r="E268" s="24">
        <f>IFERROR(__xludf.DUMMYFUNCTION("""COMPUTED_VALUE"""),66.0)</f>
        <v>66</v>
      </c>
      <c r="F268" s="27" t="str">
        <f>IFERROR(__xludf.DUMMYFUNCTION("""COMPUTED_VALUE"""),"BLACK")</f>
        <v>BLACK</v>
      </c>
      <c r="G268" s="28" t="str">
        <f>IFERROR(__xludf.DUMMYFUNCTION("""COMPUTED_VALUE"""),"First Times a Charm Cider")</f>
        <v>First Times a Charm Cider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IFERROR(__xludf.DUMMYFUNCTION("""COMPUTED_VALUE"""),43551.7731125578)</f>
        <v>43551.77311</v>
      </c>
      <c r="D269" s="23">
        <f>IFERROR(__xludf.DUMMYFUNCTION("""COMPUTED_VALUE"""),1.024)</f>
        <v>1.024</v>
      </c>
      <c r="E269" s="24">
        <f>IFERROR(__xludf.DUMMYFUNCTION("""COMPUTED_VALUE"""),66.0)</f>
        <v>66</v>
      </c>
      <c r="F269" s="27" t="str">
        <f>IFERROR(__xludf.DUMMYFUNCTION("""COMPUTED_VALUE"""),"BLACK")</f>
        <v>BLACK</v>
      </c>
      <c r="G269" s="28" t="str">
        <f>IFERROR(__xludf.DUMMYFUNCTION("""COMPUTED_VALUE"""),"First Times a Charm Cider")</f>
        <v>First Times a Charm Cider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IFERROR(__xludf.DUMMYFUNCTION("""COMPUTED_VALUE"""),43551.762692118)</f>
        <v>43551.76269</v>
      </c>
      <c r="D270" s="23">
        <f>IFERROR(__xludf.DUMMYFUNCTION("""COMPUTED_VALUE"""),1.024)</f>
        <v>1.024</v>
      </c>
      <c r="E270" s="24">
        <f>IFERROR(__xludf.DUMMYFUNCTION("""COMPUTED_VALUE"""),66.0)</f>
        <v>66</v>
      </c>
      <c r="F270" s="27" t="str">
        <f>IFERROR(__xludf.DUMMYFUNCTION("""COMPUTED_VALUE"""),"BLACK")</f>
        <v>BLACK</v>
      </c>
      <c r="G270" s="28" t="str">
        <f>IFERROR(__xludf.DUMMYFUNCTION("""COMPUTED_VALUE"""),"First Times a Charm Cider")</f>
        <v>First Times a Charm Cider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IFERROR(__xludf.DUMMYFUNCTION("""COMPUTED_VALUE"""),43551.7522590277)</f>
        <v>43551.75226</v>
      </c>
      <c r="D271" s="23">
        <f>IFERROR(__xludf.DUMMYFUNCTION("""COMPUTED_VALUE"""),1.024)</f>
        <v>1.024</v>
      </c>
      <c r="E271" s="24">
        <f>IFERROR(__xludf.DUMMYFUNCTION("""COMPUTED_VALUE"""),66.0)</f>
        <v>66</v>
      </c>
      <c r="F271" s="27" t="str">
        <f>IFERROR(__xludf.DUMMYFUNCTION("""COMPUTED_VALUE"""),"BLACK")</f>
        <v>BLACK</v>
      </c>
      <c r="G271" s="28" t="str">
        <f>IFERROR(__xludf.DUMMYFUNCTION("""COMPUTED_VALUE"""),"First Times a Charm Cider")</f>
        <v>First Times a Charm Cider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IFERROR(__xludf.DUMMYFUNCTION("""COMPUTED_VALUE"""),43551.7418387963)</f>
        <v>43551.74184</v>
      </c>
      <c r="D272" s="23">
        <f>IFERROR(__xludf.DUMMYFUNCTION("""COMPUTED_VALUE"""),1.024)</f>
        <v>1.024</v>
      </c>
      <c r="E272" s="24">
        <f>IFERROR(__xludf.DUMMYFUNCTION("""COMPUTED_VALUE"""),66.0)</f>
        <v>66</v>
      </c>
      <c r="F272" s="27" t="str">
        <f>IFERROR(__xludf.DUMMYFUNCTION("""COMPUTED_VALUE"""),"BLACK")</f>
        <v>BLACK</v>
      </c>
      <c r="G272" s="28" t="str">
        <f>IFERROR(__xludf.DUMMYFUNCTION("""COMPUTED_VALUE"""),"First Times a Charm Cider")</f>
        <v>First Times a Charm Cider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IFERROR(__xludf.DUMMYFUNCTION("""COMPUTED_VALUE"""),43551.7314173958)</f>
        <v>43551.73142</v>
      </c>
      <c r="D273" s="23">
        <f>IFERROR(__xludf.DUMMYFUNCTION("""COMPUTED_VALUE"""),1.024)</f>
        <v>1.024</v>
      </c>
      <c r="E273" s="24">
        <f>IFERROR(__xludf.DUMMYFUNCTION("""COMPUTED_VALUE"""),66.0)</f>
        <v>66</v>
      </c>
      <c r="F273" s="27" t="str">
        <f>IFERROR(__xludf.DUMMYFUNCTION("""COMPUTED_VALUE"""),"BLACK")</f>
        <v>BLACK</v>
      </c>
      <c r="G273" s="28" t="str">
        <f>IFERROR(__xludf.DUMMYFUNCTION("""COMPUTED_VALUE"""),"First Times a Charm Cider")</f>
        <v>First Times a Charm Cider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IFERROR(__xludf.DUMMYFUNCTION("""COMPUTED_VALUE"""),43551.7209738425)</f>
        <v>43551.72097</v>
      </c>
      <c r="D274" s="23">
        <f>IFERROR(__xludf.DUMMYFUNCTION("""COMPUTED_VALUE"""),1.024)</f>
        <v>1.024</v>
      </c>
      <c r="E274" s="24">
        <f>IFERROR(__xludf.DUMMYFUNCTION("""COMPUTED_VALUE"""),66.0)</f>
        <v>66</v>
      </c>
      <c r="F274" s="27" t="str">
        <f>IFERROR(__xludf.DUMMYFUNCTION("""COMPUTED_VALUE"""),"BLACK")</f>
        <v>BLACK</v>
      </c>
      <c r="G274" s="28" t="str">
        <f>IFERROR(__xludf.DUMMYFUNCTION("""COMPUTED_VALUE"""),"First Times a Charm Cider")</f>
        <v>First Times a Charm Cider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IFERROR(__xludf.DUMMYFUNCTION("""COMPUTED_VALUE"""),43551.7104939583)</f>
        <v>43551.71049</v>
      </c>
      <c r="D275" s="23">
        <f>IFERROR(__xludf.DUMMYFUNCTION("""COMPUTED_VALUE"""),1.024)</f>
        <v>1.024</v>
      </c>
      <c r="E275" s="24">
        <f>IFERROR(__xludf.DUMMYFUNCTION("""COMPUTED_VALUE"""),66.0)</f>
        <v>66</v>
      </c>
      <c r="F275" s="27" t="str">
        <f>IFERROR(__xludf.DUMMYFUNCTION("""COMPUTED_VALUE"""),"BLACK")</f>
        <v>BLACK</v>
      </c>
      <c r="G275" s="28" t="str">
        <f>IFERROR(__xludf.DUMMYFUNCTION("""COMPUTED_VALUE"""),"First Times a Charm Cider")</f>
        <v>First Times a Charm Cider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IFERROR(__xludf.DUMMYFUNCTION("""COMPUTED_VALUE"""),43551.7000734027)</f>
        <v>43551.70007</v>
      </c>
      <c r="D276" s="23">
        <f>IFERROR(__xludf.DUMMYFUNCTION("""COMPUTED_VALUE"""),1.024)</f>
        <v>1.024</v>
      </c>
      <c r="E276" s="24">
        <f>IFERROR(__xludf.DUMMYFUNCTION("""COMPUTED_VALUE"""),66.0)</f>
        <v>66</v>
      </c>
      <c r="F276" s="27" t="str">
        <f>IFERROR(__xludf.DUMMYFUNCTION("""COMPUTED_VALUE"""),"BLACK")</f>
        <v>BLACK</v>
      </c>
      <c r="G276" s="28" t="str">
        <f>IFERROR(__xludf.DUMMYFUNCTION("""COMPUTED_VALUE"""),"First Times a Charm Cider")</f>
        <v>First Times a Charm Cider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IFERROR(__xludf.DUMMYFUNCTION("""COMPUTED_VALUE"""),43551.6896518402)</f>
        <v>43551.68965</v>
      </c>
      <c r="D277" s="23">
        <f>IFERROR(__xludf.DUMMYFUNCTION("""COMPUTED_VALUE"""),1.024)</f>
        <v>1.024</v>
      </c>
      <c r="E277" s="24">
        <f>IFERROR(__xludf.DUMMYFUNCTION("""COMPUTED_VALUE"""),66.0)</f>
        <v>66</v>
      </c>
      <c r="F277" s="27" t="str">
        <f>IFERROR(__xludf.DUMMYFUNCTION("""COMPUTED_VALUE"""),"BLACK")</f>
        <v>BLACK</v>
      </c>
      <c r="G277" s="28" t="str">
        <f>IFERROR(__xludf.DUMMYFUNCTION("""COMPUTED_VALUE"""),"First Times a Charm Cider")</f>
        <v>First Times a Charm Cider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IFERROR(__xludf.DUMMYFUNCTION("""COMPUTED_VALUE"""),43551.6792316087)</f>
        <v>43551.67923</v>
      </c>
      <c r="D278" s="23">
        <f>IFERROR(__xludf.DUMMYFUNCTION("""COMPUTED_VALUE"""),1.024)</f>
        <v>1.024</v>
      </c>
      <c r="E278" s="24">
        <f>IFERROR(__xludf.DUMMYFUNCTION("""COMPUTED_VALUE"""),66.0)</f>
        <v>66</v>
      </c>
      <c r="F278" s="27" t="str">
        <f>IFERROR(__xludf.DUMMYFUNCTION("""COMPUTED_VALUE"""),"BLACK")</f>
        <v>BLACK</v>
      </c>
      <c r="G278" s="28" t="str">
        <f>IFERROR(__xludf.DUMMYFUNCTION("""COMPUTED_VALUE"""),"First Times a Charm Cider")</f>
        <v>First Times a Charm Cider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IFERROR(__xludf.DUMMYFUNCTION("""COMPUTED_VALUE"""),43551.6688107754)</f>
        <v>43551.66881</v>
      </c>
      <c r="D279" s="23">
        <f>IFERROR(__xludf.DUMMYFUNCTION("""COMPUTED_VALUE"""),1.024)</f>
        <v>1.024</v>
      </c>
      <c r="E279" s="24">
        <f>IFERROR(__xludf.DUMMYFUNCTION("""COMPUTED_VALUE"""),66.0)</f>
        <v>66</v>
      </c>
      <c r="F279" s="27" t="str">
        <f>IFERROR(__xludf.DUMMYFUNCTION("""COMPUTED_VALUE"""),"BLACK")</f>
        <v>BLACK</v>
      </c>
      <c r="G279" s="28" t="str">
        <f>IFERROR(__xludf.DUMMYFUNCTION("""COMPUTED_VALUE"""),"First Times a Charm Cider")</f>
        <v>First Times a Charm Cider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IFERROR(__xludf.DUMMYFUNCTION("""COMPUTED_VALUE"""),43551.6583782291)</f>
        <v>43551.65838</v>
      </c>
      <c r="D280" s="23">
        <f>IFERROR(__xludf.DUMMYFUNCTION("""COMPUTED_VALUE"""),1.024)</f>
        <v>1.024</v>
      </c>
      <c r="E280" s="24">
        <f>IFERROR(__xludf.DUMMYFUNCTION("""COMPUTED_VALUE"""),66.0)</f>
        <v>66</v>
      </c>
      <c r="F280" s="27" t="str">
        <f>IFERROR(__xludf.DUMMYFUNCTION("""COMPUTED_VALUE"""),"BLACK")</f>
        <v>BLACK</v>
      </c>
      <c r="G280" s="28" t="str">
        <f>IFERROR(__xludf.DUMMYFUNCTION("""COMPUTED_VALUE"""),"First Times a Charm Cider")</f>
        <v>First Times a Charm Cider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IFERROR(__xludf.DUMMYFUNCTION("""COMPUTED_VALUE"""),43551.6479574305)</f>
        <v>43551.64796</v>
      </c>
      <c r="D281" s="23">
        <f>IFERROR(__xludf.DUMMYFUNCTION("""COMPUTED_VALUE"""),1.024)</f>
        <v>1.024</v>
      </c>
      <c r="E281" s="24">
        <f>IFERROR(__xludf.DUMMYFUNCTION("""COMPUTED_VALUE"""),66.0)</f>
        <v>66</v>
      </c>
      <c r="F281" s="27" t="str">
        <f>IFERROR(__xludf.DUMMYFUNCTION("""COMPUTED_VALUE"""),"BLACK")</f>
        <v>BLACK</v>
      </c>
      <c r="G281" s="28" t="str">
        <f>IFERROR(__xludf.DUMMYFUNCTION("""COMPUTED_VALUE"""),"First Times a Charm Cider")</f>
        <v>First Times a Charm Cider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IFERROR(__xludf.DUMMYFUNCTION("""COMPUTED_VALUE"""),43551.6375246064)</f>
        <v>43551.63752</v>
      </c>
      <c r="D282" s="23">
        <f>IFERROR(__xludf.DUMMYFUNCTION("""COMPUTED_VALUE"""),1.024)</f>
        <v>1.024</v>
      </c>
      <c r="E282" s="24">
        <f>IFERROR(__xludf.DUMMYFUNCTION("""COMPUTED_VALUE"""),66.0)</f>
        <v>66</v>
      </c>
      <c r="F282" s="27" t="str">
        <f>IFERROR(__xludf.DUMMYFUNCTION("""COMPUTED_VALUE"""),"BLACK")</f>
        <v>BLACK</v>
      </c>
      <c r="G282" s="28" t="str">
        <f>IFERROR(__xludf.DUMMYFUNCTION("""COMPUTED_VALUE"""),"First Times a Charm Cider")</f>
        <v>First Times a Charm Cider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IFERROR(__xludf.DUMMYFUNCTION("""COMPUTED_VALUE"""),43551.6270807986)</f>
        <v>43551.62708</v>
      </c>
      <c r="D283" s="23">
        <f>IFERROR(__xludf.DUMMYFUNCTION("""COMPUTED_VALUE"""),1.024)</f>
        <v>1.024</v>
      </c>
      <c r="E283" s="24">
        <f>IFERROR(__xludf.DUMMYFUNCTION("""COMPUTED_VALUE"""),66.0)</f>
        <v>66</v>
      </c>
      <c r="F283" s="27" t="str">
        <f>IFERROR(__xludf.DUMMYFUNCTION("""COMPUTED_VALUE"""),"BLACK")</f>
        <v>BLACK</v>
      </c>
      <c r="G283" s="28" t="str">
        <f>IFERROR(__xludf.DUMMYFUNCTION("""COMPUTED_VALUE"""),"First Times a Charm Cider")</f>
        <v>First Times a Charm Cider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IFERROR(__xludf.DUMMYFUNCTION("""COMPUTED_VALUE"""),43551.6166582754)</f>
        <v>43551.61666</v>
      </c>
      <c r="D284" s="23">
        <f>IFERROR(__xludf.DUMMYFUNCTION("""COMPUTED_VALUE"""),1.024)</f>
        <v>1.024</v>
      </c>
      <c r="E284" s="24">
        <f>IFERROR(__xludf.DUMMYFUNCTION("""COMPUTED_VALUE"""),66.0)</f>
        <v>66</v>
      </c>
      <c r="F284" s="27" t="str">
        <f>IFERROR(__xludf.DUMMYFUNCTION("""COMPUTED_VALUE"""),"BLACK")</f>
        <v>BLACK</v>
      </c>
      <c r="G284" s="28" t="str">
        <f>IFERROR(__xludf.DUMMYFUNCTION("""COMPUTED_VALUE"""),"First Times a Charm Cider")</f>
        <v>First Times a Charm Cider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IFERROR(__xludf.DUMMYFUNCTION("""COMPUTED_VALUE"""),43551.6062267129)</f>
        <v>43551.60623</v>
      </c>
      <c r="D285" s="23">
        <f>IFERROR(__xludf.DUMMYFUNCTION("""COMPUTED_VALUE"""),1.024)</f>
        <v>1.024</v>
      </c>
      <c r="E285" s="24">
        <f>IFERROR(__xludf.DUMMYFUNCTION("""COMPUTED_VALUE"""),66.0)</f>
        <v>66</v>
      </c>
      <c r="F285" s="27" t="str">
        <f>IFERROR(__xludf.DUMMYFUNCTION("""COMPUTED_VALUE"""),"BLACK")</f>
        <v>BLACK</v>
      </c>
      <c r="G285" s="28" t="str">
        <f>IFERROR(__xludf.DUMMYFUNCTION("""COMPUTED_VALUE"""),"First Times a Charm Cider")</f>
        <v>First Times a Charm Cider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IFERROR(__xludf.DUMMYFUNCTION("""COMPUTED_VALUE"""),43551.5958049768)</f>
        <v>43551.5958</v>
      </c>
      <c r="D286" s="23">
        <f>IFERROR(__xludf.DUMMYFUNCTION("""COMPUTED_VALUE"""),1.025)</f>
        <v>1.025</v>
      </c>
      <c r="E286" s="24">
        <f>IFERROR(__xludf.DUMMYFUNCTION("""COMPUTED_VALUE"""),66.0)</f>
        <v>66</v>
      </c>
      <c r="F286" s="27" t="str">
        <f>IFERROR(__xludf.DUMMYFUNCTION("""COMPUTED_VALUE"""),"BLACK")</f>
        <v>BLACK</v>
      </c>
      <c r="G286" s="28" t="str">
        <f>IFERROR(__xludf.DUMMYFUNCTION("""COMPUTED_VALUE"""),"First Times a Charm Cider")</f>
        <v>First Times a Charm Cider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IFERROR(__xludf.DUMMYFUNCTION("""COMPUTED_VALUE"""),43551.5853820138)</f>
        <v>43551.58538</v>
      </c>
      <c r="D287" s="23">
        <f>IFERROR(__xludf.DUMMYFUNCTION("""COMPUTED_VALUE"""),1.024)</f>
        <v>1.024</v>
      </c>
      <c r="E287" s="24">
        <f>IFERROR(__xludf.DUMMYFUNCTION("""COMPUTED_VALUE"""),66.0)</f>
        <v>66</v>
      </c>
      <c r="F287" s="27" t="str">
        <f>IFERROR(__xludf.DUMMYFUNCTION("""COMPUTED_VALUE"""),"BLACK")</f>
        <v>BLACK</v>
      </c>
      <c r="G287" s="28" t="str">
        <f>IFERROR(__xludf.DUMMYFUNCTION("""COMPUTED_VALUE"""),"First Times a Charm Cider")</f>
        <v>First Times a Charm Cider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IFERROR(__xludf.DUMMYFUNCTION("""COMPUTED_VALUE"""),43551.5749613194)</f>
        <v>43551.57496</v>
      </c>
      <c r="D288" s="23">
        <f>IFERROR(__xludf.DUMMYFUNCTION("""COMPUTED_VALUE"""),1.025)</f>
        <v>1.025</v>
      </c>
      <c r="E288" s="24">
        <f>IFERROR(__xludf.DUMMYFUNCTION("""COMPUTED_VALUE"""),66.0)</f>
        <v>66</v>
      </c>
      <c r="F288" s="27" t="str">
        <f>IFERROR(__xludf.DUMMYFUNCTION("""COMPUTED_VALUE"""),"BLACK")</f>
        <v>BLACK</v>
      </c>
      <c r="G288" s="28" t="str">
        <f>IFERROR(__xludf.DUMMYFUNCTION("""COMPUTED_VALUE"""),"First Times a Charm Cider")</f>
        <v>First Times a Charm Cider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IFERROR(__xludf.DUMMYFUNCTION("""COMPUTED_VALUE"""),43551.5645403703)</f>
        <v>43551.56454</v>
      </c>
      <c r="D289" s="23">
        <f>IFERROR(__xludf.DUMMYFUNCTION("""COMPUTED_VALUE"""),1.024)</f>
        <v>1.024</v>
      </c>
      <c r="E289" s="24">
        <f>IFERROR(__xludf.DUMMYFUNCTION("""COMPUTED_VALUE"""),66.0)</f>
        <v>66</v>
      </c>
      <c r="F289" s="27" t="str">
        <f>IFERROR(__xludf.DUMMYFUNCTION("""COMPUTED_VALUE"""),"BLACK")</f>
        <v>BLACK</v>
      </c>
      <c r="G289" s="28" t="str">
        <f>IFERROR(__xludf.DUMMYFUNCTION("""COMPUTED_VALUE"""),"First Times a Charm Cider")</f>
        <v>First Times a Charm Cider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IFERROR(__xludf.DUMMYFUNCTION("""COMPUTED_VALUE"""),43551.5541068287)</f>
        <v>43551.55411</v>
      </c>
      <c r="D290" s="23">
        <f>IFERROR(__xludf.DUMMYFUNCTION("""COMPUTED_VALUE"""),1.024)</f>
        <v>1.024</v>
      </c>
      <c r="E290" s="24">
        <f>IFERROR(__xludf.DUMMYFUNCTION("""COMPUTED_VALUE"""),66.0)</f>
        <v>66</v>
      </c>
      <c r="F290" s="27" t="str">
        <f>IFERROR(__xludf.DUMMYFUNCTION("""COMPUTED_VALUE"""),"BLACK")</f>
        <v>BLACK</v>
      </c>
      <c r="G290" s="28" t="str">
        <f>IFERROR(__xludf.DUMMYFUNCTION("""COMPUTED_VALUE"""),"First Times a Charm Cider")</f>
        <v>First Times a Charm Cider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IFERROR(__xludf.DUMMYFUNCTION("""COMPUTED_VALUE"""),43551.54368375)</f>
        <v>43551.54368</v>
      </c>
      <c r="D291" s="23">
        <f>IFERROR(__xludf.DUMMYFUNCTION("""COMPUTED_VALUE"""),1.024)</f>
        <v>1.024</v>
      </c>
      <c r="E291" s="24">
        <f>IFERROR(__xludf.DUMMYFUNCTION("""COMPUTED_VALUE"""),66.0)</f>
        <v>66</v>
      </c>
      <c r="F291" s="27" t="str">
        <f>IFERROR(__xludf.DUMMYFUNCTION("""COMPUTED_VALUE"""),"BLACK")</f>
        <v>BLACK</v>
      </c>
      <c r="G291" s="28" t="str">
        <f>IFERROR(__xludf.DUMMYFUNCTION("""COMPUTED_VALUE"""),"First Times a Charm Cider")</f>
        <v>First Times a Charm Cider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IFERROR(__xludf.DUMMYFUNCTION("""COMPUTED_VALUE"""),43551.5332508449)</f>
        <v>43551.53325</v>
      </c>
      <c r="D292" s="23">
        <f>IFERROR(__xludf.DUMMYFUNCTION("""COMPUTED_VALUE"""),1.024)</f>
        <v>1.024</v>
      </c>
      <c r="E292" s="24">
        <f>IFERROR(__xludf.DUMMYFUNCTION("""COMPUTED_VALUE"""),66.0)</f>
        <v>66</v>
      </c>
      <c r="F292" s="27" t="str">
        <f>IFERROR(__xludf.DUMMYFUNCTION("""COMPUTED_VALUE"""),"BLACK")</f>
        <v>BLACK</v>
      </c>
      <c r="G292" s="28" t="str">
        <f>IFERROR(__xludf.DUMMYFUNCTION("""COMPUTED_VALUE"""),"First Times a Charm Cider")</f>
        <v>First Times a Charm Cider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IFERROR(__xludf.DUMMYFUNCTION("""COMPUTED_VALUE"""),43551.5228170254)</f>
        <v>43551.52282</v>
      </c>
      <c r="D293" s="23">
        <f>IFERROR(__xludf.DUMMYFUNCTION("""COMPUTED_VALUE"""),1.025)</f>
        <v>1.025</v>
      </c>
      <c r="E293" s="24">
        <f>IFERROR(__xludf.DUMMYFUNCTION("""COMPUTED_VALUE"""),66.0)</f>
        <v>66</v>
      </c>
      <c r="F293" s="27" t="str">
        <f>IFERROR(__xludf.DUMMYFUNCTION("""COMPUTED_VALUE"""),"BLACK")</f>
        <v>BLACK</v>
      </c>
      <c r="G293" s="28" t="str">
        <f>IFERROR(__xludf.DUMMYFUNCTION("""COMPUTED_VALUE"""),"First Times a Charm Cider")</f>
        <v>First Times a Charm Cider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IFERROR(__xludf.DUMMYFUNCTION("""COMPUTED_VALUE"""),43551.512395081)</f>
        <v>43551.5124</v>
      </c>
      <c r="D294" s="23">
        <f>IFERROR(__xludf.DUMMYFUNCTION("""COMPUTED_VALUE"""),1.025)</f>
        <v>1.025</v>
      </c>
      <c r="E294" s="24">
        <f>IFERROR(__xludf.DUMMYFUNCTION("""COMPUTED_VALUE"""),66.0)</f>
        <v>66</v>
      </c>
      <c r="F294" s="27" t="str">
        <f>IFERROR(__xludf.DUMMYFUNCTION("""COMPUTED_VALUE"""),"BLACK")</f>
        <v>BLACK</v>
      </c>
      <c r="G294" s="28" t="str">
        <f>IFERROR(__xludf.DUMMYFUNCTION("""COMPUTED_VALUE"""),"First Times a Charm Cider")</f>
        <v>First Times a Charm Cider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IFERROR(__xludf.DUMMYFUNCTION("""COMPUTED_VALUE"""),43551.5019727199)</f>
        <v>43551.50197</v>
      </c>
      <c r="D295" s="23">
        <f>IFERROR(__xludf.DUMMYFUNCTION("""COMPUTED_VALUE"""),1.024)</f>
        <v>1.024</v>
      </c>
      <c r="E295" s="24">
        <f>IFERROR(__xludf.DUMMYFUNCTION("""COMPUTED_VALUE"""),66.0)</f>
        <v>66</v>
      </c>
      <c r="F295" s="27" t="str">
        <f>IFERROR(__xludf.DUMMYFUNCTION("""COMPUTED_VALUE"""),"BLACK")</f>
        <v>BLACK</v>
      </c>
      <c r="G295" s="28" t="str">
        <f>IFERROR(__xludf.DUMMYFUNCTION("""COMPUTED_VALUE"""),"First Times a Charm Cider")</f>
        <v>First Times a Charm Cider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IFERROR(__xludf.DUMMYFUNCTION("""COMPUTED_VALUE"""),43551.4915378588)</f>
        <v>43551.49154</v>
      </c>
      <c r="D296" s="23">
        <f>IFERROR(__xludf.DUMMYFUNCTION("""COMPUTED_VALUE"""),1.025)</f>
        <v>1.025</v>
      </c>
      <c r="E296" s="24">
        <f>IFERROR(__xludf.DUMMYFUNCTION("""COMPUTED_VALUE"""),66.0)</f>
        <v>66</v>
      </c>
      <c r="F296" s="27" t="str">
        <f>IFERROR(__xludf.DUMMYFUNCTION("""COMPUTED_VALUE"""),"BLACK")</f>
        <v>BLACK</v>
      </c>
      <c r="G296" s="28" t="str">
        <f>IFERROR(__xludf.DUMMYFUNCTION("""COMPUTED_VALUE"""),"First Times a Charm Cider")</f>
        <v>First Times a Charm Cider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IFERROR(__xludf.DUMMYFUNCTION("""COMPUTED_VALUE"""),43551.4811173726)</f>
        <v>43551.48112</v>
      </c>
      <c r="D297" s="23">
        <f>IFERROR(__xludf.DUMMYFUNCTION("""COMPUTED_VALUE"""),1.024)</f>
        <v>1.024</v>
      </c>
      <c r="E297" s="24">
        <f>IFERROR(__xludf.DUMMYFUNCTION("""COMPUTED_VALUE"""),66.0)</f>
        <v>66</v>
      </c>
      <c r="F297" s="27" t="str">
        <f>IFERROR(__xludf.DUMMYFUNCTION("""COMPUTED_VALUE"""),"BLACK")</f>
        <v>BLACK</v>
      </c>
      <c r="G297" s="28" t="str">
        <f>IFERROR(__xludf.DUMMYFUNCTION("""COMPUTED_VALUE"""),"First Times a Charm Cider")</f>
        <v>First Times a Charm Cider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IFERROR(__xludf.DUMMYFUNCTION("""COMPUTED_VALUE"""),43551.470695162)</f>
        <v>43551.4707</v>
      </c>
      <c r="D298" s="23">
        <f>IFERROR(__xludf.DUMMYFUNCTION("""COMPUTED_VALUE"""),1.025)</f>
        <v>1.025</v>
      </c>
      <c r="E298" s="24">
        <f>IFERROR(__xludf.DUMMYFUNCTION("""COMPUTED_VALUE"""),66.0)</f>
        <v>66</v>
      </c>
      <c r="F298" s="27" t="str">
        <f>IFERROR(__xludf.DUMMYFUNCTION("""COMPUTED_VALUE"""),"BLACK")</f>
        <v>BLACK</v>
      </c>
      <c r="G298" s="28" t="str">
        <f>IFERROR(__xludf.DUMMYFUNCTION("""COMPUTED_VALUE"""),"First Times a Charm Cider")</f>
        <v>First Times a Charm Cider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IFERROR(__xludf.DUMMYFUNCTION("""COMPUTED_VALUE"""),43551.4602735648)</f>
        <v>43551.46027</v>
      </c>
      <c r="D299" s="23">
        <f>IFERROR(__xludf.DUMMYFUNCTION("""COMPUTED_VALUE"""),1.025)</f>
        <v>1.025</v>
      </c>
      <c r="E299" s="24">
        <f>IFERROR(__xludf.DUMMYFUNCTION("""COMPUTED_VALUE"""),66.0)</f>
        <v>66</v>
      </c>
      <c r="F299" s="27" t="str">
        <f>IFERROR(__xludf.DUMMYFUNCTION("""COMPUTED_VALUE"""),"BLACK")</f>
        <v>BLACK</v>
      </c>
      <c r="G299" s="28" t="str">
        <f>IFERROR(__xludf.DUMMYFUNCTION("""COMPUTED_VALUE"""),"First Times a Charm Cider")</f>
        <v>First Times a Charm Cider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IFERROR(__xludf.DUMMYFUNCTION("""COMPUTED_VALUE"""),43551.4498532986)</f>
        <v>43551.44985</v>
      </c>
      <c r="D300" s="23">
        <f>IFERROR(__xludf.DUMMYFUNCTION("""COMPUTED_VALUE"""),1.024)</f>
        <v>1.024</v>
      </c>
      <c r="E300" s="24">
        <f>IFERROR(__xludf.DUMMYFUNCTION("""COMPUTED_VALUE"""),66.0)</f>
        <v>66</v>
      </c>
      <c r="F300" s="27" t="str">
        <f>IFERROR(__xludf.DUMMYFUNCTION("""COMPUTED_VALUE"""),"BLACK")</f>
        <v>BLACK</v>
      </c>
      <c r="G300" s="28" t="str">
        <f>IFERROR(__xludf.DUMMYFUNCTION("""COMPUTED_VALUE"""),"First Times a Charm Cider")</f>
        <v>First Times a Charm Cider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IFERROR(__xludf.DUMMYFUNCTION("""COMPUTED_VALUE"""),43551.4394193981)</f>
        <v>43551.43942</v>
      </c>
      <c r="D301" s="23">
        <f>IFERROR(__xludf.DUMMYFUNCTION("""COMPUTED_VALUE"""),1.025)</f>
        <v>1.025</v>
      </c>
      <c r="E301" s="24">
        <f>IFERROR(__xludf.DUMMYFUNCTION("""COMPUTED_VALUE"""),65.0)</f>
        <v>65</v>
      </c>
      <c r="F301" s="27" t="str">
        <f>IFERROR(__xludf.DUMMYFUNCTION("""COMPUTED_VALUE"""),"BLACK")</f>
        <v>BLACK</v>
      </c>
      <c r="G301" s="28" t="str">
        <f>IFERROR(__xludf.DUMMYFUNCTION("""COMPUTED_VALUE"""),"First Times a Charm Cider")</f>
        <v>First Times a Charm Cider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IFERROR(__xludf.DUMMYFUNCTION("""COMPUTED_VALUE"""),43551.4289859375)</f>
        <v>43551.42899</v>
      </c>
      <c r="D302" s="23">
        <f>IFERROR(__xludf.DUMMYFUNCTION("""COMPUTED_VALUE"""),1.025)</f>
        <v>1.025</v>
      </c>
      <c r="E302" s="24">
        <f>IFERROR(__xludf.DUMMYFUNCTION("""COMPUTED_VALUE"""),65.0)</f>
        <v>65</v>
      </c>
      <c r="F302" s="27" t="str">
        <f>IFERROR(__xludf.DUMMYFUNCTION("""COMPUTED_VALUE"""),"BLACK")</f>
        <v>BLACK</v>
      </c>
      <c r="G302" s="28" t="str">
        <f>IFERROR(__xludf.DUMMYFUNCTION("""COMPUTED_VALUE"""),"First Times a Charm Cider")</f>
        <v>First Times a Charm Cider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IFERROR(__xludf.DUMMYFUNCTION("""COMPUTED_VALUE"""),43551.418565081)</f>
        <v>43551.41857</v>
      </c>
      <c r="D303" s="23">
        <f>IFERROR(__xludf.DUMMYFUNCTION("""COMPUTED_VALUE"""),1.025)</f>
        <v>1.025</v>
      </c>
      <c r="E303" s="24">
        <f>IFERROR(__xludf.DUMMYFUNCTION("""COMPUTED_VALUE"""),66.0)</f>
        <v>66</v>
      </c>
      <c r="F303" s="27" t="str">
        <f>IFERROR(__xludf.DUMMYFUNCTION("""COMPUTED_VALUE"""),"BLACK")</f>
        <v>BLACK</v>
      </c>
      <c r="G303" s="28" t="str">
        <f>IFERROR(__xludf.DUMMYFUNCTION("""COMPUTED_VALUE"""),"First Times a Charm Cider")</f>
        <v>First Times a Charm Cider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IFERROR(__xludf.DUMMYFUNCTION("""COMPUTED_VALUE"""),43551.4081437037)</f>
        <v>43551.40814</v>
      </c>
      <c r="D304" s="23">
        <f>IFERROR(__xludf.DUMMYFUNCTION("""COMPUTED_VALUE"""),1.024)</f>
        <v>1.024</v>
      </c>
      <c r="E304" s="24">
        <f>IFERROR(__xludf.DUMMYFUNCTION("""COMPUTED_VALUE"""),66.0)</f>
        <v>66</v>
      </c>
      <c r="F304" s="27" t="str">
        <f>IFERROR(__xludf.DUMMYFUNCTION("""COMPUTED_VALUE"""),"BLACK")</f>
        <v>BLACK</v>
      </c>
      <c r="G304" s="28" t="str">
        <f>IFERROR(__xludf.DUMMYFUNCTION("""COMPUTED_VALUE"""),"First Times a Charm Cider")</f>
        <v>First Times a Charm Cider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IFERROR(__xludf.DUMMYFUNCTION("""COMPUTED_VALUE"""),43551.3977232176)</f>
        <v>43551.39772</v>
      </c>
      <c r="D305" s="23">
        <f>IFERROR(__xludf.DUMMYFUNCTION("""COMPUTED_VALUE"""),1.025)</f>
        <v>1.025</v>
      </c>
      <c r="E305" s="24">
        <f>IFERROR(__xludf.DUMMYFUNCTION("""COMPUTED_VALUE"""),66.0)</f>
        <v>66</v>
      </c>
      <c r="F305" s="27" t="str">
        <f>IFERROR(__xludf.DUMMYFUNCTION("""COMPUTED_VALUE"""),"BLACK")</f>
        <v>BLACK</v>
      </c>
      <c r="G305" s="28" t="str">
        <f>IFERROR(__xludf.DUMMYFUNCTION("""COMPUTED_VALUE"""),"First Times a Charm Cider")</f>
        <v>First Times a Charm Cider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IFERROR(__xludf.DUMMYFUNCTION("""COMPUTED_VALUE"""),43551.387290243)</f>
        <v>43551.38729</v>
      </c>
      <c r="D306" s="23">
        <f>IFERROR(__xludf.DUMMYFUNCTION("""COMPUTED_VALUE"""),1.025)</f>
        <v>1.025</v>
      </c>
      <c r="E306" s="24">
        <f>IFERROR(__xludf.DUMMYFUNCTION("""COMPUTED_VALUE"""),66.0)</f>
        <v>66</v>
      </c>
      <c r="F306" s="27" t="str">
        <f>IFERROR(__xludf.DUMMYFUNCTION("""COMPUTED_VALUE"""),"BLACK")</f>
        <v>BLACK</v>
      </c>
      <c r="G306" s="28" t="str">
        <f>IFERROR(__xludf.DUMMYFUNCTION("""COMPUTED_VALUE"""),"First Times a Charm Cider")</f>
        <v>First Times a Charm Cider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IFERROR(__xludf.DUMMYFUNCTION("""COMPUTED_VALUE"""),43551.3768578935)</f>
        <v>43551.37686</v>
      </c>
      <c r="D307" s="23">
        <f>IFERROR(__xludf.DUMMYFUNCTION("""COMPUTED_VALUE"""),1.025)</f>
        <v>1.025</v>
      </c>
      <c r="E307" s="24">
        <f>IFERROR(__xludf.DUMMYFUNCTION("""COMPUTED_VALUE"""),66.0)</f>
        <v>66</v>
      </c>
      <c r="F307" s="27" t="str">
        <f>IFERROR(__xludf.DUMMYFUNCTION("""COMPUTED_VALUE"""),"BLACK")</f>
        <v>BLACK</v>
      </c>
      <c r="G307" s="28" t="str">
        <f>IFERROR(__xludf.DUMMYFUNCTION("""COMPUTED_VALUE"""),"First Times a Charm Cider")</f>
        <v>First Times a Charm Cider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IFERROR(__xludf.DUMMYFUNCTION("""COMPUTED_VALUE"""),43551.3664353125)</f>
        <v>43551.36644</v>
      </c>
      <c r="D308" s="23">
        <f>IFERROR(__xludf.DUMMYFUNCTION("""COMPUTED_VALUE"""),1.025)</f>
        <v>1.025</v>
      </c>
      <c r="E308" s="24">
        <f>IFERROR(__xludf.DUMMYFUNCTION("""COMPUTED_VALUE"""),66.0)</f>
        <v>66</v>
      </c>
      <c r="F308" s="27" t="str">
        <f>IFERROR(__xludf.DUMMYFUNCTION("""COMPUTED_VALUE"""),"BLACK")</f>
        <v>BLACK</v>
      </c>
      <c r="G308" s="28" t="str">
        <f>IFERROR(__xludf.DUMMYFUNCTION("""COMPUTED_VALUE"""),"First Times a Charm Cider")</f>
        <v>First Times a Charm Cider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IFERROR(__xludf.DUMMYFUNCTION("""COMPUTED_VALUE"""),43551.3560015162)</f>
        <v>43551.356</v>
      </c>
      <c r="D309" s="23">
        <f>IFERROR(__xludf.DUMMYFUNCTION("""COMPUTED_VALUE"""),1.025)</f>
        <v>1.025</v>
      </c>
      <c r="E309" s="24">
        <f>IFERROR(__xludf.DUMMYFUNCTION("""COMPUTED_VALUE"""),66.0)</f>
        <v>66</v>
      </c>
      <c r="F309" s="27" t="str">
        <f>IFERROR(__xludf.DUMMYFUNCTION("""COMPUTED_VALUE"""),"BLACK")</f>
        <v>BLACK</v>
      </c>
      <c r="G309" s="28" t="str">
        <f>IFERROR(__xludf.DUMMYFUNCTION("""COMPUTED_VALUE"""),"First Times a Charm Cider")</f>
        <v>First Times a Charm Cider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IFERROR(__xludf.DUMMYFUNCTION("""COMPUTED_VALUE"""),43551.3455472337)</f>
        <v>43551.34555</v>
      </c>
      <c r="D310" s="23">
        <f>IFERROR(__xludf.DUMMYFUNCTION("""COMPUTED_VALUE"""),1.025)</f>
        <v>1.025</v>
      </c>
      <c r="E310" s="24">
        <f>IFERROR(__xludf.DUMMYFUNCTION("""COMPUTED_VALUE"""),66.0)</f>
        <v>66</v>
      </c>
      <c r="F310" s="27" t="str">
        <f>IFERROR(__xludf.DUMMYFUNCTION("""COMPUTED_VALUE"""),"BLACK")</f>
        <v>BLACK</v>
      </c>
      <c r="G310" s="28" t="str">
        <f>IFERROR(__xludf.DUMMYFUNCTION("""COMPUTED_VALUE"""),"First Times a Charm Cider")</f>
        <v>First Times a Charm Cider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IFERROR(__xludf.DUMMYFUNCTION("""COMPUTED_VALUE"""),43551.335114375)</f>
        <v>43551.33511</v>
      </c>
      <c r="D311" s="23">
        <f>IFERROR(__xludf.DUMMYFUNCTION("""COMPUTED_VALUE"""),1.025)</f>
        <v>1.025</v>
      </c>
      <c r="E311" s="24">
        <f>IFERROR(__xludf.DUMMYFUNCTION("""COMPUTED_VALUE"""),66.0)</f>
        <v>66</v>
      </c>
      <c r="F311" s="27" t="str">
        <f>IFERROR(__xludf.DUMMYFUNCTION("""COMPUTED_VALUE"""),"BLACK")</f>
        <v>BLACK</v>
      </c>
      <c r="G311" s="28" t="str">
        <f>IFERROR(__xludf.DUMMYFUNCTION("""COMPUTED_VALUE"""),"First Times a Charm Cider")</f>
        <v>First Times a Charm Cider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IFERROR(__xludf.DUMMYFUNCTION("""COMPUTED_VALUE"""),43551.324680162)</f>
        <v>43551.32468</v>
      </c>
      <c r="D312" s="23">
        <f>IFERROR(__xludf.DUMMYFUNCTION("""COMPUTED_VALUE"""),1.025)</f>
        <v>1.025</v>
      </c>
      <c r="E312" s="24">
        <f>IFERROR(__xludf.DUMMYFUNCTION("""COMPUTED_VALUE"""),66.0)</f>
        <v>66</v>
      </c>
      <c r="F312" s="27" t="str">
        <f>IFERROR(__xludf.DUMMYFUNCTION("""COMPUTED_VALUE"""),"BLACK")</f>
        <v>BLACK</v>
      </c>
      <c r="G312" s="28" t="str">
        <f>IFERROR(__xludf.DUMMYFUNCTION("""COMPUTED_VALUE"""),"First Times a Charm Cider")</f>
        <v>First Times a Charm Cider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IFERROR(__xludf.DUMMYFUNCTION("""COMPUTED_VALUE"""),43551.3142464351)</f>
        <v>43551.31425</v>
      </c>
      <c r="D313" s="23">
        <f>IFERROR(__xludf.DUMMYFUNCTION("""COMPUTED_VALUE"""),1.025)</f>
        <v>1.025</v>
      </c>
      <c r="E313" s="24">
        <f>IFERROR(__xludf.DUMMYFUNCTION("""COMPUTED_VALUE"""),66.0)</f>
        <v>66</v>
      </c>
      <c r="F313" s="27" t="str">
        <f>IFERROR(__xludf.DUMMYFUNCTION("""COMPUTED_VALUE"""),"BLACK")</f>
        <v>BLACK</v>
      </c>
      <c r="G313" s="28" t="str">
        <f>IFERROR(__xludf.DUMMYFUNCTION("""COMPUTED_VALUE"""),"First Times a Charm Cider")</f>
        <v>First Times a Charm Cider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IFERROR(__xludf.DUMMYFUNCTION("""COMPUTED_VALUE"""),43551.3038138078)</f>
        <v>43551.30381</v>
      </c>
      <c r="D314" s="23">
        <f>IFERROR(__xludf.DUMMYFUNCTION("""COMPUTED_VALUE"""),1.025)</f>
        <v>1.025</v>
      </c>
      <c r="E314" s="24">
        <f>IFERROR(__xludf.DUMMYFUNCTION("""COMPUTED_VALUE"""),66.0)</f>
        <v>66</v>
      </c>
      <c r="F314" s="27" t="str">
        <f>IFERROR(__xludf.DUMMYFUNCTION("""COMPUTED_VALUE"""),"BLACK")</f>
        <v>BLACK</v>
      </c>
      <c r="G314" s="28" t="str">
        <f>IFERROR(__xludf.DUMMYFUNCTION("""COMPUTED_VALUE"""),"First Times a Charm Cider")</f>
        <v>First Times a Charm Cider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IFERROR(__xludf.DUMMYFUNCTION("""COMPUTED_VALUE"""),43551.2933820601)</f>
        <v>43551.29338</v>
      </c>
      <c r="D315" s="23">
        <f>IFERROR(__xludf.DUMMYFUNCTION("""COMPUTED_VALUE"""),1.025)</f>
        <v>1.025</v>
      </c>
      <c r="E315" s="24">
        <f>IFERROR(__xludf.DUMMYFUNCTION("""COMPUTED_VALUE"""),66.0)</f>
        <v>66</v>
      </c>
      <c r="F315" s="27" t="str">
        <f>IFERROR(__xludf.DUMMYFUNCTION("""COMPUTED_VALUE"""),"BLACK")</f>
        <v>BLACK</v>
      </c>
      <c r="G315" s="28" t="str">
        <f>IFERROR(__xludf.DUMMYFUNCTION("""COMPUTED_VALUE"""),"First Times a Charm Cider")</f>
        <v>First Times a Charm Cider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IFERROR(__xludf.DUMMYFUNCTION("""COMPUTED_VALUE"""),43551.2829388078)</f>
        <v>43551.28294</v>
      </c>
      <c r="D316" s="23">
        <f>IFERROR(__xludf.DUMMYFUNCTION("""COMPUTED_VALUE"""),1.025)</f>
        <v>1.025</v>
      </c>
      <c r="E316" s="24">
        <f>IFERROR(__xludf.DUMMYFUNCTION("""COMPUTED_VALUE"""),66.0)</f>
        <v>66</v>
      </c>
      <c r="F316" s="27" t="str">
        <f>IFERROR(__xludf.DUMMYFUNCTION("""COMPUTED_VALUE"""),"BLACK")</f>
        <v>BLACK</v>
      </c>
      <c r="G316" s="28" t="str">
        <f>IFERROR(__xludf.DUMMYFUNCTION("""COMPUTED_VALUE"""),"First Times a Charm Cider")</f>
        <v>First Times a Charm Cider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IFERROR(__xludf.DUMMYFUNCTION("""COMPUTED_VALUE"""),43551.2725179282)</f>
        <v>43551.27252</v>
      </c>
      <c r="D317" s="23">
        <f>IFERROR(__xludf.DUMMYFUNCTION("""COMPUTED_VALUE"""),1.025)</f>
        <v>1.025</v>
      </c>
      <c r="E317" s="24">
        <f>IFERROR(__xludf.DUMMYFUNCTION("""COMPUTED_VALUE"""),66.0)</f>
        <v>66</v>
      </c>
      <c r="F317" s="27" t="str">
        <f>IFERROR(__xludf.DUMMYFUNCTION("""COMPUTED_VALUE"""),"BLACK")</f>
        <v>BLACK</v>
      </c>
      <c r="G317" s="28" t="str">
        <f>IFERROR(__xludf.DUMMYFUNCTION("""COMPUTED_VALUE"""),"First Times a Charm Cider")</f>
        <v>First Times a Charm Cider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IFERROR(__xludf.DUMMYFUNCTION("""COMPUTED_VALUE"""),43551.2620977083)</f>
        <v>43551.2621</v>
      </c>
      <c r="D318" s="23">
        <f>IFERROR(__xludf.DUMMYFUNCTION("""COMPUTED_VALUE"""),1.025)</f>
        <v>1.025</v>
      </c>
      <c r="E318" s="24">
        <f>IFERROR(__xludf.DUMMYFUNCTION("""COMPUTED_VALUE"""),66.0)</f>
        <v>66</v>
      </c>
      <c r="F318" s="27" t="str">
        <f>IFERROR(__xludf.DUMMYFUNCTION("""COMPUTED_VALUE"""),"BLACK")</f>
        <v>BLACK</v>
      </c>
      <c r="G318" s="28" t="str">
        <f>IFERROR(__xludf.DUMMYFUNCTION("""COMPUTED_VALUE"""),"First Times a Charm Cider")</f>
        <v>First Times a Charm Cider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IFERROR(__xludf.DUMMYFUNCTION("""COMPUTED_VALUE"""),43551.2516650462)</f>
        <v>43551.25167</v>
      </c>
      <c r="D319" s="23">
        <f>IFERROR(__xludf.DUMMYFUNCTION("""COMPUTED_VALUE"""),1.025)</f>
        <v>1.025</v>
      </c>
      <c r="E319" s="24">
        <f>IFERROR(__xludf.DUMMYFUNCTION("""COMPUTED_VALUE"""),66.0)</f>
        <v>66</v>
      </c>
      <c r="F319" s="27" t="str">
        <f>IFERROR(__xludf.DUMMYFUNCTION("""COMPUTED_VALUE"""),"BLACK")</f>
        <v>BLACK</v>
      </c>
      <c r="G319" s="28" t="str">
        <f>IFERROR(__xludf.DUMMYFUNCTION("""COMPUTED_VALUE"""),"First Times a Charm Cider")</f>
        <v>First Times a Charm Cider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IFERROR(__xludf.DUMMYFUNCTION("""COMPUTED_VALUE"""),43551.2412437384)</f>
        <v>43551.24124</v>
      </c>
      <c r="D320" s="23">
        <f>IFERROR(__xludf.DUMMYFUNCTION("""COMPUTED_VALUE"""),1.025)</f>
        <v>1.025</v>
      </c>
      <c r="E320" s="24">
        <f>IFERROR(__xludf.DUMMYFUNCTION("""COMPUTED_VALUE"""),66.0)</f>
        <v>66</v>
      </c>
      <c r="F320" s="27" t="str">
        <f>IFERROR(__xludf.DUMMYFUNCTION("""COMPUTED_VALUE"""),"BLACK")</f>
        <v>BLACK</v>
      </c>
      <c r="G320" s="28" t="str">
        <f>IFERROR(__xludf.DUMMYFUNCTION("""COMPUTED_VALUE"""),"First Times a Charm Cider")</f>
        <v>First Times a Charm Cider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IFERROR(__xludf.DUMMYFUNCTION("""COMPUTED_VALUE"""),43551.230821493)</f>
        <v>43551.23082</v>
      </c>
      <c r="D321" s="23">
        <f>IFERROR(__xludf.DUMMYFUNCTION("""COMPUTED_VALUE"""),1.025)</f>
        <v>1.025</v>
      </c>
      <c r="E321" s="24">
        <f>IFERROR(__xludf.DUMMYFUNCTION("""COMPUTED_VALUE"""),66.0)</f>
        <v>66</v>
      </c>
      <c r="F321" s="27" t="str">
        <f>IFERROR(__xludf.DUMMYFUNCTION("""COMPUTED_VALUE"""),"BLACK")</f>
        <v>BLACK</v>
      </c>
      <c r="G321" s="28" t="str">
        <f>IFERROR(__xludf.DUMMYFUNCTION("""COMPUTED_VALUE"""),"First Times a Charm Cider")</f>
        <v>First Times a Charm Cider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IFERROR(__xludf.DUMMYFUNCTION("""COMPUTED_VALUE"""),43551.2203885879)</f>
        <v>43551.22039</v>
      </c>
      <c r="D322" s="23">
        <f>IFERROR(__xludf.DUMMYFUNCTION("""COMPUTED_VALUE"""),1.025)</f>
        <v>1.025</v>
      </c>
      <c r="E322" s="24">
        <f>IFERROR(__xludf.DUMMYFUNCTION("""COMPUTED_VALUE"""),66.0)</f>
        <v>66</v>
      </c>
      <c r="F322" s="27" t="str">
        <f>IFERROR(__xludf.DUMMYFUNCTION("""COMPUTED_VALUE"""),"BLACK")</f>
        <v>BLACK</v>
      </c>
      <c r="G322" s="28" t="str">
        <f>IFERROR(__xludf.DUMMYFUNCTION("""COMPUTED_VALUE"""),"First Times a Charm Cider")</f>
        <v>First Times a Charm Cider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IFERROR(__xludf.DUMMYFUNCTION("""COMPUTED_VALUE"""),43551.209965081)</f>
        <v>43551.20997</v>
      </c>
      <c r="D323" s="23">
        <f>IFERROR(__xludf.DUMMYFUNCTION("""COMPUTED_VALUE"""),1.025)</f>
        <v>1.025</v>
      </c>
      <c r="E323" s="24">
        <f>IFERROR(__xludf.DUMMYFUNCTION("""COMPUTED_VALUE"""),66.0)</f>
        <v>66</v>
      </c>
      <c r="F323" s="27" t="str">
        <f>IFERROR(__xludf.DUMMYFUNCTION("""COMPUTED_VALUE"""),"BLACK")</f>
        <v>BLACK</v>
      </c>
      <c r="G323" s="28" t="str">
        <f>IFERROR(__xludf.DUMMYFUNCTION("""COMPUTED_VALUE"""),"First Times a Charm Cider")</f>
        <v>First Times a Charm Cider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IFERROR(__xludf.DUMMYFUNCTION("""COMPUTED_VALUE"""),43551.1995427199)</f>
        <v>43551.19954</v>
      </c>
      <c r="D324" s="23">
        <f>IFERROR(__xludf.DUMMYFUNCTION("""COMPUTED_VALUE"""),1.025)</f>
        <v>1.025</v>
      </c>
      <c r="E324" s="24">
        <f>IFERROR(__xludf.DUMMYFUNCTION("""COMPUTED_VALUE"""),66.0)</f>
        <v>66</v>
      </c>
      <c r="F324" s="27" t="str">
        <f>IFERROR(__xludf.DUMMYFUNCTION("""COMPUTED_VALUE"""),"BLACK")</f>
        <v>BLACK</v>
      </c>
      <c r="G324" s="28" t="str">
        <f>IFERROR(__xludf.DUMMYFUNCTION("""COMPUTED_VALUE"""),"First Times a Charm Cider")</f>
        <v>First Times a Charm Cider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IFERROR(__xludf.DUMMYFUNCTION("""COMPUTED_VALUE"""),43551.1891118055)</f>
        <v>43551.18911</v>
      </c>
      <c r="D325" s="23">
        <f>IFERROR(__xludf.DUMMYFUNCTION("""COMPUTED_VALUE"""),1.025)</f>
        <v>1.025</v>
      </c>
      <c r="E325" s="24">
        <f>IFERROR(__xludf.DUMMYFUNCTION("""COMPUTED_VALUE"""),66.0)</f>
        <v>66</v>
      </c>
      <c r="F325" s="27" t="str">
        <f>IFERROR(__xludf.DUMMYFUNCTION("""COMPUTED_VALUE"""),"BLACK")</f>
        <v>BLACK</v>
      </c>
      <c r="G325" s="28" t="str">
        <f>IFERROR(__xludf.DUMMYFUNCTION("""COMPUTED_VALUE"""),"First Times a Charm Cider")</f>
        <v>First Times a Charm Cider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IFERROR(__xludf.DUMMYFUNCTION("""COMPUTED_VALUE"""),43551.1786791551)</f>
        <v>43551.17868</v>
      </c>
      <c r="D326" s="23">
        <f>IFERROR(__xludf.DUMMYFUNCTION("""COMPUTED_VALUE"""),1.025)</f>
        <v>1.025</v>
      </c>
      <c r="E326" s="24">
        <f>IFERROR(__xludf.DUMMYFUNCTION("""COMPUTED_VALUE"""),66.0)</f>
        <v>66</v>
      </c>
      <c r="F326" s="27" t="str">
        <f>IFERROR(__xludf.DUMMYFUNCTION("""COMPUTED_VALUE"""),"BLACK")</f>
        <v>BLACK</v>
      </c>
      <c r="G326" s="28" t="str">
        <f>IFERROR(__xludf.DUMMYFUNCTION("""COMPUTED_VALUE"""),"First Times a Charm Cider")</f>
        <v>First Times a Charm Cider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IFERROR(__xludf.DUMMYFUNCTION("""COMPUTED_VALUE"""),43551.1682356597)</f>
        <v>43551.16824</v>
      </c>
      <c r="D327" s="23">
        <f>IFERROR(__xludf.DUMMYFUNCTION("""COMPUTED_VALUE"""),1.025)</f>
        <v>1.025</v>
      </c>
      <c r="E327" s="24">
        <f>IFERROR(__xludf.DUMMYFUNCTION("""COMPUTED_VALUE"""),66.0)</f>
        <v>66</v>
      </c>
      <c r="F327" s="27" t="str">
        <f>IFERROR(__xludf.DUMMYFUNCTION("""COMPUTED_VALUE"""),"BLACK")</f>
        <v>BLACK</v>
      </c>
      <c r="G327" s="28" t="str">
        <f>IFERROR(__xludf.DUMMYFUNCTION("""COMPUTED_VALUE"""),"First Times a Charm Cider")</f>
        <v>First Times a Charm Cider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IFERROR(__xludf.DUMMYFUNCTION("""COMPUTED_VALUE"""),43551.157780324)</f>
        <v>43551.15778</v>
      </c>
      <c r="D328" s="23">
        <f>IFERROR(__xludf.DUMMYFUNCTION("""COMPUTED_VALUE"""),1.025)</f>
        <v>1.025</v>
      </c>
      <c r="E328" s="24">
        <f>IFERROR(__xludf.DUMMYFUNCTION("""COMPUTED_VALUE"""),66.0)</f>
        <v>66</v>
      </c>
      <c r="F328" s="27" t="str">
        <f>IFERROR(__xludf.DUMMYFUNCTION("""COMPUTED_VALUE"""),"BLACK")</f>
        <v>BLACK</v>
      </c>
      <c r="G328" s="28" t="str">
        <f>IFERROR(__xludf.DUMMYFUNCTION("""COMPUTED_VALUE"""),"First Times a Charm Cider")</f>
        <v>First Times a Charm Cider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IFERROR(__xludf.DUMMYFUNCTION("""COMPUTED_VALUE"""),43551.1473585763)</f>
        <v>43551.14736</v>
      </c>
      <c r="D329" s="23">
        <f>IFERROR(__xludf.DUMMYFUNCTION("""COMPUTED_VALUE"""),1.025)</f>
        <v>1.025</v>
      </c>
      <c r="E329" s="24">
        <f>IFERROR(__xludf.DUMMYFUNCTION("""COMPUTED_VALUE"""),66.0)</f>
        <v>66</v>
      </c>
      <c r="F329" s="27" t="str">
        <f>IFERROR(__xludf.DUMMYFUNCTION("""COMPUTED_VALUE"""),"BLACK")</f>
        <v>BLACK</v>
      </c>
      <c r="G329" s="28" t="str">
        <f>IFERROR(__xludf.DUMMYFUNCTION("""COMPUTED_VALUE"""),"First Times a Charm Cider")</f>
        <v>First Times a Charm Cider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IFERROR(__xludf.DUMMYFUNCTION("""COMPUTED_VALUE"""),43551.1369268865)</f>
        <v>43551.13693</v>
      </c>
      <c r="D330" s="23">
        <f>IFERROR(__xludf.DUMMYFUNCTION("""COMPUTED_VALUE"""),1.025)</f>
        <v>1.025</v>
      </c>
      <c r="E330" s="24">
        <f>IFERROR(__xludf.DUMMYFUNCTION("""COMPUTED_VALUE"""),66.0)</f>
        <v>66</v>
      </c>
      <c r="F330" s="27" t="str">
        <f>IFERROR(__xludf.DUMMYFUNCTION("""COMPUTED_VALUE"""),"BLACK")</f>
        <v>BLACK</v>
      </c>
      <c r="G330" s="28" t="str">
        <f>IFERROR(__xludf.DUMMYFUNCTION("""COMPUTED_VALUE"""),"First Times a Charm Cider")</f>
        <v>First Times a Charm Cider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IFERROR(__xludf.DUMMYFUNCTION("""COMPUTED_VALUE"""),43551.1264939004)</f>
        <v>43551.12649</v>
      </c>
      <c r="D331" s="23">
        <f>IFERROR(__xludf.DUMMYFUNCTION("""COMPUTED_VALUE"""),1.025)</f>
        <v>1.025</v>
      </c>
      <c r="E331" s="24">
        <f>IFERROR(__xludf.DUMMYFUNCTION("""COMPUTED_VALUE"""),66.0)</f>
        <v>66</v>
      </c>
      <c r="F331" s="27" t="str">
        <f>IFERROR(__xludf.DUMMYFUNCTION("""COMPUTED_VALUE"""),"BLACK")</f>
        <v>BLACK</v>
      </c>
      <c r="G331" s="28" t="str">
        <f>IFERROR(__xludf.DUMMYFUNCTION("""COMPUTED_VALUE"""),"First Times a Charm Cider")</f>
        <v>First Times a Charm Cider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IFERROR(__xludf.DUMMYFUNCTION("""COMPUTED_VALUE"""),43551.116072118)</f>
        <v>43551.11607</v>
      </c>
      <c r="D332" s="23">
        <f>IFERROR(__xludf.DUMMYFUNCTION("""COMPUTED_VALUE"""),1.025)</f>
        <v>1.025</v>
      </c>
      <c r="E332" s="24">
        <f>IFERROR(__xludf.DUMMYFUNCTION("""COMPUTED_VALUE"""),66.0)</f>
        <v>66</v>
      </c>
      <c r="F332" s="27" t="str">
        <f>IFERROR(__xludf.DUMMYFUNCTION("""COMPUTED_VALUE"""),"BLACK")</f>
        <v>BLACK</v>
      </c>
      <c r="G332" s="28" t="str">
        <f>IFERROR(__xludf.DUMMYFUNCTION("""COMPUTED_VALUE"""),"First Times a Charm Cider")</f>
        <v>First Times a Charm Cider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IFERROR(__xludf.DUMMYFUNCTION("""COMPUTED_VALUE"""),43551.1056509606)</f>
        <v>43551.10565</v>
      </c>
      <c r="D333" s="23">
        <f>IFERROR(__xludf.DUMMYFUNCTION("""COMPUTED_VALUE"""),1.025)</f>
        <v>1.025</v>
      </c>
      <c r="E333" s="24">
        <f>IFERROR(__xludf.DUMMYFUNCTION("""COMPUTED_VALUE"""),66.0)</f>
        <v>66</v>
      </c>
      <c r="F333" s="27" t="str">
        <f>IFERROR(__xludf.DUMMYFUNCTION("""COMPUTED_VALUE"""),"BLACK")</f>
        <v>BLACK</v>
      </c>
      <c r="G333" s="28" t="str">
        <f>IFERROR(__xludf.DUMMYFUNCTION("""COMPUTED_VALUE"""),"First Times a Charm Cider")</f>
        <v>First Times a Charm Cider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IFERROR(__xludf.DUMMYFUNCTION("""COMPUTED_VALUE"""),43551.095230868)</f>
        <v>43551.09523</v>
      </c>
      <c r="D334" s="23">
        <f>IFERROR(__xludf.DUMMYFUNCTION("""COMPUTED_VALUE"""),1.025)</f>
        <v>1.025</v>
      </c>
      <c r="E334" s="24">
        <f>IFERROR(__xludf.DUMMYFUNCTION("""COMPUTED_VALUE"""),66.0)</f>
        <v>66</v>
      </c>
      <c r="F334" s="27" t="str">
        <f>IFERROR(__xludf.DUMMYFUNCTION("""COMPUTED_VALUE"""),"BLACK")</f>
        <v>BLACK</v>
      </c>
      <c r="G334" s="28" t="str">
        <f>IFERROR(__xludf.DUMMYFUNCTION("""COMPUTED_VALUE"""),"First Times a Charm Cider")</f>
        <v>First Times a Charm Cider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IFERROR(__xludf.DUMMYFUNCTION("""COMPUTED_VALUE"""),43551.0848089236)</f>
        <v>43551.08481</v>
      </c>
      <c r="D335" s="23">
        <f>IFERROR(__xludf.DUMMYFUNCTION("""COMPUTED_VALUE"""),1.025)</f>
        <v>1.025</v>
      </c>
      <c r="E335" s="24">
        <f>IFERROR(__xludf.DUMMYFUNCTION("""COMPUTED_VALUE"""),66.0)</f>
        <v>66</v>
      </c>
      <c r="F335" s="27" t="str">
        <f>IFERROR(__xludf.DUMMYFUNCTION("""COMPUTED_VALUE"""),"BLACK")</f>
        <v>BLACK</v>
      </c>
      <c r="G335" s="28" t="str">
        <f>IFERROR(__xludf.DUMMYFUNCTION("""COMPUTED_VALUE"""),"First Times a Charm Cider")</f>
        <v>First Times a Charm Cider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IFERROR(__xludf.DUMMYFUNCTION("""COMPUTED_VALUE"""),43551.0743865393)</f>
        <v>43551.07439</v>
      </c>
      <c r="D336" s="23">
        <f>IFERROR(__xludf.DUMMYFUNCTION("""COMPUTED_VALUE"""),1.025)</f>
        <v>1.025</v>
      </c>
      <c r="E336" s="24">
        <f>IFERROR(__xludf.DUMMYFUNCTION("""COMPUTED_VALUE"""),66.0)</f>
        <v>66</v>
      </c>
      <c r="F336" s="27" t="str">
        <f>IFERROR(__xludf.DUMMYFUNCTION("""COMPUTED_VALUE"""),"BLACK")</f>
        <v>BLACK</v>
      </c>
      <c r="G336" s="28" t="str">
        <f>IFERROR(__xludf.DUMMYFUNCTION("""COMPUTED_VALUE"""),"First Times a Charm Cider")</f>
        <v>First Times a Charm Cider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IFERROR(__xludf.DUMMYFUNCTION("""COMPUTED_VALUE"""),43551.0639662384)</f>
        <v>43551.06397</v>
      </c>
      <c r="D337" s="23">
        <f>IFERROR(__xludf.DUMMYFUNCTION("""COMPUTED_VALUE"""),1.025)</f>
        <v>1.025</v>
      </c>
      <c r="E337" s="24">
        <f>IFERROR(__xludf.DUMMYFUNCTION("""COMPUTED_VALUE"""),66.0)</f>
        <v>66</v>
      </c>
      <c r="F337" s="27" t="str">
        <f>IFERROR(__xludf.DUMMYFUNCTION("""COMPUTED_VALUE"""),"BLACK")</f>
        <v>BLACK</v>
      </c>
      <c r="G337" s="28" t="str">
        <f>IFERROR(__xludf.DUMMYFUNCTION("""COMPUTED_VALUE"""),"First Times a Charm Cider")</f>
        <v>First Times a Charm Cider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IFERROR(__xludf.DUMMYFUNCTION("""COMPUTED_VALUE"""),43551.0535212384)</f>
        <v>43551.05352</v>
      </c>
      <c r="D338" s="23">
        <f>IFERROR(__xludf.DUMMYFUNCTION("""COMPUTED_VALUE"""),1.025)</f>
        <v>1.025</v>
      </c>
      <c r="E338" s="24">
        <f>IFERROR(__xludf.DUMMYFUNCTION("""COMPUTED_VALUE"""),66.0)</f>
        <v>66</v>
      </c>
      <c r="F338" s="27" t="str">
        <f>IFERROR(__xludf.DUMMYFUNCTION("""COMPUTED_VALUE"""),"BLACK")</f>
        <v>BLACK</v>
      </c>
      <c r="G338" s="28" t="str">
        <f>IFERROR(__xludf.DUMMYFUNCTION("""COMPUTED_VALUE"""),"First Times a Charm Cider")</f>
        <v>First Times a Charm Cider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IFERROR(__xludf.DUMMYFUNCTION("""COMPUTED_VALUE"""),43551.0431001157)</f>
        <v>43551.0431</v>
      </c>
      <c r="D339" s="23">
        <f>IFERROR(__xludf.DUMMYFUNCTION("""COMPUTED_VALUE"""),1.025)</f>
        <v>1.025</v>
      </c>
      <c r="E339" s="24">
        <f>IFERROR(__xludf.DUMMYFUNCTION("""COMPUTED_VALUE"""),66.0)</f>
        <v>66</v>
      </c>
      <c r="F339" s="27" t="str">
        <f>IFERROR(__xludf.DUMMYFUNCTION("""COMPUTED_VALUE"""),"BLACK")</f>
        <v>BLACK</v>
      </c>
      <c r="G339" s="28" t="str">
        <f>IFERROR(__xludf.DUMMYFUNCTION("""COMPUTED_VALUE"""),"First Times a Charm Cider")</f>
        <v>First Times a Charm Cider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IFERROR(__xludf.DUMMYFUNCTION("""COMPUTED_VALUE"""),43551.0326675115)</f>
        <v>43551.03267</v>
      </c>
      <c r="D340" s="23">
        <f>IFERROR(__xludf.DUMMYFUNCTION("""COMPUTED_VALUE"""),1.025)</f>
        <v>1.025</v>
      </c>
      <c r="E340" s="24">
        <f>IFERROR(__xludf.DUMMYFUNCTION("""COMPUTED_VALUE"""),66.0)</f>
        <v>66</v>
      </c>
      <c r="F340" s="27" t="str">
        <f>IFERROR(__xludf.DUMMYFUNCTION("""COMPUTED_VALUE"""),"BLACK")</f>
        <v>BLACK</v>
      </c>
      <c r="G340" s="28" t="str">
        <f>IFERROR(__xludf.DUMMYFUNCTION("""COMPUTED_VALUE"""),"First Times a Charm Cider")</f>
        <v>First Times a Charm Cider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IFERROR(__xludf.DUMMYFUNCTION("""COMPUTED_VALUE"""),43551.022246655)</f>
        <v>43551.02225</v>
      </c>
      <c r="D341" s="23">
        <f>IFERROR(__xludf.DUMMYFUNCTION("""COMPUTED_VALUE"""),1.025)</f>
        <v>1.025</v>
      </c>
      <c r="E341" s="24">
        <f>IFERROR(__xludf.DUMMYFUNCTION("""COMPUTED_VALUE"""),66.0)</f>
        <v>66</v>
      </c>
      <c r="F341" s="27" t="str">
        <f>IFERROR(__xludf.DUMMYFUNCTION("""COMPUTED_VALUE"""),"BLACK")</f>
        <v>BLACK</v>
      </c>
      <c r="G341" s="28" t="str">
        <f>IFERROR(__xludf.DUMMYFUNCTION("""COMPUTED_VALUE"""),"First Times a Charm Cider")</f>
        <v>First Times a Charm Cider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IFERROR(__xludf.DUMMYFUNCTION("""COMPUTED_VALUE"""),43551.011823912)</f>
        <v>43551.01182</v>
      </c>
      <c r="D342" s="23">
        <f>IFERROR(__xludf.DUMMYFUNCTION("""COMPUTED_VALUE"""),1.025)</f>
        <v>1.025</v>
      </c>
      <c r="E342" s="24">
        <f>IFERROR(__xludf.DUMMYFUNCTION("""COMPUTED_VALUE"""),66.0)</f>
        <v>66</v>
      </c>
      <c r="F342" s="27" t="str">
        <f>IFERROR(__xludf.DUMMYFUNCTION("""COMPUTED_VALUE"""),"BLACK")</f>
        <v>BLACK</v>
      </c>
      <c r="G342" s="28" t="str">
        <f>IFERROR(__xludf.DUMMYFUNCTION("""COMPUTED_VALUE"""),"First Times a Charm Cider")</f>
        <v>First Times a Charm Cider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IFERROR(__xludf.DUMMYFUNCTION("""COMPUTED_VALUE"""),43551.0013913425)</f>
        <v>43551.00139</v>
      </c>
      <c r="D343" s="23">
        <f>IFERROR(__xludf.DUMMYFUNCTION("""COMPUTED_VALUE"""),1.025)</f>
        <v>1.025</v>
      </c>
      <c r="E343" s="24">
        <f>IFERROR(__xludf.DUMMYFUNCTION("""COMPUTED_VALUE"""),66.0)</f>
        <v>66</v>
      </c>
      <c r="F343" s="27" t="str">
        <f>IFERROR(__xludf.DUMMYFUNCTION("""COMPUTED_VALUE"""),"BLACK")</f>
        <v>BLACK</v>
      </c>
      <c r="G343" s="28" t="str">
        <f>IFERROR(__xludf.DUMMYFUNCTION("""COMPUTED_VALUE"""),"First Times a Charm Cider")</f>
        <v>First Times a Charm Cider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IFERROR(__xludf.DUMMYFUNCTION("""COMPUTED_VALUE"""),43550.9909593865)</f>
        <v>43550.99096</v>
      </c>
      <c r="D344" s="23">
        <f>IFERROR(__xludf.DUMMYFUNCTION("""COMPUTED_VALUE"""),1.025)</f>
        <v>1.025</v>
      </c>
      <c r="E344" s="24">
        <f>IFERROR(__xludf.DUMMYFUNCTION("""COMPUTED_VALUE"""),66.0)</f>
        <v>66</v>
      </c>
      <c r="F344" s="27" t="str">
        <f>IFERROR(__xludf.DUMMYFUNCTION("""COMPUTED_VALUE"""),"BLACK")</f>
        <v>BLACK</v>
      </c>
      <c r="G344" s="28" t="str">
        <f>IFERROR(__xludf.DUMMYFUNCTION("""COMPUTED_VALUE"""),"First Times a Charm Cider")</f>
        <v>First Times a Charm Cider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IFERROR(__xludf.DUMMYFUNCTION("""COMPUTED_VALUE"""),43550.9805258449)</f>
        <v>43550.98053</v>
      </c>
      <c r="D345" s="23">
        <f>IFERROR(__xludf.DUMMYFUNCTION("""COMPUTED_VALUE"""),1.025)</f>
        <v>1.025</v>
      </c>
      <c r="E345" s="24">
        <f>IFERROR(__xludf.DUMMYFUNCTION("""COMPUTED_VALUE"""),66.0)</f>
        <v>66</v>
      </c>
      <c r="F345" s="27" t="str">
        <f>IFERROR(__xludf.DUMMYFUNCTION("""COMPUTED_VALUE"""),"BLACK")</f>
        <v>BLACK</v>
      </c>
      <c r="G345" s="28" t="str">
        <f>IFERROR(__xludf.DUMMYFUNCTION("""COMPUTED_VALUE"""),"First Times a Charm Cider")</f>
        <v>First Times a Charm Cider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IFERROR(__xludf.DUMMYFUNCTION("""COMPUTED_VALUE"""),43550.9701040277)</f>
        <v>43550.9701</v>
      </c>
      <c r="D346" s="23">
        <f>IFERROR(__xludf.DUMMYFUNCTION("""COMPUTED_VALUE"""),1.025)</f>
        <v>1.025</v>
      </c>
      <c r="E346" s="24">
        <f>IFERROR(__xludf.DUMMYFUNCTION("""COMPUTED_VALUE"""),66.0)</f>
        <v>66</v>
      </c>
      <c r="F346" s="27" t="str">
        <f>IFERROR(__xludf.DUMMYFUNCTION("""COMPUTED_VALUE"""),"BLACK")</f>
        <v>BLACK</v>
      </c>
      <c r="G346" s="28" t="str">
        <f>IFERROR(__xludf.DUMMYFUNCTION("""COMPUTED_VALUE"""),"First Times a Charm Cider")</f>
        <v>First Times a Charm Cider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IFERROR(__xludf.DUMMYFUNCTION("""COMPUTED_VALUE"""),43550.9596828819)</f>
        <v>43550.95968</v>
      </c>
      <c r="D347" s="23">
        <f>IFERROR(__xludf.DUMMYFUNCTION("""COMPUTED_VALUE"""),1.025)</f>
        <v>1.025</v>
      </c>
      <c r="E347" s="24">
        <f>IFERROR(__xludf.DUMMYFUNCTION("""COMPUTED_VALUE"""),66.0)</f>
        <v>66</v>
      </c>
      <c r="F347" s="27" t="str">
        <f>IFERROR(__xludf.DUMMYFUNCTION("""COMPUTED_VALUE"""),"BLACK")</f>
        <v>BLACK</v>
      </c>
      <c r="G347" s="28" t="str">
        <f>IFERROR(__xludf.DUMMYFUNCTION("""COMPUTED_VALUE"""),"First Times a Charm Cider")</f>
        <v>First Times a Charm Cider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IFERROR(__xludf.DUMMYFUNCTION("""COMPUTED_VALUE"""),43550.9492587268)</f>
        <v>43550.94926</v>
      </c>
      <c r="D348" s="23">
        <f>IFERROR(__xludf.DUMMYFUNCTION("""COMPUTED_VALUE"""),1.025)</f>
        <v>1.025</v>
      </c>
      <c r="E348" s="24">
        <f>IFERROR(__xludf.DUMMYFUNCTION("""COMPUTED_VALUE"""),66.0)</f>
        <v>66</v>
      </c>
      <c r="F348" s="27" t="str">
        <f>IFERROR(__xludf.DUMMYFUNCTION("""COMPUTED_VALUE"""),"BLACK")</f>
        <v>BLACK</v>
      </c>
      <c r="G348" s="28" t="str">
        <f>IFERROR(__xludf.DUMMYFUNCTION("""COMPUTED_VALUE"""),"First Times a Charm Cider")</f>
        <v>First Times a Charm Cider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IFERROR(__xludf.DUMMYFUNCTION("""COMPUTED_VALUE"""),43550.938838206)</f>
        <v>43550.93884</v>
      </c>
      <c r="D349" s="23">
        <f>IFERROR(__xludf.DUMMYFUNCTION("""COMPUTED_VALUE"""),1.025)</f>
        <v>1.025</v>
      </c>
      <c r="E349" s="24">
        <f>IFERROR(__xludf.DUMMYFUNCTION("""COMPUTED_VALUE"""),66.0)</f>
        <v>66</v>
      </c>
      <c r="F349" s="27" t="str">
        <f>IFERROR(__xludf.DUMMYFUNCTION("""COMPUTED_VALUE"""),"BLACK")</f>
        <v>BLACK</v>
      </c>
      <c r="G349" s="28" t="str">
        <f>IFERROR(__xludf.DUMMYFUNCTION("""COMPUTED_VALUE"""),"First Times a Charm Cider")</f>
        <v>First Times a Charm Cider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IFERROR(__xludf.DUMMYFUNCTION("""COMPUTED_VALUE"""),43550.9284165625)</f>
        <v>43550.92842</v>
      </c>
      <c r="D350" s="23">
        <f>IFERROR(__xludf.DUMMYFUNCTION("""COMPUTED_VALUE"""),1.025)</f>
        <v>1.025</v>
      </c>
      <c r="E350" s="24">
        <f>IFERROR(__xludf.DUMMYFUNCTION("""COMPUTED_VALUE"""),66.0)</f>
        <v>66</v>
      </c>
      <c r="F350" s="27" t="str">
        <f>IFERROR(__xludf.DUMMYFUNCTION("""COMPUTED_VALUE"""),"BLACK")</f>
        <v>BLACK</v>
      </c>
      <c r="G350" s="28" t="str">
        <f>IFERROR(__xludf.DUMMYFUNCTION("""COMPUTED_VALUE"""),"First Times a Charm Cider")</f>
        <v>First Times a Charm Cider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IFERROR(__xludf.DUMMYFUNCTION("""COMPUTED_VALUE"""),43550.9179946527)</f>
        <v>43550.91799</v>
      </c>
      <c r="D351" s="23">
        <f>IFERROR(__xludf.DUMMYFUNCTION("""COMPUTED_VALUE"""),1.025)</f>
        <v>1.025</v>
      </c>
      <c r="E351" s="24">
        <f>IFERROR(__xludf.DUMMYFUNCTION("""COMPUTED_VALUE"""),66.0)</f>
        <v>66</v>
      </c>
      <c r="F351" s="27" t="str">
        <f>IFERROR(__xludf.DUMMYFUNCTION("""COMPUTED_VALUE"""),"BLACK")</f>
        <v>BLACK</v>
      </c>
      <c r="G351" s="28" t="str">
        <f>IFERROR(__xludf.DUMMYFUNCTION("""COMPUTED_VALUE"""),"First Times a Charm Cider")</f>
        <v>First Times a Charm Cider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IFERROR(__xludf.DUMMYFUNCTION("""COMPUTED_VALUE"""),43550.9075611226)</f>
        <v>43550.90756</v>
      </c>
      <c r="D352" s="23">
        <f>IFERROR(__xludf.DUMMYFUNCTION("""COMPUTED_VALUE"""),1.025)</f>
        <v>1.025</v>
      </c>
      <c r="E352" s="24">
        <f>IFERROR(__xludf.DUMMYFUNCTION("""COMPUTED_VALUE"""),66.0)</f>
        <v>66</v>
      </c>
      <c r="F352" s="27" t="str">
        <f>IFERROR(__xludf.DUMMYFUNCTION("""COMPUTED_VALUE"""),"BLACK")</f>
        <v>BLACK</v>
      </c>
      <c r="G352" s="28" t="str">
        <f>IFERROR(__xludf.DUMMYFUNCTION("""COMPUTED_VALUE"""),"First Times a Charm Cider")</f>
        <v>First Times a Charm Cider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IFERROR(__xludf.DUMMYFUNCTION("""COMPUTED_VALUE"""),43550.8970917361)</f>
        <v>43550.89709</v>
      </c>
      <c r="D353" s="23">
        <f>IFERROR(__xludf.DUMMYFUNCTION("""COMPUTED_VALUE"""),1.025)</f>
        <v>1.025</v>
      </c>
      <c r="E353" s="24">
        <f>IFERROR(__xludf.DUMMYFUNCTION("""COMPUTED_VALUE"""),66.0)</f>
        <v>66</v>
      </c>
      <c r="F353" s="27" t="str">
        <f>IFERROR(__xludf.DUMMYFUNCTION("""COMPUTED_VALUE"""),"BLACK")</f>
        <v>BLACK</v>
      </c>
      <c r="G353" s="28" t="str">
        <f>IFERROR(__xludf.DUMMYFUNCTION("""COMPUTED_VALUE"""),"First Times a Charm Cider")</f>
        <v>First Times a Charm Cider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IFERROR(__xludf.DUMMYFUNCTION("""COMPUTED_VALUE"""),43550.8866713657)</f>
        <v>43550.88667</v>
      </c>
      <c r="D354" s="23">
        <f>IFERROR(__xludf.DUMMYFUNCTION("""COMPUTED_VALUE"""),1.025)</f>
        <v>1.025</v>
      </c>
      <c r="E354" s="24">
        <f>IFERROR(__xludf.DUMMYFUNCTION("""COMPUTED_VALUE"""),66.0)</f>
        <v>66</v>
      </c>
      <c r="F354" s="27" t="str">
        <f>IFERROR(__xludf.DUMMYFUNCTION("""COMPUTED_VALUE"""),"BLACK")</f>
        <v>BLACK</v>
      </c>
      <c r="G354" s="28" t="str">
        <f>IFERROR(__xludf.DUMMYFUNCTION("""COMPUTED_VALUE"""),"First Times a Charm Cider")</f>
        <v>First Times a Charm Cider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IFERROR(__xludf.DUMMYFUNCTION("""COMPUTED_VALUE"""),43550.8762509143)</f>
        <v>43550.87625</v>
      </c>
      <c r="D355" s="23">
        <f>IFERROR(__xludf.DUMMYFUNCTION("""COMPUTED_VALUE"""),1.025)</f>
        <v>1.025</v>
      </c>
      <c r="E355" s="24">
        <f>IFERROR(__xludf.DUMMYFUNCTION("""COMPUTED_VALUE"""),66.0)</f>
        <v>66</v>
      </c>
      <c r="F355" s="27" t="str">
        <f>IFERROR(__xludf.DUMMYFUNCTION("""COMPUTED_VALUE"""),"BLACK")</f>
        <v>BLACK</v>
      </c>
      <c r="G355" s="28" t="str">
        <f>IFERROR(__xludf.DUMMYFUNCTION("""COMPUTED_VALUE"""),"First Times a Charm Cider")</f>
        <v>First Times a Charm Cider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IFERROR(__xludf.DUMMYFUNCTION("""COMPUTED_VALUE"""),43550.8658195717)</f>
        <v>43550.86582</v>
      </c>
      <c r="D356" s="23">
        <f>IFERROR(__xludf.DUMMYFUNCTION("""COMPUTED_VALUE"""),1.025)</f>
        <v>1.025</v>
      </c>
      <c r="E356" s="24">
        <f>IFERROR(__xludf.DUMMYFUNCTION("""COMPUTED_VALUE"""),66.0)</f>
        <v>66</v>
      </c>
      <c r="F356" s="27" t="str">
        <f>IFERROR(__xludf.DUMMYFUNCTION("""COMPUTED_VALUE"""),"BLACK")</f>
        <v>BLACK</v>
      </c>
      <c r="G356" s="28" t="str">
        <f>IFERROR(__xludf.DUMMYFUNCTION("""COMPUTED_VALUE"""),"First Times a Charm Cider")</f>
        <v>First Times a Charm Cider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IFERROR(__xludf.DUMMYFUNCTION("""COMPUTED_VALUE"""),43550.855397662)</f>
        <v>43550.8554</v>
      </c>
      <c r="D357" s="23">
        <f>IFERROR(__xludf.DUMMYFUNCTION("""COMPUTED_VALUE"""),1.025)</f>
        <v>1.025</v>
      </c>
      <c r="E357" s="24">
        <f>IFERROR(__xludf.DUMMYFUNCTION("""COMPUTED_VALUE"""),66.0)</f>
        <v>66</v>
      </c>
      <c r="F357" s="27" t="str">
        <f>IFERROR(__xludf.DUMMYFUNCTION("""COMPUTED_VALUE"""),"BLACK")</f>
        <v>BLACK</v>
      </c>
      <c r="G357" s="28" t="str">
        <f>IFERROR(__xludf.DUMMYFUNCTION("""COMPUTED_VALUE"""),"First Times a Charm Cider")</f>
        <v>First Times a Charm Cider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IFERROR(__xludf.DUMMYFUNCTION("""COMPUTED_VALUE"""),43550.8449767013)</f>
        <v>43550.84498</v>
      </c>
      <c r="D358" s="23">
        <f>IFERROR(__xludf.DUMMYFUNCTION("""COMPUTED_VALUE"""),1.025)</f>
        <v>1.025</v>
      </c>
      <c r="E358" s="24">
        <f>IFERROR(__xludf.DUMMYFUNCTION("""COMPUTED_VALUE"""),66.0)</f>
        <v>66</v>
      </c>
      <c r="F358" s="27" t="str">
        <f>IFERROR(__xludf.DUMMYFUNCTION("""COMPUTED_VALUE"""),"BLACK")</f>
        <v>BLACK</v>
      </c>
      <c r="G358" s="28" t="str">
        <f>IFERROR(__xludf.DUMMYFUNCTION("""COMPUTED_VALUE"""),"First Times a Charm Cider")</f>
        <v>First Times a Charm Cider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IFERROR(__xludf.DUMMYFUNCTION("""COMPUTED_VALUE"""),43550.8345558564)</f>
        <v>43550.83456</v>
      </c>
      <c r="D359" s="23">
        <f>IFERROR(__xludf.DUMMYFUNCTION("""COMPUTED_VALUE"""),1.025)</f>
        <v>1.025</v>
      </c>
      <c r="E359" s="24">
        <f>IFERROR(__xludf.DUMMYFUNCTION("""COMPUTED_VALUE"""),66.0)</f>
        <v>66</v>
      </c>
      <c r="F359" s="27" t="str">
        <f>IFERROR(__xludf.DUMMYFUNCTION("""COMPUTED_VALUE"""),"BLACK")</f>
        <v>BLACK</v>
      </c>
      <c r="G359" s="28" t="str">
        <f>IFERROR(__xludf.DUMMYFUNCTION("""COMPUTED_VALUE"""),"First Times a Charm Cider")</f>
        <v>First Times a Charm Cider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IFERROR(__xludf.DUMMYFUNCTION("""COMPUTED_VALUE"""),43550.8241105555)</f>
        <v>43550.82411</v>
      </c>
      <c r="D360" s="23">
        <f>IFERROR(__xludf.DUMMYFUNCTION("""COMPUTED_VALUE"""),1.025)</f>
        <v>1.025</v>
      </c>
      <c r="E360" s="24">
        <f>IFERROR(__xludf.DUMMYFUNCTION("""COMPUTED_VALUE"""),66.0)</f>
        <v>66</v>
      </c>
      <c r="F360" s="27" t="str">
        <f>IFERROR(__xludf.DUMMYFUNCTION("""COMPUTED_VALUE"""),"BLACK")</f>
        <v>BLACK</v>
      </c>
      <c r="G360" s="28" t="str">
        <f>IFERROR(__xludf.DUMMYFUNCTION("""COMPUTED_VALUE"""),"First Times a Charm Cider")</f>
        <v>First Times a Charm Cider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IFERROR(__xludf.DUMMYFUNCTION("""COMPUTED_VALUE"""),43550.8136787384)</f>
        <v>43550.81368</v>
      </c>
      <c r="D361" s="23">
        <f>IFERROR(__xludf.DUMMYFUNCTION("""COMPUTED_VALUE"""),1.025)</f>
        <v>1.025</v>
      </c>
      <c r="E361" s="24">
        <f>IFERROR(__xludf.DUMMYFUNCTION("""COMPUTED_VALUE"""),66.0)</f>
        <v>66</v>
      </c>
      <c r="F361" s="27" t="str">
        <f>IFERROR(__xludf.DUMMYFUNCTION("""COMPUTED_VALUE"""),"BLACK")</f>
        <v>BLACK</v>
      </c>
      <c r="G361" s="28" t="str">
        <f>IFERROR(__xludf.DUMMYFUNCTION("""COMPUTED_VALUE"""),"First Times a Charm Cider")</f>
        <v>First Times a Charm Cider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IFERROR(__xludf.DUMMYFUNCTION("""COMPUTED_VALUE"""),43550.803256956)</f>
        <v>43550.80326</v>
      </c>
      <c r="D362" s="23">
        <f>IFERROR(__xludf.DUMMYFUNCTION("""COMPUTED_VALUE"""),1.025)</f>
        <v>1.025</v>
      </c>
      <c r="E362" s="24">
        <f>IFERROR(__xludf.DUMMYFUNCTION("""COMPUTED_VALUE"""),66.0)</f>
        <v>66</v>
      </c>
      <c r="F362" s="27" t="str">
        <f>IFERROR(__xludf.DUMMYFUNCTION("""COMPUTED_VALUE"""),"BLACK")</f>
        <v>BLACK</v>
      </c>
      <c r="G362" s="28" t="str">
        <f>IFERROR(__xludf.DUMMYFUNCTION("""COMPUTED_VALUE"""),"First Times a Charm Cider")</f>
        <v>First Times a Charm Cider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IFERROR(__xludf.DUMMYFUNCTION("""COMPUTED_VALUE"""),43550.792833368)</f>
        <v>43550.79283</v>
      </c>
      <c r="D363" s="23">
        <f>IFERROR(__xludf.DUMMYFUNCTION("""COMPUTED_VALUE"""),1.025)</f>
        <v>1.025</v>
      </c>
      <c r="E363" s="24">
        <f>IFERROR(__xludf.DUMMYFUNCTION("""COMPUTED_VALUE"""),66.0)</f>
        <v>66</v>
      </c>
      <c r="F363" s="27" t="str">
        <f>IFERROR(__xludf.DUMMYFUNCTION("""COMPUTED_VALUE"""),"BLACK")</f>
        <v>BLACK</v>
      </c>
      <c r="G363" s="28" t="str">
        <f>IFERROR(__xludf.DUMMYFUNCTION("""COMPUTED_VALUE"""),"First Times a Charm Cider")</f>
        <v>First Times a Charm Cider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IFERROR(__xludf.DUMMYFUNCTION("""COMPUTED_VALUE"""),43550.782399618)</f>
        <v>43550.7824</v>
      </c>
      <c r="D364" s="23">
        <f>IFERROR(__xludf.DUMMYFUNCTION("""COMPUTED_VALUE"""),1.025)</f>
        <v>1.025</v>
      </c>
      <c r="E364" s="24">
        <f>IFERROR(__xludf.DUMMYFUNCTION("""COMPUTED_VALUE"""),66.0)</f>
        <v>66</v>
      </c>
      <c r="F364" s="27" t="str">
        <f>IFERROR(__xludf.DUMMYFUNCTION("""COMPUTED_VALUE"""),"BLACK")</f>
        <v>BLACK</v>
      </c>
      <c r="G364" s="28" t="str">
        <f>IFERROR(__xludf.DUMMYFUNCTION("""COMPUTED_VALUE"""),"First Times a Charm Cider")</f>
        <v>First Times a Charm Cider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IFERROR(__xludf.DUMMYFUNCTION("""COMPUTED_VALUE"""),43550.7719682523)</f>
        <v>43550.77197</v>
      </c>
      <c r="D365" s="23">
        <f>IFERROR(__xludf.DUMMYFUNCTION("""COMPUTED_VALUE"""),1.025)</f>
        <v>1.025</v>
      </c>
      <c r="E365" s="24">
        <f>IFERROR(__xludf.DUMMYFUNCTION("""COMPUTED_VALUE"""),66.0)</f>
        <v>66</v>
      </c>
      <c r="F365" s="27" t="str">
        <f>IFERROR(__xludf.DUMMYFUNCTION("""COMPUTED_VALUE"""),"BLACK")</f>
        <v>BLACK</v>
      </c>
      <c r="G365" s="28" t="str">
        <f>IFERROR(__xludf.DUMMYFUNCTION("""COMPUTED_VALUE"""),"First Times a Charm Cider")</f>
        <v>First Times a Charm Cider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IFERROR(__xludf.DUMMYFUNCTION("""COMPUTED_VALUE"""),43550.7615476388)</f>
        <v>43550.76155</v>
      </c>
      <c r="D366" s="23">
        <f>IFERROR(__xludf.DUMMYFUNCTION("""COMPUTED_VALUE"""),1.025)</f>
        <v>1.025</v>
      </c>
      <c r="E366" s="24">
        <f>IFERROR(__xludf.DUMMYFUNCTION("""COMPUTED_VALUE"""),66.0)</f>
        <v>66</v>
      </c>
      <c r="F366" s="27" t="str">
        <f>IFERROR(__xludf.DUMMYFUNCTION("""COMPUTED_VALUE"""),"BLACK")</f>
        <v>BLACK</v>
      </c>
      <c r="G366" s="28" t="str">
        <f>IFERROR(__xludf.DUMMYFUNCTION("""COMPUTED_VALUE"""),"First Times a Charm Cider")</f>
        <v>First Times a Charm Cider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IFERROR(__xludf.DUMMYFUNCTION("""COMPUTED_VALUE"""),43550.7511255787)</f>
        <v>43550.75113</v>
      </c>
      <c r="D367" s="23">
        <f>IFERROR(__xludf.DUMMYFUNCTION("""COMPUTED_VALUE"""),1.025)</f>
        <v>1.025</v>
      </c>
      <c r="E367" s="24">
        <f>IFERROR(__xludf.DUMMYFUNCTION("""COMPUTED_VALUE"""),66.0)</f>
        <v>66</v>
      </c>
      <c r="F367" s="27" t="str">
        <f>IFERROR(__xludf.DUMMYFUNCTION("""COMPUTED_VALUE"""),"BLACK")</f>
        <v>BLACK</v>
      </c>
      <c r="G367" s="28" t="str">
        <f>IFERROR(__xludf.DUMMYFUNCTION("""COMPUTED_VALUE"""),"First Times a Charm Cider")</f>
        <v>First Times a Charm Cider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IFERROR(__xludf.DUMMYFUNCTION("""COMPUTED_VALUE"""),43550.740704699)</f>
        <v>43550.7407</v>
      </c>
      <c r="D368" s="23">
        <f>IFERROR(__xludf.DUMMYFUNCTION("""COMPUTED_VALUE"""),1.025)</f>
        <v>1.025</v>
      </c>
      <c r="E368" s="24">
        <f>IFERROR(__xludf.DUMMYFUNCTION("""COMPUTED_VALUE"""),66.0)</f>
        <v>66</v>
      </c>
      <c r="F368" s="27" t="str">
        <f>IFERROR(__xludf.DUMMYFUNCTION("""COMPUTED_VALUE"""),"BLACK")</f>
        <v>BLACK</v>
      </c>
      <c r="G368" s="28" t="str">
        <f>IFERROR(__xludf.DUMMYFUNCTION("""COMPUTED_VALUE"""),"First Times a Charm Cider")</f>
        <v>First Times a Charm Cider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IFERROR(__xludf.DUMMYFUNCTION("""COMPUTED_VALUE"""),43550.7302712384)</f>
        <v>43550.73027</v>
      </c>
      <c r="D369" s="23">
        <f>IFERROR(__xludf.DUMMYFUNCTION("""COMPUTED_VALUE"""),1.025)</f>
        <v>1.025</v>
      </c>
      <c r="E369" s="24">
        <f>IFERROR(__xludf.DUMMYFUNCTION("""COMPUTED_VALUE"""),66.0)</f>
        <v>66</v>
      </c>
      <c r="F369" s="27" t="str">
        <f>IFERROR(__xludf.DUMMYFUNCTION("""COMPUTED_VALUE"""),"BLACK")</f>
        <v>BLACK</v>
      </c>
      <c r="G369" s="28" t="str">
        <f>IFERROR(__xludf.DUMMYFUNCTION("""COMPUTED_VALUE"""),"First Times a Charm Cider")</f>
        <v>First Times a Charm Cider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IFERROR(__xludf.DUMMYFUNCTION("""COMPUTED_VALUE"""),43550.7198273495)</f>
        <v>43550.71983</v>
      </c>
      <c r="D370" s="23">
        <f>IFERROR(__xludf.DUMMYFUNCTION("""COMPUTED_VALUE"""),1.025)</f>
        <v>1.025</v>
      </c>
      <c r="E370" s="24">
        <f>IFERROR(__xludf.DUMMYFUNCTION("""COMPUTED_VALUE"""),66.0)</f>
        <v>66</v>
      </c>
      <c r="F370" s="27" t="str">
        <f>IFERROR(__xludf.DUMMYFUNCTION("""COMPUTED_VALUE"""),"BLACK")</f>
        <v>BLACK</v>
      </c>
      <c r="G370" s="28" t="str">
        <f>IFERROR(__xludf.DUMMYFUNCTION("""COMPUTED_VALUE"""),"First Times a Charm Cider")</f>
        <v>First Times a Charm Cider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IFERROR(__xludf.DUMMYFUNCTION("""COMPUTED_VALUE"""),43550.7093959027)</f>
        <v>43550.7094</v>
      </c>
      <c r="D371" s="23">
        <f>IFERROR(__xludf.DUMMYFUNCTION("""COMPUTED_VALUE"""),1.025)</f>
        <v>1.025</v>
      </c>
      <c r="E371" s="24">
        <f>IFERROR(__xludf.DUMMYFUNCTION("""COMPUTED_VALUE"""),66.0)</f>
        <v>66</v>
      </c>
      <c r="F371" s="27" t="str">
        <f>IFERROR(__xludf.DUMMYFUNCTION("""COMPUTED_VALUE"""),"BLACK")</f>
        <v>BLACK</v>
      </c>
      <c r="G371" s="28" t="str">
        <f>IFERROR(__xludf.DUMMYFUNCTION("""COMPUTED_VALUE"""),"First Times a Charm Cider")</f>
        <v>First Times a Charm Cider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IFERROR(__xludf.DUMMYFUNCTION("""COMPUTED_VALUE"""),43550.698975324)</f>
        <v>43550.69898</v>
      </c>
      <c r="D372" s="23">
        <f>IFERROR(__xludf.DUMMYFUNCTION("""COMPUTED_VALUE"""),1.025)</f>
        <v>1.025</v>
      </c>
      <c r="E372" s="24">
        <f>IFERROR(__xludf.DUMMYFUNCTION("""COMPUTED_VALUE"""),66.0)</f>
        <v>66</v>
      </c>
      <c r="F372" s="27" t="str">
        <f>IFERROR(__xludf.DUMMYFUNCTION("""COMPUTED_VALUE"""),"BLACK")</f>
        <v>BLACK</v>
      </c>
      <c r="G372" s="28" t="str">
        <f>IFERROR(__xludf.DUMMYFUNCTION("""COMPUTED_VALUE"""),"First Times a Charm Cider")</f>
        <v>First Times a Charm Cider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IFERROR(__xludf.DUMMYFUNCTION("""COMPUTED_VALUE"""),43550.6885418518)</f>
        <v>43550.68854</v>
      </c>
      <c r="D373" s="23">
        <f>IFERROR(__xludf.DUMMYFUNCTION("""COMPUTED_VALUE"""),1.025)</f>
        <v>1.025</v>
      </c>
      <c r="E373" s="24">
        <f>IFERROR(__xludf.DUMMYFUNCTION("""COMPUTED_VALUE"""),66.0)</f>
        <v>66</v>
      </c>
      <c r="F373" s="27" t="str">
        <f>IFERROR(__xludf.DUMMYFUNCTION("""COMPUTED_VALUE"""),"BLACK")</f>
        <v>BLACK</v>
      </c>
      <c r="G373" s="28" t="str">
        <f>IFERROR(__xludf.DUMMYFUNCTION("""COMPUTED_VALUE"""),"First Times a Charm Cider")</f>
        <v>First Times a Charm Cider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IFERROR(__xludf.DUMMYFUNCTION("""COMPUTED_VALUE"""),43550.6781220023)</f>
        <v>43550.67812</v>
      </c>
      <c r="D374" s="23">
        <f>IFERROR(__xludf.DUMMYFUNCTION("""COMPUTED_VALUE"""),1.025)</f>
        <v>1.025</v>
      </c>
      <c r="E374" s="24">
        <f>IFERROR(__xludf.DUMMYFUNCTION("""COMPUTED_VALUE"""),66.0)</f>
        <v>66</v>
      </c>
      <c r="F374" s="27" t="str">
        <f>IFERROR(__xludf.DUMMYFUNCTION("""COMPUTED_VALUE"""),"BLACK")</f>
        <v>BLACK</v>
      </c>
      <c r="G374" s="28" t="str">
        <f>IFERROR(__xludf.DUMMYFUNCTION("""COMPUTED_VALUE"""),"First Times a Charm Cider")</f>
        <v>First Times a Charm Cider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IFERROR(__xludf.DUMMYFUNCTION("""COMPUTED_VALUE"""),43550.6676899421)</f>
        <v>43550.66769</v>
      </c>
      <c r="D375" s="23">
        <f>IFERROR(__xludf.DUMMYFUNCTION("""COMPUTED_VALUE"""),1.025)</f>
        <v>1.025</v>
      </c>
      <c r="E375" s="24">
        <f>IFERROR(__xludf.DUMMYFUNCTION("""COMPUTED_VALUE"""),66.0)</f>
        <v>66</v>
      </c>
      <c r="F375" s="27" t="str">
        <f>IFERROR(__xludf.DUMMYFUNCTION("""COMPUTED_VALUE"""),"BLACK")</f>
        <v>BLACK</v>
      </c>
      <c r="G375" s="28" t="str">
        <f>IFERROR(__xludf.DUMMYFUNCTION("""COMPUTED_VALUE"""),"First Times a Charm Cider")</f>
        <v>First Times a Charm Cider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IFERROR(__xludf.DUMMYFUNCTION("""COMPUTED_VALUE"""),43550.6572669328)</f>
        <v>43550.65727</v>
      </c>
      <c r="D376" s="23">
        <f>IFERROR(__xludf.DUMMYFUNCTION("""COMPUTED_VALUE"""),1.025)</f>
        <v>1.025</v>
      </c>
      <c r="E376" s="24">
        <f>IFERROR(__xludf.DUMMYFUNCTION("""COMPUTED_VALUE"""),66.0)</f>
        <v>66</v>
      </c>
      <c r="F376" s="27" t="str">
        <f>IFERROR(__xludf.DUMMYFUNCTION("""COMPUTED_VALUE"""),"BLACK")</f>
        <v>BLACK</v>
      </c>
      <c r="G376" s="28" t="str">
        <f>IFERROR(__xludf.DUMMYFUNCTION("""COMPUTED_VALUE"""),"First Times a Charm Cider")</f>
        <v>First Times a Charm Cider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IFERROR(__xludf.DUMMYFUNCTION("""COMPUTED_VALUE"""),43550.6468447685)</f>
        <v>43550.64684</v>
      </c>
      <c r="D377" s="23">
        <f>IFERROR(__xludf.DUMMYFUNCTION("""COMPUTED_VALUE"""),1.025)</f>
        <v>1.025</v>
      </c>
      <c r="E377" s="24">
        <f>IFERROR(__xludf.DUMMYFUNCTION("""COMPUTED_VALUE"""),66.0)</f>
        <v>66</v>
      </c>
      <c r="F377" s="27" t="str">
        <f>IFERROR(__xludf.DUMMYFUNCTION("""COMPUTED_VALUE"""),"BLACK")</f>
        <v>BLACK</v>
      </c>
      <c r="G377" s="28" t="str">
        <f>IFERROR(__xludf.DUMMYFUNCTION("""COMPUTED_VALUE"""),"First Times a Charm Cider")</f>
        <v>First Times a Charm Cider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IFERROR(__xludf.DUMMYFUNCTION("""COMPUTED_VALUE"""),43550.6363986226)</f>
        <v>43550.6364</v>
      </c>
      <c r="D378" s="23">
        <f>IFERROR(__xludf.DUMMYFUNCTION("""COMPUTED_VALUE"""),1.025)</f>
        <v>1.025</v>
      </c>
      <c r="E378" s="24">
        <f>IFERROR(__xludf.DUMMYFUNCTION("""COMPUTED_VALUE"""),66.0)</f>
        <v>66</v>
      </c>
      <c r="F378" s="27" t="str">
        <f>IFERROR(__xludf.DUMMYFUNCTION("""COMPUTED_VALUE"""),"BLACK")</f>
        <v>BLACK</v>
      </c>
      <c r="G378" s="28" t="str">
        <f>IFERROR(__xludf.DUMMYFUNCTION("""COMPUTED_VALUE"""),"First Times a Charm Cider")</f>
        <v>First Times a Charm Cider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IFERROR(__xludf.DUMMYFUNCTION("""COMPUTED_VALUE"""),43550.6259656597)</f>
        <v>43550.62597</v>
      </c>
      <c r="D379" s="23">
        <f>IFERROR(__xludf.DUMMYFUNCTION("""COMPUTED_VALUE"""),1.025)</f>
        <v>1.025</v>
      </c>
      <c r="E379" s="24">
        <f>IFERROR(__xludf.DUMMYFUNCTION("""COMPUTED_VALUE"""),66.0)</f>
        <v>66</v>
      </c>
      <c r="F379" s="27" t="str">
        <f>IFERROR(__xludf.DUMMYFUNCTION("""COMPUTED_VALUE"""),"BLACK")</f>
        <v>BLACK</v>
      </c>
      <c r="G379" s="28" t="str">
        <f>IFERROR(__xludf.DUMMYFUNCTION("""COMPUTED_VALUE"""),"First Times a Charm Cider")</f>
        <v>First Times a Charm Cider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IFERROR(__xludf.DUMMYFUNCTION("""COMPUTED_VALUE"""),43550.6155443055)</f>
        <v>43550.61554</v>
      </c>
      <c r="D380" s="23">
        <f>IFERROR(__xludf.DUMMYFUNCTION("""COMPUTED_VALUE"""),1.025)</f>
        <v>1.025</v>
      </c>
      <c r="E380" s="24">
        <f>IFERROR(__xludf.DUMMYFUNCTION("""COMPUTED_VALUE"""),66.0)</f>
        <v>66</v>
      </c>
      <c r="F380" s="27" t="str">
        <f>IFERROR(__xludf.DUMMYFUNCTION("""COMPUTED_VALUE"""),"BLACK")</f>
        <v>BLACK</v>
      </c>
      <c r="G380" s="28" t="str">
        <f>IFERROR(__xludf.DUMMYFUNCTION("""COMPUTED_VALUE"""),"First Times a Charm Cider")</f>
        <v>First Times a Charm Cider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IFERROR(__xludf.DUMMYFUNCTION("""COMPUTED_VALUE"""),43550.6051114467)</f>
        <v>43550.60511</v>
      </c>
      <c r="D381" s="23">
        <f>IFERROR(__xludf.DUMMYFUNCTION("""COMPUTED_VALUE"""),1.025)</f>
        <v>1.025</v>
      </c>
      <c r="E381" s="24">
        <f>IFERROR(__xludf.DUMMYFUNCTION("""COMPUTED_VALUE"""),66.0)</f>
        <v>66</v>
      </c>
      <c r="F381" s="27" t="str">
        <f>IFERROR(__xludf.DUMMYFUNCTION("""COMPUTED_VALUE"""),"BLACK")</f>
        <v>BLACK</v>
      </c>
      <c r="G381" s="28" t="str">
        <f>IFERROR(__xludf.DUMMYFUNCTION("""COMPUTED_VALUE"""),"First Times a Charm Cider")</f>
        <v>First Times a Charm Cider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IFERROR(__xludf.DUMMYFUNCTION("""COMPUTED_VALUE"""),43550.5946906712)</f>
        <v>43550.59469</v>
      </c>
      <c r="D382" s="23">
        <f>IFERROR(__xludf.DUMMYFUNCTION("""COMPUTED_VALUE"""),1.025)</f>
        <v>1.025</v>
      </c>
      <c r="E382" s="24">
        <f>IFERROR(__xludf.DUMMYFUNCTION("""COMPUTED_VALUE"""),66.0)</f>
        <v>66</v>
      </c>
      <c r="F382" s="27" t="str">
        <f>IFERROR(__xludf.DUMMYFUNCTION("""COMPUTED_VALUE"""),"BLACK")</f>
        <v>BLACK</v>
      </c>
      <c r="G382" s="28" t="str">
        <f>IFERROR(__xludf.DUMMYFUNCTION("""COMPUTED_VALUE"""),"First Times a Charm Cider")</f>
        <v>First Times a Charm Cider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IFERROR(__xludf.DUMMYFUNCTION("""COMPUTED_VALUE"""),43550.5842676736)</f>
        <v>43550.58427</v>
      </c>
      <c r="D383" s="23">
        <f>IFERROR(__xludf.DUMMYFUNCTION("""COMPUTED_VALUE"""),1.025)</f>
        <v>1.025</v>
      </c>
      <c r="E383" s="24">
        <f>IFERROR(__xludf.DUMMYFUNCTION("""COMPUTED_VALUE"""),66.0)</f>
        <v>66</v>
      </c>
      <c r="F383" s="27" t="str">
        <f>IFERROR(__xludf.DUMMYFUNCTION("""COMPUTED_VALUE"""),"BLACK")</f>
        <v>BLACK</v>
      </c>
      <c r="G383" s="28" t="str">
        <f>IFERROR(__xludf.DUMMYFUNCTION("""COMPUTED_VALUE"""),"First Times a Charm Cider")</f>
        <v>First Times a Charm Cider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IFERROR(__xludf.DUMMYFUNCTION("""COMPUTED_VALUE"""),43550.5738462615)</f>
        <v>43550.57385</v>
      </c>
      <c r="D384" s="23">
        <f>IFERROR(__xludf.DUMMYFUNCTION("""COMPUTED_VALUE"""),1.025)</f>
        <v>1.025</v>
      </c>
      <c r="E384" s="24">
        <f>IFERROR(__xludf.DUMMYFUNCTION("""COMPUTED_VALUE"""),66.0)</f>
        <v>66</v>
      </c>
      <c r="F384" s="27" t="str">
        <f>IFERROR(__xludf.DUMMYFUNCTION("""COMPUTED_VALUE"""),"BLACK")</f>
        <v>BLACK</v>
      </c>
      <c r="G384" s="28" t="str">
        <f>IFERROR(__xludf.DUMMYFUNCTION("""COMPUTED_VALUE"""),"First Times a Charm Cider")</f>
        <v>First Times a Charm Cider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IFERROR(__xludf.DUMMYFUNCTION("""COMPUTED_VALUE"""),43550.5634228125)</f>
        <v>43550.56342</v>
      </c>
      <c r="D385" s="23">
        <f>IFERROR(__xludf.DUMMYFUNCTION("""COMPUTED_VALUE"""),1.025)</f>
        <v>1.025</v>
      </c>
      <c r="E385" s="24">
        <f>IFERROR(__xludf.DUMMYFUNCTION("""COMPUTED_VALUE"""),66.0)</f>
        <v>66</v>
      </c>
      <c r="F385" s="27" t="str">
        <f>IFERROR(__xludf.DUMMYFUNCTION("""COMPUTED_VALUE"""),"BLACK")</f>
        <v>BLACK</v>
      </c>
      <c r="G385" s="28" t="str">
        <f>IFERROR(__xludf.DUMMYFUNCTION("""COMPUTED_VALUE"""),"First Times a Charm Cider")</f>
        <v>First Times a Charm Cider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IFERROR(__xludf.DUMMYFUNCTION("""COMPUTED_VALUE"""),43550.5530023148)</f>
        <v>43550.553</v>
      </c>
      <c r="D386" s="23">
        <f>IFERROR(__xludf.DUMMYFUNCTION("""COMPUTED_VALUE"""),1.025)</f>
        <v>1.025</v>
      </c>
      <c r="E386" s="24">
        <f>IFERROR(__xludf.DUMMYFUNCTION("""COMPUTED_VALUE"""),66.0)</f>
        <v>66</v>
      </c>
      <c r="F386" s="27" t="str">
        <f>IFERROR(__xludf.DUMMYFUNCTION("""COMPUTED_VALUE"""),"BLACK")</f>
        <v>BLACK</v>
      </c>
      <c r="G386" s="28" t="str">
        <f>IFERROR(__xludf.DUMMYFUNCTION("""COMPUTED_VALUE"""),"First Times a Charm Cider")</f>
        <v>First Times a Charm Cider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IFERROR(__xludf.DUMMYFUNCTION("""COMPUTED_VALUE"""),43550.5425819213)</f>
        <v>43550.54258</v>
      </c>
      <c r="D387" s="23">
        <f>IFERROR(__xludf.DUMMYFUNCTION("""COMPUTED_VALUE"""),1.025)</f>
        <v>1.025</v>
      </c>
      <c r="E387" s="24">
        <f>IFERROR(__xludf.DUMMYFUNCTION("""COMPUTED_VALUE"""),66.0)</f>
        <v>66</v>
      </c>
      <c r="F387" s="27" t="str">
        <f>IFERROR(__xludf.DUMMYFUNCTION("""COMPUTED_VALUE"""),"BLACK")</f>
        <v>BLACK</v>
      </c>
      <c r="G387" s="28" t="str">
        <f>IFERROR(__xludf.DUMMYFUNCTION("""COMPUTED_VALUE"""),"First Times a Charm Cider")</f>
        <v>First Times a Charm Cider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IFERROR(__xludf.DUMMYFUNCTION("""COMPUTED_VALUE"""),43550.5321609953)</f>
        <v>43550.53216</v>
      </c>
      <c r="D388" s="23">
        <f>IFERROR(__xludf.DUMMYFUNCTION("""COMPUTED_VALUE"""),1.025)</f>
        <v>1.025</v>
      </c>
      <c r="E388" s="24">
        <f>IFERROR(__xludf.DUMMYFUNCTION("""COMPUTED_VALUE"""),66.0)</f>
        <v>66</v>
      </c>
      <c r="F388" s="27" t="str">
        <f>IFERROR(__xludf.DUMMYFUNCTION("""COMPUTED_VALUE"""),"BLACK")</f>
        <v>BLACK</v>
      </c>
      <c r="G388" s="28" t="str">
        <f>IFERROR(__xludf.DUMMYFUNCTION("""COMPUTED_VALUE"""),"First Times a Charm Cider")</f>
        <v>First Times a Charm Cider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IFERROR(__xludf.DUMMYFUNCTION("""COMPUTED_VALUE"""),43550.52173853)</f>
        <v>43550.52174</v>
      </c>
      <c r="D389" s="23">
        <f>IFERROR(__xludf.DUMMYFUNCTION("""COMPUTED_VALUE"""),1.025)</f>
        <v>1.025</v>
      </c>
      <c r="E389" s="24">
        <f>IFERROR(__xludf.DUMMYFUNCTION("""COMPUTED_VALUE"""),66.0)</f>
        <v>66</v>
      </c>
      <c r="F389" s="27" t="str">
        <f>IFERROR(__xludf.DUMMYFUNCTION("""COMPUTED_VALUE"""),"BLACK")</f>
        <v>BLACK</v>
      </c>
      <c r="G389" s="28" t="str">
        <f>IFERROR(__xludf.DUMMYFUNCTION("""COMPUTED_VALUE"""),"First Times a Charm Cider")</f>
        <v>First Times a Charm Cider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IFERROR(__xludf.DUMMYFUNCTION("""COMPUTED_VALUE"""),43550.5113046527)</f>
        <v>43550.5113</v>
      </c>
      <c r="D390" s="23">
        <f>IFERROR(__xludf.DUMMYFUNCTION("""COMPUTED_VALUE"""),1.025)</f>
        <v>1.025</v>
      </c>
      <c r="E390" s="24">
        <f>IFERROR(__xludf.DUMMYFUNCTION("""COMPUTED_VALUE"""),66.0)</f>
        <v>66</v>
      </c>
      <c r="F390" s="27" t="str">
        <f>IFERROR(__xludf.DUMMYFUNCTION("""COMPUTED_VALUE"""),"BLACK")</f>
        <v>BLACK</v>
      </c>
      <c r="G390" s="28" t="str">
        <f>IFERROR(__xludf.DUMMYFUNCTION("""COMPUTED_VALUE"""),"First Times a Charm Cider")</f>
        <v>First Times a Charm Cider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IFERROR(__xludf.DUMMYFUNCTION("""COMPUTED_VALUE"""),43550.5008731828)</f>
        <v>43550.50087</v>
      </c>
      <c r="D391" s="23">
        <f>IFERROR(__xludf.DUMMYFUNCTION("""COMPUTED_VALUE"""),1.026)</f>
        <v>1.026</v>
      </c>
      <c r="E391" s="24">
        <f>IFERROR(__xludf.DUMMYFUNCTION("""COMPUTED_VALUE"""),66.0)</f>
        <v>66</v>
      </c>
      <c r="F391" s="27" t="str">
        <f>IFERROR(__xludf.DUMMYFUNCTION("""COMPUTED_VALUE"""),"BLACK")</f>
        <v>BLACK</v>
      </c>
      <c r="G391" s="28" t="str">
        <f>IFERROR(__xludf.DUMMYFUNCTION("""COMPUTED_VALUE"""),"First Times a Charm Cider")</f>
        <v>First Times a Charm Cider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IFERROR(__xludf.DUMMYFUNCTION("""COMPUTED_VALUE"""),43550.4904399537)</f>
        <v>43550.49044</v>
      </c>
      <c r="D392" s="23">
        <f>IFERROR(__xludf.DUMMYFUNCTION("""COMPUTED_VALUE"""),1.025)</f>
        <v>1.025</v>
      </c>
      <c r="E392" s="24">
        <f>IFERROR(__xludf.DUMMYFUNCTION("""COMPUTED_VALUE"""),66.0)</f>
        <v>66</v>
      </c>
      <c r="F392" s="27" t="str">
        <f>IFERROR(__xludf.DUMMYFUNCTION("""COMPUTED_VALUE"""),"BLACK")</f>
        <v>BLACK</v>
      </c>
      <c r="G392" s="28" t="str">
        <f>IFERROR(__xludf.DUMMYFUNCTION("""COMPUTED_VALUE"""),"First Times a Charm Cider")</f>
        <v>First Times a Charm Cider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IFERROR(__xludf.DUMMYFUNCTION("""COMPUTED_VALUE"""),43550.4800189699)</f>
        <v>43550.48002</v>
      </c>
      <c r="D393" s="23">
        <f>IFERROR(__xludf.DUMMYFUNCTION("""COMPUTED_VALUE"""),1.025)</f>
        <v>1.025</v>
      </c>
      <c r="E393" s="24">
        <f>IFERROR(__xludf.DUMMYFUNCTION("""COMPUTED_VALUE"""),66.0)</f>
        <v>66</v>
      </c>
      <c r="F393" s="27" t="str">
        <f>IFERROR(__xludf.DUMMYFUNCTION("""COMPUTED_VALUE"""),"BLACK")</f>
        <v>BLACK</v>
      </c>
      <c r="G393" s="28" t="str">
        <f>IFERROR(__xludf.DUMMYFUNCTION("""COMPUTED_VALUE"""),"First Times a Charm Cider")</f>
        <v>First Times a Charm Cider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IFERROR(__xludf.DUMMYFUNCTION("""COMPUTED_VALUE"""),43550.4695853009)</f>
        <v>43550.46959</v>
      </c>
      <c r="D394" s="23">
        <f>IFERROR(__xludf.DUMMYFUNCTION("""COMPUTED_VALUE"""),1.025)</f>
        <v>1.025</v>
      </c>
      <c r="E394" s="24">
        <f>IFERROR(__xludf.DUMMYFUNCTION("""COMPUTED_VALUE"""),66.0)</f>
        <v>66</v>
      </c>
      <c r="F394" s="27" t="str">
        <f>IFERROR(__xludf.DUMMYFUNCTION("""COMPUTED_VALUE"""),"BLACK")</f>
        <v>BLACK</v>
      </c>
      <c r="G394" s="28" t="str">
        <f>IFERROR(__xludf.DUMMYFUNCTION("""COMPUTED_VALUE"""),"First Times a Charm Cider")</f>
        <v>First Times a Charm Cider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IFERROR(__xludf.DUMMYFUNCTION("""COMPUTED_VALUE"""),43550.4591400231)</f>
        <v>43550.45914</v>
      </c>
      <c r="D395" s="23">
        <f>IFERROR(__xludf.DUMMYFUNCTION("""COMPUTED_VALUE"""),1.025)</f>
        <v>1.025</v>
      </c>
      <c r="E395" s="24">
        <f>IFERROR(__xludf.DUMMYFUNCTION("""COMPUTED_VALUE"""),66.0)</f>
        <v>66</v>
      </c>
      <c r="F395" s="27" t="str">
        <f>IFERROR(__xludf.DUMMYFUNCTION("""COMPUTED_VALUE"""),"BLACK")</f>
        <v>BLACK</v>
      </c>
      <c r="G395" s="28" t="str">
        <f>IFERROR(__xludf.DUMMYFUNCTION("""COMPUTED_VALUE"""),"First Times a Charm Cider")</f>
        <v>First Times a Charm Cider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IFERROR(__xludf.DUMMYFUNCTION("""COMPUTED_VALUE"""),43550.4487076388)</f>
        <v>43550.44871</v>
      </c>
      <c r="D396" s="23">
        <f>IFERROR(__xludf.DUMMYFUNCTION("""COMPUTED_VALUE"""),1.025)</f>
        <v>1.025</v>
      </c>
      <c r="E396" s="24">
        <f>IFERROR(__xludf.DUMMYFUNCTION("""COMPUTED_VALUE"""),66.0)</f>
        <v>66</v>
      </c>
      <c r="F396" s="27" t="str">
        <f>IFERROR(__xludf.DUMMYFUNCTION("""COMPUTED_VALUE"""),"BLACK")</f>
        <v>BLACK</v>
      </c>
      <c r="G396" s="28" t="str">
        <f>IFERROR(__xludf.DUMMYFUNCTION("""COMPUTED_VALUE"""),"First Times a Charm Cider")</f>
        <v>First Times a Charm Cider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IFERROR(__xludf.DUMMYFUNCTION("""COMPUTED_VALUE"""),43550.4382864004)</f>
        <v>43550.43829</v>
      </c>
      <c r="D397" s="23">
        <f>IFERROR(__xludf.DUMMYFUNCTION("""COMPUTED_VALUE"""),1.026)</f>
        <v>1.026</v>
      </c>
      <c r="E397" s="24">
        <f>IFERROR(__xludf.DUMMYFUNCTION("""COMPUTED_VALUE"""),66.0)</f>
        <v>66</v>
      </c>
      <c r="F397" s="27" t="str">
        <f>IFERROR(__xludf.DUMMYFUNCTION("""COMPUTED_VALUE"""),"BLACK")</f>
        <v>BLACK</v>
      </c>
      <c r="G397" s="28" t="str">
        <f>IFERROR(__xludf.DUMMYFUNCTION("""COMPUTED_VALUE"""),"First Times a Charm Cider")</f>
        <v>First Times a Charm Cider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IFERROR(__xludf.DUMMYFUNCTION("""COMPUTED_VALUE"""),43550.4278550231)</f>
        <v>43550.42786</v>
      </c>
      <c r="D398" s="23">
        <f>IFERROR(__xludf.DUMMYFUNCTION("""COMPUTED_VALUE"""),1.026)</f>
        <v>1.026</v>
      </c>
      <c r="E398" s="24">
        <f>IFERROR(__xludf.DUMMYFUNCTION("""COMPUTED_VALUE"""),66.0)</f>
        <v>66</v>
      </c>
      <c r="F398" s="27" t="str">
        <f>IFERROR(__xludf.DUMMYFUNCTION("""COMPUTED_VALUE"""),"BLACK")</f>
        <v>BLACK</v>
      </c>
      <c r="G398" s="28" t="str">
        <f>IFERROR(__xludf.DUMMYFUNCTION("""COMPUTED_VALUE"""),"First Times a Charm Cider")</f>
        <v>First Times a Charm Cider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IFERROR(__xludf.DUMMYFUNCTION("""COMPUTED_VALUE"""),43550.4174223842)</f>
        <v>43550.41742</v>
      </c>
      <c r="D399" s="23">
        <f>IFERROR(__xludf.DUMMYFUNCTION("""COMPUTED_VALUE"""),1.025)</f>
        <v>1.025</v>
      </c>
      <c r="E399" s="24">
        <f>IFERROR(__xludf.DUMMYFUNCTION("""COMPUTED_VALUE"""),66.0)</f>
        <v>66</v>
      </c>
      <c r="F399" s="27" t="str">
        <f>IFERROR(__xludf.DUMMYFUNCTION("""COMPUTED_VALUE"""),"BLACK")</f>
        <v>BLACK</v>
      </c>
      <c r="G399" s="28" t="str">
        <f>IFERROR(__xludf.DUMMYFUNCTION("""COMPUTED_VALUE"""),"First Times a Charm Cider")</f>
        <v>First Times a Charm Cider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IFERROR(__xludf.DUMMYFUNCTION("""COMPUTED_VALUE"""),43550.4070005555)</f>
        <v>43550.407</v>
      </c>
      <c r="D400" s="23">
        <f>IFERROR(__xludf.DUMMYFUNCTION("""COMPUTED_VALUE"""),1.026)</f>
        <v>1.026</v>
      </c>
      <c r="E400" s="24">
        <f>IFERROR(__xludf.DUMMYFUNCTION("""COMPUTED_VALUE"""),66.0)</f>
        <v>66</v>
      </c>
      <c r="F400" s="27" t="str">
        <f>IFERROR(__xludf.DUMMYFUNCTION("""COMPUTED_VALUE"""),"BLACK")</f>
        <v>BLACK</v>
      </c>
      <c r="G400" s="28" t="str">
        <f>IFERROR(__xludf.DUMMYFUNCTION("""COMPUTED_VALUE"""),"First Times a Charm Cider")</f>
        <v>First Times a Charm Cider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IFERROR(__xludf.DUMMYFUNCTION("""COMPUTED_VALUE"""),43550.3965564467)</f>
        <v>43550.39656</v>
      </c>
      <c r="D401" s="23">
        <f>IFERROR(__xludf.DUMMYFUNCTION("""COMPUTED_VALUE"""),1.026)</f>
        <v>1.026</v>
      </c>
      <c r="E401" s="24">
        <f>IFERROR(__xludf.DUMMYFUNCTION("""COMPUTED_VALUE"""),66.0)</f>
        <v>66</v>
      </c>
      <c r="F401" s="27" t="str">
        <f>IFERROR(__xludf.DUMMYFUNCTION("""COMPUTED_VALUE"""),"BLACK")</f>
        <v>BLACK</v>
      </c>
      <c r="G401" s="28" t="str">
        <f>IFERROR(__xludf.DUMMYFUNCTION("""COMPUTED_VALUE"""),"First Times a Charm Cider")</f>
        <v>First Times a Charm Cider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IFERROR(__xludf.DUMMYFUNCTION("""COMPUTED_VALUE"""),43550.386134699)</f>
        <v>43550.38613</v>
      </c>
      <c r="D402" s="23">
        <f>IFERROR(__xludf.DUMMYFUNCTION("""COMPUTED_VALUE"""),1.026)</f>
        <v>1.026</v>
      </c>
      <c r="E402" s="24">
        <f>IFERROR(__xludf.DUMMYFUNCTION("""COMPUTED_VALUE"""),66.0)</f>
        <v>66</v>
      </c>
      <c r="F402" s="27" t="str">
        <f>IFERROR(__xludf.DUMMYFUNCTION("""COMPUTED_VALUE"""),"BLACK")</f>
        <v>BLACK</v>
      </c>
      <c r="G402" s="28" t="str">
        <f>IFERROR(__xludf.DUMMYFUNCTION("""COMPUTED_VALUE"""),"First Times a Charm Cider")</f>
        <v>First Times a Charm Cider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IFERROR(__xludf.DUMMYFUNCTION("""COMPUTED_VALUE"""),43550.3757015277)</f>
        <v>43550.3757</v>
      </c>
      <c r="D403" s="23">
        <f>IFERROR(__xludf.DUMMYFUNCTION("""COMPUTED_VALUE"""),1.025)</f>
        <v>1.025</v>
      </c>
      <c r="E403" s="24">
        <f>IFERROR(__xludf.DUMMYFUNCTION("""COMPUTED_VALUE"""),66.0)</f>
        <v>66</v>
      </c>
      <c r="F403" s="27" t="str">
        <f>IFERROR(__xludf.DUMMYFUNCTION("""COMPUTED_VALUE"""),"BLACK")</f>
        <v>BLACK</v>
      </c>
      <c r="G403" s="28" t="str">
        <f>IFERROR(__xludf.DUMMYFUNCTION("""COMPUTED_VALUE"""),"First Times a Charm Cider")</f>
        <v>First Times a Charm Cider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IFERROR(__xludf.DUMMYFUNCTION("""COMPUTED_VALUE"""),43550.3652794675)</f>
        <v>43550.36528</v>
      </c>
      <c r="D404" s="23">
        <f>IFERROR(__xludf.DUMMYFUNCTION("""COMPUTED_VALUE"""),1.026)</f>
        <v>1.026</v>
      </c>
      <c r="E404" s="24">
        <f>IFERROR(__xludf.DUMMYFUNCTION("""COMPUTED_VALUE"""),66.0)</f>
        <v>66</v>
      </c>
      <c r="F404" s="27" t="str">
        <f>IFERROR(__xludf.DUMMYFUNCTION("""COMPUTED_VALUE"""),"BLACK")</f>
        <v>BLACK</v>
      </c>
      <c r="G404" s="28" t="str">
        <f>IFERROR(__xludf.DUMMYFUNCTION("""COMPUTED_VALUE"""),"First Times a Charm Cider")</f>
        <v>First Times a Charm Cider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IFERROR(__xludf.DUMMYFUNCTION("""COMPUTED_VALUE"""),43550.3548571064)</f>
        <v>43550.35486</v>
      </c>
      <c r="D405" s="23">
        <f>IFERROR(__xludf.DUMMYFUNCTION("""COMPUTED_VALUE"""),1.026)</f>
        <v>1.026</v>
      </c>
      <c r="E405" s="24">
        <f>IFERROR(__xludf.DUMMYFUNCTION("""COMPUTED_VALUE"""),66.0)</f>
        <v>66</v>
      </c>
      <c r="F405" s="27" t="str">
        <f>IFERROR(__xludf.DUMMYFUNCTION("""COMPUTED_VALUE"""),"BLACK")</f>
        <v>BLACK</v>
      </c>
      <c r="G405" s="28" t="str">
        <f>IFERROR(__xludf.DUMMYFUNCTION("""COMPUTED_VALUE"""),"First Times a Charm Cider")</f>
        <v>First Times a Charm Cider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IFERROR(__xludf.DUMMYFUNCTION("""COMPUTED_VALUE"""),43550.3444135416)</f>
        <v>43550.34441</v>
      </c>
      <c r="D406" s="23">
        <f>IFERROR(__xludf.DUMMYFUNCTION("""COMPUTED_VALUE"""),1.026)</f>
        <v>1.026</v>
      </c>
      <c r="E406" s="24">
        <f>IFERROR(__xludf.DUMMYFUNCTION("""COMPUTED_VALUE"""),66.0)</f>
        <v>66</v>
      </c>
      <c r="F406" s="27" t="str">
        <f>IFERROR(__xludf.DUMMYFUNCTION("""COMPUTED_VALUE"""),"BLACK")</f>
        <v>BLACK</v>
      </c>
      <c r="G406" s="28" t="str">
        <f>IFERROR(__xludf.DUMMYFUNCTION("""COMPUTED_VALUE"""),"First Times a Charm Cider")</f>
        <v>First Times a Charm Cider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IFERROR(__xludf.DUMMYFUNCTION("""COMPUTED_VALUE"""),43550.3339916666)</f>
        <v>43550.33399</v>
      </c>
      <c r="D407" s="23">
        <f>IFERROR(__xludf.DUMMYFUNCTION("""COMPUTED_VALUE"""),1.025)</f>
        <v>1.025</v>
      </c>
      <c r="E407" s="24">
        <f>IFERROR(__xludf.DUMMYFUNCTION("""COMPUTED_VALUE"""),66.0)</f>
        <v>66</v>
      </c>
      <c r="F407" s="27" t="str">
        <f>IFERROR(__xludf.DUMMYFUNCTION("""COMPUTED_VALUE"""),"BLACK")</f>
        <v>BLACK</v>
      </c>
      <c r="G407" s="28" t="str">
        <f>IFERROR(__xludf.DUMMYFUNCTION("""COMPUTED_VALUE"""),"First Times a Charm Cider")</f>
        <v>First Times a Charm Cider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IFERROR(__xludf.DUMMYFUNCTION("""COMPUTED_VALUE"""),43550.3235218055)</f>
        <v>43550.32352</v>
      </c>
      <c r="D408" s="23">
        <f>IFERROR(__xludf.DUMMYFUNCTION("""COMPUTED_VALUE"""),1.026)</f>
        <v>1.026</v>
      </c>
      <c r="E408" s="24">
        <f>IFERROR(__xludf.DUMMYFUNCTION("""COMPUTED_VALUE"""),66.0)</f>
        <v>66</v>
      </c>
      <c r="F408" s="27" t="str">
        <f>IFERROR(__xludf.DUMMYFUNCTION("""COMPUTED_VALUE"""),"BLACK")</f>
        <v>BLACK</v>
      </c>
      <c r="G408" s="28" t="str">
        <f>IFERROR(__xludf.DUMMYFUNCTION("""COMPUTED_VALUE"""),"First Times a Charm Cider")</f>
        <v>First Times a Charm Cider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IFERROR(__xludf.DUMMYFUNCTION("""COMPUTED_VALUE"""),43550.3130882407)</f>
        <v>43550.31309</v>
      </c>
      <c r="D409" s="23">
        <f>IFERROR(__xludf.DUMMYFUNCTION("""COMPUTED_VALUE"""),1.026)</f>
        <v>1.026</v>
      </c>
      <c r="E409" s="24">
        <f>IFERROR(__xludf.DUMMYFUNCTION("""COMPUTED_VALUE"""),66.0)</f>
        <v>66</v>
      </c>
      <c r="F409" s="27" t="str">
        <f>IFERROR(__xludf.DUMMYFUNCTION("""COMPUTED_VALUE"""),"BLACK")</f>
        <v>BLACK</v>
      </c>
      <c r="G409" s="28" t="str">
        <f>IFERROR(__xludf.DUMMYFUNCTION("""COMPUTED_VALUE"""),"First Times a Charm Cider")</f>
        <v>First Times a Charm Cider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IFERROR(__xludf.DUMMYFUNCTION("""COMPUTED_VALUE"""),43550.3026676157)</f>
        <v>43550.30267</v>
      </c>
      <c r="D410" s="23">
        <f>IFERROR(__xludf.DUMMYFUNCTION("""COMPUTED_VALUE"""),1.026)</f>
        <v>1.026</v>
      </c>
      <c r="E410" s="24">
        <f>IFERROR(__xludf.DUMMYFUNCTION("""COMPUTED_VALUE"""),66.0)</f>
        <v>66</v>
      </c>
      <c r="F410" s="27" t="str">
        <f>IFERROR(__xludf.DUMMYFUNCTION("""COMPUTED_VALUE"""),"BLACK")</f>
        <v>BLACK</v>
      </c>
      <c r="G410" s="28" t="str">
        <f>IFERROR(__xludf.DUMMYFUNCTION("""COMPUTED_VALUE"""),"First Times a Charm Cider")</f>
        <v>First Times a Charm Cider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IFERROR(__xludf.DUMMYFUNCTION("""COMPUTED_VALUE"""),43550.2922331481)</f>
        <v>43550.29223</v>
      </c>
      <c r="D411" s="23">
        <f>IFERROR(__xludf.DUMMYFUNCTION("""COMPUTED_VALUE"""),1.026)</f>
        <v>1.026</v>
      </c>
      <c r="E411" s="24">
        <f>IFERROR(__xludf.DUMMYFUNCTION("""COMPUTED_VALUE"""),66.0)</f>
        <v>66</v>
      </c>
      <c r="F411" s="27" t="str">
        <f>IFERROR(__xludf.DUMMYFUNCTION("""COMPUTED_VALUE"""),"BLACK")</f>
        <v>BLACK</v>
      </c>
      <c r="G411" s="28" t="str">
        <f>IFERROR(__xludf.DUMMYFUNCTION("""COMPUTED_VALUE"""),"First Times a Charm Cider")</f>
        <v>First Times a Charm Cider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IFERROR(__xludf.DUMMYFUNCTION("""COMPUTED_VALUE"""),43550.2818006365)</f>
        <v>43550.2818</v>
      </c>
      <c r="D412" s="23">
        <f>IFERROR(__xludf.DUMMYFUNCTION("""COMPUTED_VALUE"""),1.026)</f>
        <v>1.026</v>
      </c>
      <c r="E412" s="24">
        <f>IFERROR(__xludf.DUMMYFUNCTION("""COMPUTED_VALUE"""),66.0)</f>
        <v>66</v>
      </c>
      <c r="F412" s="27" t="str">
        <f>IFERROR(__xludf.DUMMYFUNCTION("""COMPUTED_VALUE"""),"BLACK")</f>
        <v>BLACK</v>
      </c>
      <c r="G412" s="28" t="str">
        <f>IFERROR(__xludf.DUMMYFUNCTION("""COMPUTED_VALUE"""),"First Times a Charm Cider")</f>
        <v>First Times a Charm Cider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IFERROR(__xludf.DUMMYFUNCTION("""COMPUTED_VALUE"""),43550.2713804745)</f>
        <v>43550.27138</v>
      </c>
      <c r="D413" s="23">
        <f>IFERROR(__xludf.DUMMYFUNCTION("""COMPUTED_VALUE"""),1.026)</f>
        <v>1.026</v>
      </c>
      <c r="E413" s="24">
        <f>IFERROR(__xludf.DUMMYFUNCTION("""COMPUTED_VALUE"""),66.0)</f>
        <v>66</v>
      </c>
      <c r="F413" s="27" t="str">
        <f>IFERROR(__xludf.DUMMYFUNCTION("""COMPUTED_VALUE"""),"BLACK")</f>
        <v>BLACK</v>
      </c>
      <c r="G413" s="28" t="str">
        <f>IFERROR(__xludf.DUMMYFUNCTION("""COMPUTED_VALUE"""),"First Times a Charm Cider")</f>
        <v>First Times a Charm Cider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IFERROR(__xludf.DUMMYFUNCTION("""COMPUTED_VALUE"""),43550.2609466782)</f>
        <v>43550.26095</v>
      </c>
      <c r="D414" s="23">
        <f>IFERROR(__xludf.DUMMYFUNCTION("""COMPUTED_VALUE"""),1.025)</f>
        <v>1.025</v>
      </c>
      <c r="E414" s="24">
        <f>IFERROR(__xludf.DUMMYFUNCTION("""COMPUTED_VALUE"""),67.0)</f>
        <v>67</v>
      </c>
      <c r="F414" s="27" t="str">
        <f>IFERROR(__xludf.DUMMYFUNCTION("""COMPUTED_VALUE"""),"BLACK")</f>
        <v>BLACK</v>
      </c>
      <c r="G414" s="28" t="str">
        <f>IFERROR(__xludf.DUMMYFUNCTION("""COMPUTED_VALUE"""),"First Times a Charm Cider")</f>
        <v>First Times a Charm Cider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IFERROR(__xludf.DUMMYFUNCTION("""COMPUTED_VALUE"""),43550.2505016666)</f>
        <v>43550.2505</v>
      </c>
      <c r="D415" s="23">
        <f>IFERROR(__xludf.DUMMYFUNCTION("""COMPUTED_VALUE"""),1.026)</f>
        <v>1.026</v>
      </c>
      <c r="E415" s="24">
        <f>IFERROR(__xludf.DUMMYFUNCTION("""COMPUTED_VALUE"""),67.0)</f>
        <v>67</v>
      </c>
      <c r="F415" s="27" t="str">
        <f>IFERROR(__xludf.DUMMYFUNCTION("""COMPUTED_VALUE"""),"BLACK")</f>
        <v>BLACK</v>
      </c>
      <c r="G415" s="28" t="str">
        <f>IFERROR(__xludf.DUMMYFUNCTION("""COMPUTED_VALUE"""),"First Times a Charm Cider")</f>
        <v>First Times a Charm Cider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IFERROR(__xludf.DUMMYFUNCTION("""COMPUTED_VALUE"""),43550.2400696527)</f>
        <v>43550.24007</v>
      </c>
      <c r="D416" s="23">
        <f>IFERROR(__xludf.DUMMYFUNCTION("""COMPUTED_VALUE"""),1.026)</f>
        <v>1.026</v>
      </c>
      <c r="E416" s="24">
        <f>IFERROR(__xludf.DUMMYFUNCTION("""COMPUTED_VALUE"""),67.0)</f>
        <v>67</v>
      </c>
      <c r="F416" s="27" t="str">
        <f>IFERROR(__xludf.DUMMYFUNCTION("""COMPUTED_VALUE"""),"BLACK")</f>
        <v>BLACK</v>
      </c>
      <c r="G416" s="28" t="str">
        <f>IFERROR(__xludf.DUMMYFUNCTION("""COMPUTED_VALUE"""),"First Times a Charm Cider")</f>
        <v>First Times a Charm Cider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IFERROR(__xludf.DUMMYFUNCTION("""COMPUTED_VALUE"""),43550.2296490046)</f>
        <v>43550.22965</v>
      </c>
      <c r="D417" s="23">
        <f>IFERROR(__xludf.DUMMYFUNCTION("""COMPUTED_VALUE"""),1.026)</f>
        <v>1.026</v>
      </c>
      <c r="E417" s="24">
        <f>IFERROR(__xludf.DUMMYFUNCTION("""COMPUTED_VALUE"""),67.0)</f>
        <v>67</v>
      </c>
      <c r="F417" s="27" t="str">
        <f>IFERROR(__xludf.DUMMYFUNCTION("""COMPUTED_VALUE"""),"BLACK")</f>
        <v>BLACK</v>
      </c>
      <c r="G417" s="28" t="str">
        <f>IFERROR(__xludf.DUMMYFUNCTION("""COMPUTED_VALUE"""),"First Times a Charm Cider")</f>
        <v>First Times a Charm Cider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IFERROR(__xludf.DUMMYFUNCTION("""COMPUTED_VALUE"""),43550.2192265046)</f>
        <v>43550.21923</v>
      </c>
      <c r="D418" s="23">
        <f>IFERROR(__xludf.DUMMYFUNCTION("""COMPUTED_VALUE"""),1.026)</f>
        <v>1.026</v>
      </c>
      <c r="E418" s="24">
        <f>IFERROR(__xludf.DUMMYFUNCTION("""COMPUTED_VALUE"""),67.0)</f>
        <v>67</v>
      </c>
      <c r="F418" s="27" t="str">
        <f>IFERROR(__xludf.DUMMYFUNCTION("""COMPUTED_VALUE"""),"BLACK")</f>
        <v>BLACK</v>
      </c>
      <c r="G418" s="28" t="str">
        <f>IFERROR(__xludf.DUMMYFUNCTION("""COMPUTED_VALUE"""),"First Times a Charm Cider")</f>
        <v>First Times a Charm Cider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IFERROR(__xludf.DUMMYFUNCTION("""COMPUTED_VALUE"""),43550.2087940625)</f>
        <v>43550.20879</v>
      </c>
      <c r="D419" s="23">
        <f>IFERROR(__xludf.DUMMYFUNCTION("""COMPUTED_VALUE"""),1.026)</f>
        <v>1.026</v>
      </c>
      <c r="E419" s="24">
        <f>IFERROR(__xludf.DUMMYFUNCTION("""COMPUTED_VALUE"""),67.0)</f>
        <v>67</v>
      </c>
      <c r="F419" s="27" t="str">
        <f>IFERROR(__xludf.DUMMYFUNCTION("""COMPUTED_VALUE"""),"BLACK")</f>
        <v>BLACK</v>
      </c>
      <c r="G419" s="28" t="str">
        <f>IFERROR(__xludf.DUMMYFUNCTION("""COMPUTED_VALUE"""),"First Times a Charm Cider")</f>
        <v>First Times a Charm Cider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IFERROR(__xludf.DUMMYFUNCTION("""COMPUTED_VALUE"""),43550.1983610185)</f>
        <v>43550.19836</v>
      </c>
      <c r="D420" s="23">
        <f>IFERROR(__xludf.DUMMYFUNCTION("""COMPUTED_VALUE"""),1.026)</f>
        <v>1.026</v>
      </c>
      <c r="E420" s="24">
        <f>IFERROR(__xludf.DUMMYFUNCTION("""COMPUTED_VALUE"""),67.0)</f>
        <v>67</v>
      </c>
      <c r="F420" s="27" t="str">
        <f>IFERROR(__xludf.DUMMYFUNCTION("""COMPUTED_VALUE"""),"BLACK")</f>
        <v>BLACK</v>
      </c>
      <c r="G420" s="28" t="str">
        <f>IFERROR(__xludf.DUMMYFUNCTION("""COMPUTED_VALUE"""),"First Times a Charm Cider")</f>
        <v>First Times a Charm Cider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IFERROR(__xludf.DUMMYFUNCTION("""COMPUTED_VALUE"""),43550.1879398726)</f>
        <v>43550.18794</v>
      </c>
      <c r="D421" s="23">
        <f>IFERROR(__xludf.DUMMYFUNCTION("""COMPUTED_VALUE"""),1.026)</f>
        <v>1.026</v>
      </c>
      <c r="E421" s="24">
        <f>IFERROR(__xludf.DUMMYFUNCTION("""COMPUTED_VALUE"""),67.0)</f>
        <v>67</v>
      </c>
      <c r="F421" s="27" t="str">
        <f>IFERROR(__xludf.DUMMYFUNCTION("""COMPUTED_VALUE"""),"BLACK")</f>
        <v>BLACK</v>
      </c>
      <c r="G421" s="28" t="str">
        <f>IFERROR(__xludf.DUMMYFUNCTION("""COMPUTED_VALUE"""),"First Times a Charm Cider")</f>
        <v>First Times a Charm Cider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IFERROR(__xludf.DUMMYFUNCTION("""COMPUTED_VALUE"""),43550.1775192476)</f>
        <v>43550.17752</v>
      </c>
      <c r="D422" s="23">
        <f>IFERROR(__xludf.DUMMYFUNCTION("""COMPUTED_VALUE"""),1.026)</f>
        <v>1.026</v>
      </c>
      <c r="E422" s="24">
        <f>IFERROR(__xludf.DUMMYFUNCTION("""COMPUTED_VALUE"""),67.0)</f>
        <v>67</v>
      </c>
      <c r="F422" s="27" t="str">
        <f>IFERROR(__xludf.DUMMYFUNCTION("""COMPUTED_VALUE"""),"BLACK")</f>
        <v>BLACK</v>
      </c>
      <c r="G422" s="28" t="str">
        <f>IFERROR(__xludf.DUMMYFUNCTION("""COMPUTED_VALUE"""),"First Times a Charm Cider")</f>
        <v>First Times a Charm Cider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IFERROR(__xludf.DUMMYFUNCTION("""COMPUTED_VALUE"""),43550.1670277546)</f>
        <v>43550.16703</v>
      </c>
      <c r="D423" s="23">
        <f>IFERROR(__xludf.DUMMYFUNCTION("""COMPUTED_VALUE"""),1.026)</f>
        <v>1.026</v>
      </c>
      <c r="E423" s="24">
        <f>IFERROR(__xludf.DUMMYFUNCTION("""COMPUTED_VALUE"""),67.0)</f>
        <v>67</v>
      </c>
      <c r="F423" s="27" t="str">
        <f>IFERROR(__xludf.DUMMYFUNCTION("""COMPUTED_VALUE"""),"BLACK")</f>
        <v>BLACK</v>
      </c>
      <c r="G423" s="28" t="str">
        <f>IFERROR(__xludf.DUMMYFUNCTION("""COMPUTED_VALUE"""),"First Times a Charm Cider")</f>
        <v>First Times a Charm Cider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IFERROR(__xludf.DUMMYFUNCTION("""COMPUTED_VALUE"""),43550.156594618)</f>
        <v>43550.15659</v>
      </c>
      <c r="D424" s="23">
        <f>IFERROR(__xludf.DUMMYFUNCTION("""COMPUTED_VALUE"""),1.026)</f>
        <v>1.026</v>
      </c>
      <c r="E424" s="24">
        <f>IFERROR(__xludf.DUMMYFUNCTION("""COMPUTED_VALUE"""),67.0)</f>
        <v>67</v>
      </c>
      <c r="F424" s="27" t="str">
        <f>IFERROR(__xludf.DUMMYFUNCTION("""COMPUTED_VALUE"""),"BLACK")</f>
        <v>BLACK</v>
      </c>
      <c r="G424" s="28" t="str">
        <f>IFERROR(__xludf.DUMMYFUNCTION("""COMPUTED_VALUE"""),"First Times a Charm Cider")</f>
        <v>First Times a Charm Cider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IFERROR(__xludf.DUMMYFUNCTION("""COMPUTED_VALUE"""),43550.1461383217)</f>
        <v>43550.14614</v>
      </c>
      <c r="D425" s="23">
        <f>IFERROR(__xludf.DUMMYFUNCTION("""COMPUTED_VALUE"""),1.026)</f>
        <v>1.026</v>
      </c>
      <c r="E425" s="24">
        <f>IFERROR(__xludf.DUMMYFUNCTION("""COMPUTED_VALUE"""),67.0)</f>
        <v>67</v>
      </c>
      <c r="F425" s="27" t="str">
        <f>IFERROR(__xludf.DUMMYFUNCTION("""COMPUTED_VALUE"""),"BLACK")</f>
        <v>BLACK</v>
      </c>
      <c r="G425" s="28" t="str">
        <f>IFERROR(__xludf.DUMMYFUNCTION("""COMPUTED_VALUE"""),"First Times a Charm Cider")</f>
        <v>First Times a Charm Cider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IFERROR(__xludf.DUMMYFUNCTION("""COMPUTED_VALUE"""),43550.135717118)</f>
        <v>43550.13572</v>
      </c>
      <c r="D426" s="23">
        <f>IFERROR(__xludf.DUMMYFUNCTION("""COMPUTED_VALUE"""),1.026)</f>
        <v>1.026</v>
      </c>
      <c r="E426" s="24">
        <f>IFERROR(__xludf.DUMMYFUNCTION("""COMPUTED_VALUE"""),67.0)</f>
        <v>67</v>
      </c>
      <c r="F426" s="27" t="str">
        <f>IFERROR(__xludf.DUMMYFUNCTION("""COMPUTED_VALUE"""),"BLACK")</f>
        <v>BLACK</v>
      </c>
      <c r="G426" s="28" t="str">
        <f>IFERROR(__xludf.DUMMYFUNCTION("""COMPUTED_VALUE"""),"First Times a Charm Cider")</f>
        <v>First Times a Charm Cider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IFERROR(__xludf.DUMMYFUNCTION("""COMPUTED_VALUE"""),43550.1252979629)</f>
        <v>43550.1253</v>
      </c>
      <c r="D427" s="23">
        <f>IFERROR(__xludf.DUMMYFUNCTION("""COMPUTED_VALUE"""),1.026)</f>
        <v>1.026</v>
      </c>
      <c r="E427" s="24">
        <f>IFERROR(__xludf.DUMMYFUNCTION("""COMPUTED_VALUE"""),67.0)</f>
        <v>67</v>
      </c>
      <c r="F427" s="27" t="str">
        <f>IFERROR(__xludf.DUMMYFUNCTION("""COMPUTED_VALUE"""),"BLACK")</f>
        <v>BLACK</v>
      </c>
      <c r="G427" s="28" t="str">
        <f>IFERROR(__xludf.DUMMYFUNCTION("""COMPUTED_VALUE"""),"First Times a Charm Cider")</f>
        <v>First Times a Charm Cider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IFERROR(__xludf.DUMMYFUNCTION("""COMPUTED_VALUE"""),43550.114864699)</f>
        <v>43550.11486</v>
      </c>
      <c r="D428" s="23">
        <f>IFERROR(__xludf.DUMMYFUNCTION("""COMPUTED_VALUE"""),1.026)</f>
        <v>1.026</v>
      </c>
      <c r="E428" s="24">
        <f>IFERROR(__xludf.DUMMYFUNCTION("""COMPUTED_VALUE"""),67.0)</f>
        <v>67</v>
      </c>
      <c r="F428" s="27" t="str">
        <f>IFERROR(__xludf.DUMMYFUNCTION("""COMPUTED_VALUE"""),"BLACK")</f>
        <v>BLACK</v>
      </c>
      <c r="G428" s="28" t="str">
        <f>IFERROR(__xludf.DUMMYFUNCTION("""COMPUTED_VALUE"""),"First Times a Charm Cider")</f>
        <v>First Times a Charm Cider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IFERROR(__xludf.DUMMYFUNCTION("""COMPUTED_VALUE"""),43550.1044064814)</f>
        <v>43550.10441</v>
      </c>
      <c r="D429" s="23">
        <f>IFERROR(__xludf.DUMMYFUNCTION("""COMPUTED_VALUE"""),1.026)</f>
        <v>1.026</v>
      </c>
      <c r="E429" s="24">
        <f>IFERROR(__xludf.DUMMYFUNCTION("""COMPUTED_VALUE"""),67.0)</f>
        <v>67</v>
      </c>
      <c r="F429" s="27" t="str">
        <f>IFERROR(__xludf.DUMMYFUNCTION("""COMPUTED_VALUE"""),"BLACK")</f>
        <v>BLACK</v>
      </c>
      <c r="G429" s="28" t="str">
        <f>IFERROR(__xludf.DUMMYFUNCTION("""COMPUTED_VALUE"""),"First Times a Charm Cider")</f>
        <v>First Times a Charm Cider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IFERROR(__xludf.DUMMYFUNCTION("""COMPUTED_VALUE"""),43550.0939755439)</f>
        <v>43550.09398</v>
      </c>
      <c r="D430" s="23">
        <f>IFERROR(__xludf.DUMMYFUNCTION("""COMPUTED_VALUE"""),1.026)</f>
        <v>1.026</v>
      </c>
      <c r="E430" s="24">
        <f>IFERROR(__xludf.DUMMYFUNCTION("""COMPUTED_VALUE"""),67.0)</f>
        <v>67</v>
      </c>
      <c r="F430" s="27" t="str">
        <f>IFERROR(__xludf.DUMMYFUNCTION("""COMPUTED_VALUE"""),"BLACK")</f>
        <v>BLACK</v>
      </c>
      <c r="G430" s="28" t="str">
        <f>IFERROR(__xludf.DUMMYFUNCTION("""COMPUTED_VALUE"""),"First Times a Charm Cider")</f>
        <v>First Times a Charm Cider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IFERROR(__xludf.DUMMYFUNCTION("""COMPUTED_VALUE"""),43550.0835525231)</f>
        <v>43550.08355</v>
      </c>
      <c r="D431" s="23">
        <f>IFERROR(__xludf.DUMMYFUNCTION("""COMPUTED_VALUE"""),1.026)</f>
        <v>1.026</v>
      </c>
      <c r="E431" s="24">
        <f>IFERROR(__xludf.DUMMYFUNCTION("""COMPUTED_VALUE"""),67.0)</f>
        <v>67</v>
      </c>
      <c r="F431" s="27" t="str">
        <f>IFERROR(__xludf.DUMMYFUNCTION("""COMPUTED_VALUE"""),"BLACK")</f>
        <v>BLACK</v>
      </c>
      <c r="G431" s="28" t="str">
        <f>IFERROR(__xludf.DUMMYFUNCTION("""COMPUTED_VALUE"""),"First Times a Charm Cider")</f>
        <v>First Times a Charm Cider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IFERROR(__xludf.DUMMYFUNCTION("""COMPUTED_VALUE"""),43550.0731309027)</f>
        <v>43550.07313</v>
      </c>
      <c r="D432" s="23">
        <f>IFERROR(__xludf.DUMMYFUNCTION("""COMPUTED_VALUE"""),1.026)</f>
        <v>1.026</v>
      </c>
      <c r="E432" s="24">
        <f>IFERROR(__xludf.DUMMYFUNCTION("""COMPUTED_VALUE"""),67.0)</f>
        <v>67</v>
      </c>
      <c r="F432" s="27" t="str">
        <f>IFERROR(__xludf.DUMMYFUNCTION("""COMPUTED_VALUE"""),"BLACK")</f>
        <v>BLACK</v>
      </c>
      <c r="G432" s="28" t="str">
        <f>IFERROR(__xludf.DUMMYFUNCTION("""COMPUTED_VALUE"""),"First Times a Charm Cider")</f>
        <v>First Times a Charm Cider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IFERROR(__xludf.DUMMYFUNCTION("""COMPUTED_VALUE"""),43550.0627088194)</f>
        <v>43550.06271</v>
      </c>
      <c r="D433" s="23">
        <f>IFERROR(__xludf.DUMMYFUNCTION("""COMPUTED_VALUE"""),1.026)</f>
        <v>1.026</v>
      </c>
      <c r="E433" s="24">
        <f>IFERROR(__xludf.DUMMYFUNCTION("""COMPUTED_VALUE"""),67.0)</f>
        <v>67</v>
      </c>
      <c r="F433" s="27" t="str">
        <f>IFERROR(__xludf.DUMMYFUNCTION("""COMPUTED_VALUE"""),"BLACK")</f>
        <v>BLACK</v>
      </c>
      <c r="G433" s="28" t="str">
        <f>IFERROR(__xludf.DUMMYFUNCTION("""COMPUTED_VALUE"""),"First Times a Charm Cider")</f>
        <v>First Times a Charm Cider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IFERROR(__xludf.DUMMYFUNCTION("""COMPUTED_VALUE"""),43550.0522760532)</f>
        <v>43550.05228</v>
      </c>
      <c r="D434" s="23">
        <f>IFERROR(__xludf.DUMMYFUNCTION("""COMPUTED_VALUE"""),1.026)</f>
        <v>1.026</v>
      </c>
      <c r="E434" s="24">
        <f>IFERROR(__xludf.DUMMYFUNCTION("""COMPUTED_VALUE"""),67.0)</f>
        <v>67</v>
      </c>
      <c r="F434" s="27" t="str">
        <f>IFERROR(__xludf.DUMMYFUNCTION("""COMPUTED_VALUE"""),"BLACK")</f>
        <v>BLACK</v>
      </c>
      <c r="G434" s="28" t="str">
        <f>IFERROR(__xludf.DUMMYFUNCTION("""COMPUTED_VALUE"""),"First Times a Charm Cider")</f>
        <v>First Times a Charm Cider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IFERROR(__xludf.DUMMYFUNCTION("""COMPUTED_VALUE"""),43550.0418455671)</f>
        <v>43550.04185</v>
      </c>
      <c r="D435" s="23">
        <f>IFERROR(__xludf.DUMMYFUNCTION("""COMPUTED_VALUE"""),1.026)</f>
        <v>1.026</v>
      </c>
      <c r="E435" s="24">
        <f>IFERROR(__xludf.DUMMYFUNCTION("""COMPUTED_VALUE"""),67.0)</f>
        <v>67</v>
      </c>
      <c r="F435" s="27" t="str">
        <f>IFERROR(__xludf.DUMMYFUNCTION("""COMPUTED_VALUE"""),"BLACK")</f>
        <v>BLACK</v>
      </c>
      <c r="G435" s="28" t="str">
        <f>IFERROR(__xludf.DUMMYFUNCTION("""COMPUTED_VALUE"""),"First Times a Charm Cider")</f>
        <v>First Times a Charm Cider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IFERROR(__xludf.DUMMYFUNCTION("""COMPUTED_VALUE"""),43550.0314256944)</f>
        <v>43550.03143</v>
      </c>
      <c r="D436" s="23">
        <f>IFERROR(__xludf.DUMMYFUNCTION("""COMPUTED_VALUE"""),1.026)</f>
        <v>1.026</v>
      </c>
      <c r="E436" s="24">
        <f>IFERROR(__xludf.DUMMYFUNCTION("""COMPUTED_VALUE"""),66.0)</f>
        <v>66</v>
      </c>
      <c r="F436" s="27" t="str">
        <f>IFERROR(__xludf.DUMMYFUNCTION("""COMPUTED_VALUE"""),"BLACK")</f>
        <v>BLACK</v>
      </c>
      <c r="G436" s="28" t="str">
        <f>IFERROR(__xludf.DUMMYFUNCTION("""COMPUTED_VALUE"""),"First Times a Charm Cider")</f>
        <v>First Times a Charm Cider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IFERROR(__xludf.DUMMYFUNCTION("""COMPUTED_VALUE"""),43550.0209928935)</f>
        <v>43550.02099</v>
      </c>
      <c r="D437" s="23">
        <f>IFERROR(__xludf.DUMMYFUNCTION("""COMPUTED_VALUE"""),1.026)</f>
        <v>1.026</v>
      </c>
      <c r="E437" s="24">
        <f>IFERROR(__xludf.DUMMYFUNCTION("""COMPUTED_VALUE"""),66.0)</f>
        <v>66</v>
      </c>
      <c r="F437" s="27" t="str">
        <f>IFERROR(__xludf.DUMMYFUNCTION("""COMPUTED_VALUE"""),"BLACK")</f>
        <v>BLACK</v>
      </c>
      <c r="G437" s="28" t="str">
        <f>IFERROR(__xludf.DUMMYFUNCTION("""COMPUTED_VALUE"""),"First Times a Charm Cider")</f>
        <v>First Times a Charm Cider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IFERROR(__xludf.DUMMYFUNCTION("""COMPUTED_VALUE"""),43550.0105714351)</f>
        <v>43550.01057</v>
      </c>
      <c r="D438" s="23">
        <f>IFERROR(__xludf.DUMMYFUNCTION("""COMPUTED_VALUE"""),1.026)</f>
        <v>1.026</v>
      </c>
      <c r="E438" s="24">
        <f>IFERROR(__xludf.DUMMYFUNCTION("""COMPUTED_VALUE"""),66.0)</f>
        <v>66</v>
      </c>
      <c r="F438" s="27" t="str">
        <f>IFERROR(__xludf.DUMMYFUNCTION("""COMPUTED_VALUE"""),"BLACK")</f>
        <v>BLACK</v>
      </c>
      <c r="G438" s="28" t="str">
        <f>IFERROR(__xludf.DUMMYFUNCTION("""COMPUTED_VALUE"""),"First Times a Charm Cider")</f>
        <v>First Times a Charm Cider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IFERROR(__xludf.DUMMYFUNCTION("""COMPUTED_VALUE"""),43550.0001501504)</f>
        <v>43550.00015</v>
      </c>
      <c r="D439" s="23">
        <f>IFERROR(__xludf.DUMMYFUNCTION("""COMPUTED_VALUE"""),1.026)</f>
        <v>1.026</v>
      </c>
      <c r="E439" s="24">
        <f>IFERROR(__xludf.DUMMYFUNCTION("""COMPUTED_VALUE"""),66.0)</f>
        <v>66</v>
      </c>
      <c r="F439" s="27" t="str">
        <f>IFERROR(__xludf.DUMMYFUNCTION("""COMPUTED_VALUE"""),"BLACK")</f>
        <v>BLACK</v>
      </c>
      <c r="G439" s="28" t="str">
        <f>IFERROR(__xludf.DUMMYFUNCTION("""COMPUTED_VALUE"""),"First Times a Charm Cider")</f>
        <v>First Times a Charm Cider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IFERROR(__xludf.DUMMYFUNCTION("""COMPUTED_VALUE"""),43549.9897167708)</f>
        <v>43549.98972</v>
      </c>
      <c r="D440" s="23">
        <f>IFERROR(__xludf.DUMMYFUNCTION("""COMPUTED_VALUE"""),1.026)</f>
        <v>1.026</v>
      </c>
      <c r="E440" s="24">
        <f>IFERROR(__xludf.DUMMYFUNCTION("""COMPUTED_VALUE"""),66.0)</f>
        <v>66</v>
      </c>
      <c r="F440" s="27" t="str">
        <f>IFERROR(__xludf.DUMMYFUNCTION("""COMPUTED_VALUE"""),"BLACK")</f>
        <v>BLACK</v>
      </c>
      <c r="G440" s="28" t="str">
        <f>IFERROR(__xludf.DUMMYFUNCTION("""COMPUTED_VALUE"""),"First Times a Charm Cider")</f>
        <v>First Times a Charm Cider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IFERROR(__xludf.DUMMYFUNCTION("""COMPUTED_VALUE"""),43549.9792957638)</f>
        <v>43549.9793</v>
      </c>
      <c r="D441" s="23">
        <f>IFERROR(__xludf.DUMMYFUNCTION("""COMPUTED_VALUE"""),1.026)</f>
        <v>1.026</v>
      </c>
      <c r="E441" s="24">
        <f>IFERROR(__xludf.DUMMYFUNCTION("""COMPUTED_VALUE"""),66.0)</f>
        <v>66</v>
      </c>
      <c r="F441" s="27" t="str">
        <f>IFERROR(__xludf.DUMMYFUNCTION("""COMPUTED_VALUE"""),"BLACK")</f>
        <v>BLACK</v>
      </c>
      <c r="G441" s="28" t="str">
        <f>IFERROR(__xludf.DUMMYFUNCTION("""COMPUTED_VALUE"""),"First Times a Charm Cider")</f>
        <v>First Times a Charm Cider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IFERROR(__xludf.DUMMYFUNCTION("""COMPUTED_VALUE"""),43549.9688630324)</f>
        <v>43549.96886</v>
      </c>
      <c r="D442" s="23">
        <f>IFERROR(__xludf.DUMMYFUNCTION("""COMPUTED_VALUE"""),1.026)</f>
        <v>1.026</v>
      </c>
      <c r="E442" s="24">
        <f>IFERROR(__xludf.DUMMYFUNCTION("""COMPUTED_VALUE"""),66.0)</f>
        <v>66</v>
      </c>
      <c r="F442" s="27" t="str">
        <f>IFERROR(__xludf.DUMMYFUNCTION("""COMPUTED_VALUE"""),"BLACK")</f>
        <v>BLACK</v>
      </c>
      <c r="G442" s="28" t="str">
        <f>IFERROR(__xludf.DUMMYFUNCTION("""COMPUTED_VALUE"""),"First Times a Charm Cider")</f>
        <v>First Times a Charm Cider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IFERROR(__xludf.DUMMYFUNCTION("""COMPUTED_VALUE"""),43549.9584285185)</f>
        <v>43549.95843</v>
      </c>
      <c r="D443" s="23">
        <f>IFERROR(__xludf.DUMMYFUNCTION("""COMPUTED_VALUE"""),1.026)</f>
        <v>1.026</v>
      </c>
      <c r="E443" s="24">
        <f>IFERROR(__xludf.DUMMYFUNCTION("""COMPUTED_VALUE"""),66.0)</f>
        <v>66</v>
      </c>
      <c r="F443" s="27" t="str">
        <f>IFERROR(__xludf.DUMMYFUNCTION("""COMPUTED_VALUE"""),"BLACK")</f>
        <v>BLACK</v>
      </c>
      <c r="G443" s="28" t="str">
        <f>IFERROR(__xludf.DUMMYFUNCTION("""COMPUTED_VALUE"""),"First Times a Charm Cider")</f>
        <v>First Times a Charm Cider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IFERROR(__xludf.DUMMYFUNCTION("""COMPUTED_VALUE"""),43549.9479968402)</f>
        <v>43549.948</v>
      </c>
      <c r="D444" s="23">
        <f>IFERROR(__xludf.DUMMYFUNCTION("""COMPUTED_VALUE"""),1.026)</f>
        <v>1.026</v>
      </c>
      <c r="E444" s="24">
        <f>IFERROR(__xludf.DUMMYFUNCTION("""COMPUTED_VALUE"""),66.0)</f>
        <v>66</v>
      </c>
      <c r="F444" s="27" t="str">
        <f>IFERROR(__xludf.DUMMYFUNCTION("""COMPUTED_VALUE"""),"BLACK")</f>
        <v>BLACK</v>
      </c>
      <c r="G444" s="28" t="str">
        <f>IFERROR(__xludf.DUMMYFUNCTION("""COMPUTED_VALUE"""),"First Times a Charm Cider")</f>
        <v>First Times a Charm Cider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IFERROR(__xludf.DUMMYFUNCTION("""COMPUTED_VALUE"""),43549.9375645949)</f>
        <v>43549.93756</v>
      </c>
      <c r="D445" s="23">
        <f>IFERROR(__xludf.DUMMYFUNCTION("""COMPUTED_VALUE"""),1.026)</f>
        <v>1.026</v>
      </c>
      <c r="E445" s="24">
        <f>IFERROR(__xludf.DUMMYFUNCTION("""COMPUTED_VALUE"""),66.0)</f>
        <v>66</v>
      </c>
      <c r="F445" s="27" t="str">
        <f>IFERROR(__xludf.DUMMYFUNCTION("""COMPUTED_VALUE"""),"BLACK")</f>
        <v>BLACK</v>
      </c>
      <c r="G445" s="28" t="str">
        <f>IFERROR(__xludf.DUMMYFUNCTION("""COMPUTED_VALUE"""),"First Times a Charm Cider")</f>
        <v>First Times a Charm Cider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IFERROR(__xludf.DUMMYFUNCTION("""COMPUTED_VALUE"""),43549.9271313541)</f>
        <v>43549.92713</v>
      </c>
      <c r="D446" s="23">
        <f>IFERROR(__xludf.DUMMYFUNCTION("""COMPUTED_VALUE"""),1.026)</f>
        <v>1.026</v>
      </c>
      <c r="E446" s="24">
        <f>IFERROR(__xludf.DUMMYFUNCTION("""COMPUTED_VALUE"""),66.0)</f>
        <v>66</v>
      </c>
      <c r="F446" s="27" t="str">
        <f>IFERROR(__xludf.DUMMYFUNCTION("""COMPUTED_VALUE"""),"BLACK")</f>
        <v>BLACK</v>
      </c>
      <c r="G446" s="28" t="str">
        <f>IFERROR(__xludf.DUMMYFUNCTION("""COMPUTED_VALUE"""),"First Times a Charm Cider")</f>
        <v>First Times a Charm Cider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IFERROR(__xludf.DUMMYFUNCTION("""COMPUTED_VALUE"""),43549.916710405)</f>
        <v>43549.91671</v>
      </c>
      <c r="D447" s="23">
        <f>IFERROR(__xludf.DUMMYFUNCTION("""COMPUTED_VALUE"""),1.026)</f>
        <v>1.026</v>
      </c>
      <c r="E447" s="24">
        <f>IFERROR(__xludf.DUMMYFUNCTION("""COMPUTED_VALUE"""),66.0)</f>
        <v>66</v>
      </c>
      <c r="F447" s="27" t="str">
        <f>IFERROR(__xludf.DUMMYFUNCTION("""COMPUTED_VALUE"""),"BLACK")</f>
        <v>BLACK</v>
      </c>
      <c r="G447" s="28" t="str">
        <f>IFERROR(__xludf.DUMMYFUNCTION("""COMPUTED_VALUE"""),"First Times a Charm Cider")</f>
        <v>First Times a Charm Cider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IFERROR(__xludf.DUMMYFUNCTION("""COMPUTED_VALUE"""),43549.9062885532)</f>
        <v>43549.90629</v>
      </c>
      <c r="D448" s="23">
        <f>IFERROR(__xludf.DUMMYFUNCTION("""COMPUTED_VALUE"""),1.026)</f>
        <v>1.026</v>
      </c>
      <c r="E448" s="24">
        <f>IFERROR(__xludf.DUMMYFUNCTION("""COMPUTED_VALUE"""),66.0)</f>
        <v>66</v>
      </c>
      <c r="F448" s="27" t="str">
        <f>IFERROR(__xludf.DUMMYFUNCTION("""COMPUTED_VALUE"""),"BLACK")</f>
        <v>BLACK</v>
      </c>
      <c r="G448" s="28" t="str">
        <f>IFERROR(__xludf.DUMMYFUNCTION("""COMPUTED_VALUE"""),"First Times a Charm Cider")</f>
        <v>First Times a Charm Cider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IFERROR(__xludf.DUMMYFUNCTION("""COMPUTED_VALUE"""),43549.8958670717)</f>
        <v>43549.89587</v>
      </c>
      <c r="D449" s="23">
        <f>IFERROR(__xludf.DUMMYFUNCTION("""COMPUTED_VALUE"""),1.026)</f>
        <v>1.026</v>
      </c>
      <c r="E449" s="24">
        <f>IFERROR(__xludf.DUMMYFUNCTION("""COMPUTED_VALUE"""),66.0)</f>
        <v>66</v>
      </c>
      <c r="F449" s="27" t="str">
        <f>IFERROR(__xludf.DUMMYFUNCTION("""COMPUTED_VALUE"""),"BLACK")</f>
        <v>BLACK</v>
      </c>
      <c r="G449" s="28" t="str">
        <f>IFERROR(__xludf.DUMMYFUNCTION("""COMPUTED_VALUE"""),"First Times a Charm Cider")</f>
        <v>First Times a Charm Cider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IFERROR(__xludf.DUMMYFUNCTION("""COMPUTED_VALUE"""),43549.885432743)</f>
        <v>43549.88543</v>
      </c>
      <c r="D450" s="23">
        <f>IFERROR(__xludf.DUMMYFUNCTION("""COMPUTED_VALUE"""),1.026)</f>
        <v>1.026</v>
      </c>
      <c r="E450" s="24">
        <f>IFERROR(__xludf.DUMMYFUNCTION("""COMPUTED_VALUE"""),66.0)</f>
        <v>66</v>
      </c>
      <c r="F450" s="27" t="str">
        <f>IFERROR(__xludf.DUMMYFUNCTION("""COMPUTED_VALUE"""),"BLACK")</f>
        <v>BLACK</v>
      </c>
      <c r="G450" s="28" t="str">
        <f>IFERROR(__xludf.DUMMYFUNCTION("""COMPUTED_VALUE"""),"First Times a Charm Cider")</f>
        <v>First Times a Charm Cider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IFERROR(__xludf.DUMMYFUNCTION("""COMPUTED_VALUE"""),43549.8750012384)</f>
        <v>43549.875</v>
      </c>
      <c r="D451" s="23">
        <f>IFERROR(__xludf.DUMMYFUNCTION("""COMPUTED_VALUE"""),1.026)</f>
        <v>1.026</v>
      </c>
      <c r="E451" s="24">
        <f>IFERROR(__xludf.DUMMYFUNCTION("""COMPUTED_VALUE"""),66.0)</f>
        <v>66</v>
      </c>
      <c r="F451" s="27" t="str">
        <f>IFERROR(__xludf.DUMMYFUNCTION("""COMPUTED_VALUE"""),"BLACK")</f>
        <v>BLACK</v>
      </c>
      <c r="G451" s="28" t="str">
        <f>IFERROR(__xludf.DUMMYFUNCTION("""COMPUTED_VALUE"""),"First Times a Charm Cider")</f>
        <v>First Times a Charm Cider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IFERROR(__xludf.DUMMYFUNCTION("""COMPUTED_VALUE"""),43549.8645796643)</f>
        <v>43549.86458</v>
      </c>
      <c r="D452" s="23">
        <f>IFERROR(__xludf.DUMMYFUNCTION("""COMPUTED_VALUE"""),1.026)</f>
        <v>1.026</v>
      </c>
      <c r="E452" s="24">
        <f>IFERROR(__xludf.DUMMYFUNCTION("""COMPUTED_VALUE"""),66.0)</f>
        <v>66</v>
      </c>
      <c r="F452" s="27" t="str">
        <f>IFERROR(__xludf.DUMMYFUNCTION("""COMPUTED_VALUE"""),"BLACK")</f>
        <v>BLACK</v>
      </c>
      <c r="G452" s="28" t="str">
        <f>IFERROR(__xludf.DUMMYFUNCTION("""COMPUTED_VALUE"""),"First Times a Charm Cider")</f>
        <v>First Times a Charm Cider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IFERROR(__xludf.DUMMYFUNCTION("""COMPUTED_VALUE"""),43549.8541595601)</f>
        <v>43549.85416</v>
      </c>
      <c r="D453" s="23">
        <f>IFERROR(__xludf.DUMMYFUNCTION("""COMPUTED_VALUE"""),1.026)</f>
        <v>1.026</v>
      </c>
      <c r="E453" s="24">
        <f>IFERROR(__xludf.DUMMYFUNCTION("""COMPUTED_VALUE"""),66.0)</f>
        <v>66</v>
      </c>
      <c r="F453" s="27" t="str">
        <f>IFERROR(__xludf.DUMMYFUNCTION("""COMPUTED_VALUE"""),"BLACK")</f>
        <v>BLACK</v>
      </c>
      <c r="G453" s="28" t="str">
        <f>IFERROR(__xludf.DUMMYFUNCTION("""COMPUTED_VALUE"""),"First Times a Charm Cider")</f>
        <v>First Times a Charm Cider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IFERROR(__xludf.DUMMYFUNCTION("""COMPUTED_VALUE"""),43549.8437395833)</f>
        <v>43549.84374</v>
      </c>
      <c r="D454" s="23">
        <f>IFERROR(__xludf.DUMMYFUNCTION("""COMPUTED_VALUE"""),1.026)</f>
        <v>1.026</v>
      </c>
      <c r="E454" s="24">
        <f>IFERROR(__xludf.DUMMYFUNCTION("""COMPUTED_VALUE"""),66.0)</f>
        <v>66</v>
      </c>
      <c r="F454" s="27" t="str">
        <f>IFERROR(__xludf.DUMMYFUNCTION("""COMPUTED_VALUE"""),"BLACK")</f>
        <v>BLACK</v>
      </c>
      <c r="G454" s="28" t="str">
        <f>IFERROR(__xludf.DUMMYFUNCTION("""COMPUTED_VALUE"""),"First Times a Charm Cider")</f>
        <v>First Times a Charm Cider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IFERROR(__xludf.DUMMYFUNCTION("""COMPUTED_VALUE"""),43549.8333048842)</f>
        <v>43549.8333</v>
      </c>
      <c r="D455" s="23">
        <f>IFERROR(__xludf.DUMMYFUNCTION("""COMPUTED_VALUE"""),1.026)</f>
        <v>1.026</v>
      </c>
      <c r="E455" s="24">
        <f>IFERROR(__xludf.DUMMYFUNCTION("""COMPUTED_VALUE"""),66.0)</f>
        <v>66</v>
      </c>
      <c r="F455" s="27" t="str">
        <f>IFERROR(__xludf.DUMMYFUNCTION("""COMPUTED_VALUE"""),"BLACK")</f>
        <v>BLACK</v>
      </c>
      <c r="G455" s="28" t="str">
        <f>IFERROR(__xludf.DUMMYFUNCTION("""COMPUTED_VALUE"""),"First Times a Charm Cider")</f>
        <v>First Times a Charm Cider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IFERROR(__xludf.DUMMYFUNCTION("""COMPUTED_VALUE"""),43549.8228827662)</f>
        <v>43549.82288</v>
      </c>
      <c r="D456" s="23">
        <f>IFERROR(__xludf.DUMMYFUNCTION("""COMPUTED_VALUE"""),1.026)</f>
        <v>1.026</v>
      </c>
      <c r="E456" s="24">
        <f>IFERROR(__xludf.DUMMYFUNCTION("""COMPUTED_VALUE"""),66.0)</f>
        <v>66</v>
      </c>
      <c r="F456" s="27" t="str">
        <f>IFERROR(__xludf.DUMMYFUNCTION("""COMPUTED_VALUE"""),"BLACK")</f>
        <v>BLACK</v>
      </c>
      <c r="G456" s="28" t="str">
        <f>IFERROR(__xludf.DUMMYFUNCTION("""COMPUTED_VALUE"""),"First Times a Charm Cider")</f>
        <v>First Times a Charm Cider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IFERROR(__xludf.DUMMYFUNCTION("""COMPUTED_VALUE"""),43549.8124504629)</f>
        <v>43549.81245</v>
      </c>
      <c r="D457" s="23">
        <f>IFERROR(__xludf.DUMMYFUNCTION("""COMPUTED_VALUE"""),1.026)</f>
        <v>1.026</v>
      </c>
      <c r="E457" s="24">
        <f>IFERROR(__xludf.DUMMYFUNCTION("""COMPUTED_VALUE"""),66.0)</f>
        <v>66</v>
      </c>
      <c r="F457" s="27" t="str">
        <f>IFERROR(__xludf.DUMMYFUNCTION("""COMPUTED_VALUE"""),"BLACK")</f>
        <v>BLACK</v>
      </c>
      <c r="G457" s="28" t="str">
        <f>IFERROR(__xludf.DUMMYFUNCTION("""COMPUTED_VALUE"""),"First Times a Charm Cider")</f>
        <v>First Times a Charm Cider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IFERROR(__xludf.DUMMYFUNCTION("""COMPUTED_VALUE"""),43549.8020284722)</f>
        <v>43549.80203</v>
      </c>
      <c r="D458" s="23">
        <f>IFERROR(__xludf.DUMMYFUNCTION("""COMPUTED_VALUE"""),1.026)</f>
        <v>1.026</v>
      </c>
      <c r="E458" s="24">
        <f>IFERROR(__xludf.DUMMYFUNCTION("""COMPUTED_VALUE"""),66.0)</f>
        <v>66</v>
      </c>
      <c r="F458" s="27" t="str">
        <f>IFERROR(__xludf.DUMMYFUNCTION("""COMPUTED_VALUE"""),"BLACK")</f>
        <v>BLACK</v>
      </c>
      <c r="G458" s="28" t="str">
        <f>IFERROR(__xludf.DUMMYFUNCTION("""COMPUTED_VALUE"""),"First Times a Charm Cider")</f>
        <v>First Times a Charm Cider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IFERROR(__xludf.DUMMYFUNCTION("""COMPUTED_VALUE"""),43549.7916066087)</f>
        <v>43549.79161</v>
      </c>
      <c r="D459" s="23">
        <f>IFERROR(__xludf.DUMMYFUNCTION("""COMPUTED_VALUE"""),1.026)</f>
        <v>1.026</v>
      </c>
      <c r="E459" s="24">
        <f>IFERROR(__xludf.DUMMYFUNCTION("""COMPUTED_VALUE"""),66.0)</f>
        <v>66</v>
      </c>
      <c r="F459" s="27" t="str">
        <f>IFERROR(__xludf.DUMMYFUNCTION("""COMPUTED_VALUE"""),"BLACK")</f>
        <v>BLACK</v>
      </c>
      <c r="G459" s="28" t="str">
        <f>IFERROR(__xludf.DUMMYFUNCTION("""COMPUTED_VALUE"""),"First Times a Charm Cider")</f>
        <v>First Times a Charm Cider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IFERROR(__xludf.DUMMYFUNCTION("""COMPUTED_VALUE"""),43549.7811845138)</f>
        <v>43549.78118</v>
      </c>
      <c r="D460" s="23">
        <f>IFERROR(__xludf.DUMMYFUNCTION("""COMPUTED_VALUE"""),1.026)</f>
        <v>1.026</v>
      </c>
      <c r="E460" s="24">
        <f>IFERROR(__xludf.DUMMYFUNCTION("""COMPUTED_VALUE"""),66.0)</f>
        <v>66</v>
      </c>
      <c r="F460" s="27" t="str">
        <f>IFERROR(__xludf.DUMMYFUNCTION("""COMPUTED_VALUE"""),"BLACK")</f>
        <v>BLACK</v>
      </c>
      <c r="G460" s="28" t="str">
        <f>IFERROR(__xludf.DUMMYFUNCTION("""COMPUTED_VALUE"""),"First Times a Charm Cider")</f>
        <v>First Times a Charm Cider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IFERROR(__xludf.DUMMYFUNCTION("""COMPUTED_VALUE"""),43549.77075353)</f>
        <v>43549.77075</v>
      </c>
      <c r="D461" s="23">
        <f>IFERROR(__xludf.DUMMYFUNCTION("""COMPUTED_VALUE"""),1.026)</f>
        <v>1.026</v>
      </c>
      <c r="E461" s="24">
        <f>IFERROR(__xludf.DUMMYFUNCTION("""COMPUTED_VALUE"""),66.0)</f>
        <v>66</v>
      </c>
      <c r="F461" s="27" t="str">
        <f>IFERROR(__xludf.DUMMYFUNCTION("""COMPUTED_VALUE"""),"BLACK")</f>
        <v>BLACK</v>
      </c>
      <c r="G461" s="28" t="str">
        <f>IFERROR(__xludf.DUMMYFUNCTION("""COMPUTED_VALUE"""),"First Times a Charm Cider")</f>
        <v>First Times a Charm Cider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IFERROR(__xludf.DUMMYFUNCTION("""COMPUTED_VALUE"""),43549.7603192013)</f>
        <v>43549.76032</v>
      </c>
      <c r="D462" s="23">
        <f>IFERROR(__xludf.DUMMYFUNCTION("""COMPUTED_VALUE"""),1.026)</f>
        <v>1.026</v>
      </c>
      <c r="E462" s="24">
        <f>IFERROR(__xludf.DUMMYFUNCTION("""COMPUTED_VALUE"""),66.0)</f>
        <v>66</v>
      </c>
      <c r="F462" s="27" t="str">
        <f>IFERROR(__xludf.DUMMYFUNCTION("""COMPUTED_VALUE"""),"BLACK")</f>
        <v>BLACK</v>
      </c>
      <c r="G462" s="28" t="str">
        <f>IFERROR(__xludf.DUMMYFUNCTION("""COMPUTED_VALUE"""),"First Times a Charm Cider")</f>
        <v>First Times a Charm Cider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IFERROR(__xludf.DUMMYFUNCTION("""COMPUTED_VALUE"""),43549.7498988888)</f>
        <v>43549.7499</v>
      </c>
      <c r="D463" s="23">
        <f>IFERROR(__xludf.DUMMYFUNCTION("""COMPUTED_VALUE"""),1.026)</f>
        <v>1.026</v>
      </c>
      <c r="E463" s="24">
        <f>IFERROR(__xludf.DUMMYFUNCTION("""COMPUTED_VALUE"""),66.0)</f>
        <v>66</v>
      </c>
      <c r="F463" s="27" t="str">
        <f>IFERROR(__xludf.DUMMYFUNCTION("""COMPUTED_VALUE"""),"BLACK")</f>
        <v>BLACK</v>
      </c>
      <c r="G463" s="28" t="str">
        <f>IFERROR(__xludf.DUMMYFUNCTION("""COMPUTED_VALUE"""),"First Times a Charm Cider")</f>
        <v>First Times a Charm Cider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IFERROR(__xludf.DUMMYFUNCTION("""COMPUTED_VALUE"""),43549.739476655)</f>
        <v>43549.73948</v>
      </c>
      <c r="D464" s="23">
        <f>IFERROR(__xludf.DUMMYFUNCTION("""COMPUTED_VALUE"""),1.026)</f>
        <v>1.026</v>
      </c>
      <c r="E464" s="24">
        <f>IFERROR(__xludf.DUMMYFUNCTION("""COMPUTED_VALUE"""),66.0)</f>
        <v>66</v>
      </c>
      <c r="F464" s="27" t="str">
        <f>IFERROR(__xludf.DUMMYFUNCTION("""COMPUTED_VALUE"""),"BLACK")</f>
        <v>BLACK</v>
      </c>
      <c r="G464" s="28" t="str">
        <f>IFERROR(__xludf.DUMMYFUNCTION("""COMPUTED_VALUE"""),"First Times a Charm Cider")</f>
        <v>First Times a Charm Cider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IFERROR(__xludf.DUMMYFUNCTION("""COMPUTED_VALUE"""),43549.7290549305)</f>
        <v>43549.72905</v>
      </c>
      <c r="D465" s="23">
        <f>IFERROR(__xludf.DUMMYFUNCTION("""COMPUTED_VALUE"""),1.026)</f>
        <v>1.026</v>
      </c>
      <c r="E465" s="24">
        <f>IFERROR(__xludf.DUMMYFUNCTION("""COMPUTED_VALUE"""),66.0)</f>
        <v>66</v>
      </c>
      <c r="F465" s="27" t="str">
        <f>IFERROR(__xludf.DUMMYFUNCTION("""COMPUTED_VALUE"""),"BLACK")</f>
        <v>BLACK</v>
      </c>
      <c r="G465" s="28" t="str">
        <f>IFERROR(__xludf.DUMMYFUNCTION("""COMPUTED_VALUE"""),"First Times a Charm Cider")</f>
        <v>First Times a Charm Cider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IFERROR(__xludf.DUMMYFUNCTION("""COMPUTED_VALUE"""),43549.718620868)</f>
        <v>43549.71862</v>
      </c>
      <c r="D466" s="23">
        <f>IFERROR(__xludf.DUMMYFUNCTION("""COMPUTED_VALUE"""),1.026)</f>
        <v>1.026</v>
      </c>
      <c r="E466" s="24">
        <f>IFERROR(__xludf.DUMMYFUNCTION("""COMPUTED_VALUE"""),66.0)</f>
        <v>66</v>
      </c>
      <c r="F466" s="27" t="str">
        <f>IFERROR(__xludf.DUMMYFUNCTION("""COMPUTED_VALUE"""),"BLACK")</f>
        <v>BLACK</v>
      </c>
      <c r="G466" s="28" t="str">
        <f>IFERROR(__xludf.DUMMYFUNCTION("""COMPUTED_VALUE"""),"First Times a Charm Cider")</f>
        <v>First Times a Charm Cider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IFERROR(__xludf.DUMMYFUNCTION("""COMPUTED_VALUE"""),43549.7081656944)</f>
        <v>43549.70817</v>
      </c>
      <c r="D467" s="23">
        <f>IFERROR(__xludf.DUMMYFUNCTION("""COMPUTED_VALUE"""),1.026)</f>
        <v>1.026</v>
      </c>
      <c r="E467" s="24">
        <f>IFERROR(__xludf.DUMMYFUNCTION("""COMPUTED_VALUE"""),66.0)</f>
        <v>66</v>
      </c>
      <c r="F467" s="27" t="str">
        <f>IFERROR(__xludf.DUMMYFUNCTION("""COMPUTED_VALUE"""),"BLACK")</f>
        <v>BLACK</v>
      </c>
      <c r="G467" s="28" t="str">
        <f>IFERROR(__xludf.DUMMYFUNCTION("""COMPUTED_VALUE"""),"First Times a Charm Cider")</f>
        <v>First Times a Charm Cider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IFERROR(__xludf.DUMMYFUNCTION("""COMPUTED_VALUE"""),43549.6977446527)</f>
        <v>43549.69774</v>
      </c>
      <c r="D468" s="23">
        <f>IFERROR(__xludf.DUMMYFUNCTION("""COMPUTED_VALUE"""),1.026)</f>
        <v>1.026</v>
      </c>
      <c r="E468" s="24">
        <f>IFERROR(__xludf.DUMMYFUNCTION("""COMPUTED_VALUE"""),66.0)</f>
        <v>66</v>
      </c>
      <c r="F468" s="27" t="str">
        <f>IFERROR(__xludf.DUMMYFUNCTION("""COMPUTED_VALUE"""),"BLACK")</f>
        <v>BLACK</v>
      </c>
      <c r="G468" s="28" t="str">
        <f>IFERROR(__xludf.DUMMYFUNCTION("""COMPUTED_VALUE"""),"First Times a Charm Cider")</f>
        <v>First Times a Charm Cider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IFERROR(__xludf.DUMMYFUNCTION("""COMPUTED_VALUE"""),43549.6872997685)</f>
        <v>43549.6873</v>
      </c>
      <c r="D469" s="23">
        <f>IFERROR(__xludf.DUMMYFUNCTION("""COMPUTED_VALUE"""),1.026)</f>
        <v>1.026</v>
      </c>
      <c r="E469" s="24">
        <f>IFERROR(__xludf.DUMMYFUNCTION("""COMPUTED_VALUE"""),66.0)</f>
        <v>66</v>
      </c>
      <c r="F469" s="27" t="str">
        <f>IFERROR(__xludf.DUMMYFUNCTION("""COMPUTED_VALUE"""),"BLACK")</f>
        <v>BLACK</v>
      </c>
      <c r="G469" s="28" t="str">
        <f>IFERROR(__xludf.DUMMYFUNCTION("""COMPUTED_VALUE"""),"First Times a Charm Cider")</f>
        <v>First Times a Charm Cider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IFERROR(__xludf.DUMMYFUNCTION("""COMPUTED_VALUE"""),43549.6768785416)</f>
        <v>43549.67688</v>
      </c>
      <c r="D470" s="23">
        <f>IFERROR(__xludf.DUMMYFUNCTION("""COMPUTED_VALUE"""),1.026)</f>
        <v>1.026</v>
      </c>
      <c r="E470" s="24">
        <f>IFERROR(__xludf.DUMMYFUNCTION("""COMPUTED_VALUE"""),66.0)</f>
        <v>66</v>
      </c>
      <c r="F470" s="27" t="str">
        <f>IFERROR(__xludf.DUMMYFUNCTION("""COMPUTED_VALUE"""),"BLACK")</f>
        <v>BLACK</v>
      </c>
      <c r="G470" s="28" t="str">
        <f>IFERROR(__xludf.DUMMYFUNCTION("""COMPUTED_VALUE"""),"First Times a Charm Cider")</f>
        <v>First Times a Charm Cider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IFERROR(__xludf.DUMMYFUNCTION("""COMPUTED_VALUE"""),43549.6664572916)</f>
        <v>43549.66646</v>
      </c>
      <c r="D471" s="23">
        <f>IFERROR(__xludf.DUMMYFUNCTION("""COMPUTED_VALUE"""),1.026)</f>
        <v>1.026</v>
      </c>
      <c r="E471" s="24">
        <f>IFERROR(__xludf.DUMMYFUNCTION("""COMPUTED_VALUE"""),66.0)</f>
        <v>66</v>
      </c>
      <c r="F471" s="27" t="str">
        <f>IFERROR(__xludf.DUMMYFUNCTION("""COMPUTED_VALUE"""),"BLACK")</f>
        <v>BLACK</v>
      </c>
      <c r="G471" s="28" t="str">
        <f>IFERROR(__xludf.DUMMYFUNCTION("""COMPUTED_VALUE"""),"First Times a Charm Cider")</f>
        <v>First Times a Charm Cider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IFERROR(__xludf.DUMMYFUNCTION("""COMPUTED_VALUE"""),43549.6560361458)</f>
        <v>43549.65604</v>
      </c>
      <c r="D472" s="23">
        <f>IFERROR(__xludf.DUMMYFUNCTION("""COMPUTED_VALUE"""),1.026)</f>
        <v>1.026</v>
      </c>
      <c r="E472" s="24">
        <f>IFERROR(__xludf.DUMMYFUNCTION("""COMPUTED_VALUE"""),66.0)</f>
        <v>66</v>
      </c>
      <c r="F472" s="27" t="str">
        <f>IFERROR(__xludf.DUMMYFUNCTION("""COMPUTED_VALUE"""),"BLACK")</f>
        <v>BLACK</v>
      </c>
      <c r="G472" s="28" t="str">
        <f>IFERROR(__xludf.DUMMYFUNCTION("""COMPUTED_VALUE"""),"First Times a Charm Cider")</f>
        <v>First Times a Charm Cider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IFERROR(__xludf.DUMMYFUNCTION("""COMPUTED_VALUE"""),43549.6456048842)</f>
        <v>43549.6456</v>
      </c>
      <c r="D473" s="23">
        <f>IFERROR(__xludf.DUMMYFUNCTION("""COMPUTED_VALUE"""),1.026)</f>
        <v>1.026</v>
      </c>
      <c r="E473" s="24">
        <f>IFERROR(__xludf.DUMMYFUNCTION("""COMPUTED_VALUE"""),66.0)</f>
        <v>66</v>
      </c>
      <c r="F473" s="27" t="str">
        <f>IFERROR(__xludf.DUMMYFUNCTION("""COMPUTED_VALUE"""),"BLACK")</f>
        <v>BLACK</v>
      </c>
      <c r="G473" s="28" t="str">
        <f>IFERROR(__xludf.DUMMYFUNCTION("""COMPUTED_VALUE"""),"First Times a Charm Cider")</f>
        <v>First Times a Charm Cider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IFERROR(__xludf.DUMMYFUNCTION("""COMPUTED_VALUE"""),43549.6351379398)</f>
        <v>43549.63514</v>
      </c>
      <c r="D474" s="23">
        <f>IFERROR(__xludf.DUMMYFUNCTION("""COMPUTED_VALUE"""),1.026)</f>
        <v>1.026</v>
      </c>
      <c r="E474" s="24">
        <f>IFERROR(__xludf.DUMMYFUNCTION("""COMPUTED_VALUE"""),66.0)</f>
        <v>66</v>
      </c>
      <c r="F474" s="27" t="str">
        <f>IFERROR(__xludf.DUMMYFUNCTION("""COMPUTED_VALUE"""),"BLACK")</f>
        <v>BLACK</v>
      </c>
      <c r="G474" s="28" t="str">
        <f>IFERROR(__xludf.DUMMYFUNCTION("""COMPUTED_VALUE"""),"First Times a Charm Cider")</f>
        <v>First Times a Charm Cider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IFERROR(__xludf.DUMMYFUNCTION("""COMPUTED_VALUE"""),43549.6246818634)</f>
        <v>43549.62468</v>
      </c>
      <c r="D475" s="23">
        <f>IFERROR(__xludf.DUMMYFUNCTION("""COMPUTED_VALUE"""),1.026)</f>
        <v>1.026</v>
      </c>
      <c r="E475" s="24">
        <f>IFERROR(__xludf.DUMMYFUNCTION("""COMPUTED_VALUE"""),66.0)</f>
        <v>66</v>
      </c>
      <c r="F475" s="27" t="str">
        <f>IFERROR(__xludf.DUMMYFUNCTION("""COMPUTED_VALUE"""),"BLACK")</f>
        <v>BLACK</v>
      </c>
      <c r="G475" s="28" t="str">
        <f>IFERROR(__xludf.DUMMYFUNCTION("""COMPUTED_VALUE"""),"First Times a Charm Cider")</f>
        <v>First Times a Charm Cider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IFERROR(__xludf.DUMMYFUNCTION("""COMPUTED_VALUE"""),43549.6142609027)</f>
        <v>43549.61426</v>
      </c>
      <c r="D476" s="23">
        <f>IFERROR(__xludf.DUMMYFUNCTION("""COMPUTED_VALUE"""),1.026)</f>
        <v>1.026</v>
      </c>
      <c r="E476" s="24">
        <f>IFERROR(__xludf.DUMMYFUNCTION("""COMPUTED_VALUE"""),66.0)</f>
        <v>66</v>
      </c>
      <c r="F476" s="27" t="str">
        <f>IFERROR(__xludf.DUMMYFUNCTION("""COMPUTED_VALUE"""),"BLACK")</f>
        <v>BLACK</v>
      </c>
      <c r="G476" s="28" t="str">
        <f>IFERROR(__xludf.DUMMYFUNCTION("""COMPUTED_VALUE"""),"First Times a Charm Cider")</f>
        <v>First Times a Charm Cider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IFERROR(__xludf.DUMMYFUNCTION("""COMPUTED_VALUE"""),43549.6038382407)</f>
        <v>43549.60384</v>
      </c>
      <c r="D477" s="23">
        <f>IFERROR(__xludf.DUMMYFUNCTION("""COMPUTED_VALUE"""),1.026)</f>
        <v>1.026</v>
      </c>
      <c r="E477" s="24">
        <f>IFERROR(__xludf.DUMMYFUNCTION("""COMPUTED_VALUE"""),66.0)</f>
        <v>66</v>
      </c>
      <c r="F477" s="27" t="str">
        <f>IFERROR(__xludf.DUMMYFUNCTION("""COMPUTED_VALUE"""),"BLACK")</f>
        <v>BLACK</v>
      </c>
      <c r="G477" s="28" t="str">
        <f>IFERROR(__xludf.DUMMYFUNCTION("""COMPUTED_VALUE"""),"First Times a Charm Cider")</f>
        <v>First Times a Charm Cider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IFERROR(__xludf.DUMMYFUNCTION("""COMPUTED_VALUE"""),43549.5934164236)</f>
        <v>43549.59342</v>
      </c>
      <c r="D478" s="23">
        <f>IFERROR(__xludf.DUMMYFUNCTION("""COMPUTED_VALUE"""),1.026)</f>
        <v>1.026</v>
      </c>
      <c r="E478" s="24">
        <f>IFERROR(__xludf.DUMMYFUNCTION("""COMPUTED_VALUE"""),66.0)</f>
        <v>66</v>
      </c>
      <c r="F478" s="27" t="str">
        <f>IFERROR(__xludf.DUMMYFUNCTION("""COMPUTED_VALUE"""),"BLACK")</f>
        <v>BLACK</v>
      </c>
      <c r="G478" s="28" t="str">
        <f>IFERROR(__xludf.DUMMYFUNCTION("""COMPUTED_VALUE"""),"First Times a Charm Cider")</f>
        <v>First Times a Charm Cider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IFERROR(__xludf.DUMMYFUNCTION("""COMPUTED_VALUE"""),43549.5829958333)</f>
        <v>43549.583</v>
      </c>
      <c r="D479" s="23">
        <f>IFERROR(__xludf.DUMMYFUNCTION("""COMPUTED_VALUE"""),1.026)</f>
        <v>1.026</v>
      </c>
      <c r="E479" s="24">
        <f>IFERROR(__xludf.DUMMYFUNCTION("""COMPUTED_VALUE"""),67.0)</f>
        <v>67</v>
      </c>
      <c r="F479" s="27" t="str">
        <f>IFERROR(__xludf.DUMMYFUNCTION("""COMPUTED_VALUE"""),"BLACK")</f>
        <v>BLACK</v>
      </c>
      <c r="G479" s="28" t="str">
        <f>IFERROR(__xludf.DUMMYFUNCTION("""COMPUTED_VALUE"""),"First Times a Charm Cider")</f>
        <v>First Times a Charm Cider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IFERROR(__xludf.DUMMYFUNCTION("""COMPUTED_VALUE"""),43549.572563368)</f>
        <v>43549.57256</v>
      </c>
      <c r="D480" s="23">
        <f>IFERROR(__xludf.DUMMYFUNCTION("""COMPUTED_VALUE"""),1.026)</f>
        <v>1.026</v>
      </c>
      <c r="E480" s="24">
        <f>IFERROR(__xludf.DUMMYFUNCTION("""COMPUTED_VALUE"""),66.0)</f>
        <v>66</v>
      </c>
      <c r="F480" s="27" t="str">
        <f>IFERROR(__xludf.DUMMYFUNCTION("""COMPUTED_VALUE"""),"BLACK")</f>
        <v>BLACK</v>
      </c>
      <c r="G480" s="28" t="str">
        <f>IFERROR(__xludf.DUMMYFUNCTION("""COMPUTED_VALUE"""),"First Times a Charm Cider")</f>
        <v>First Times a Charm Cider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IFERROR(__xludf.DUMMYFUNCTION("""COMPUTED_VALUE"""),43549.5621304282)</f>
        <v>43549.56213</v>
      </c>
      <c r="D481" s="23">
        <f>IFERROR(__xludf.DUMMYFUNCTION("""COMPUTED_VALUE"""),1.026)</f>
        <v>1.026</v>
      </c>
      <c r="E481" s="24">
        <f>IFERROR(__xludf.DUMMYFUNCTION("""COMPUTED_VALUE"""),67.0)</f>
        <v>67</v>
      </c>
      <c r="F481" s="27" t="str">
        <f>IFERROR(__xludf.DUMMYFUNCTION("""COMPUTED_VALUE"""),"BLACK")</f>
        <v>BLACK</v>
      </c>
      <c r="G481" s="28" t="str">
        <f>IFERROR(__xludf.DUMMYFUNCTION("""COMPUTED_VALUE"""),"First Times a Charm Cider")</f>
        <v>First Times a Charm Cider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IFERROR(__xludf.DUMMYFUNCTION("""COMPUTED_VALUE"""),43549.5517104629)</f>
        <v>43549.55171</v>
      </c>
      <c r="D482" s="23">
        <f>IFERROR(__xludf.DUMMYFUNCTION("""COMPUTED_VALUE"""),1.026)</f>
        <v>1.026</v>
      </c>
      <c r="E482" s="24">
        <f>IFERROR(__xludf.DUMMYFUNCTION("""COMPUTED_VALUE"""),67.0)</f>
        <v>67</v>
      </c>
      <c r="F482" s="27" t="str">
        <f>IFERROR(__xludf.DUMMYFUNCTION("""COMPUTED_VALUE"""),"BLACK")</f>
        <v>BLACK</v>
      </c>
      <c r="G482" s="28" t="str">
        <f>IFERROR(__xludf.DUMMYFUNCTION("""COMPUTED_VALUE"""),"First Times a Charm Cider")</f>
        <v>First Times a Charm Cider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IFERROR(__xludf.DUMMYFUNCTION("""COMPUTED_VALUE"""),43549.5412897106)</f>
        <v>43549.54129</v>
      </c>
      <c r="D483" s="23">
        <f>IFERROR(__xludf.DUMMYFUNCTION("""COMPUTED_VALUE"""),1.026)</f>
        <v>1.026</v>
      </c>
      <c r="E483" s="24">
        <f>IFERROR(__xludf.DUMMYFUNCTION("""COMPUTED_VALUE"""),66.0)</f>
        <v>66</v>
      </c>
      <c r="F483" s="27" t="str">
        <f>IFERROR(__xludf.DUMMYFUNCTION("""COMPUTED_VALUE"""),"BLACK")</f>
        <v>BLACK</v>
      </c>
      <c r="G483" s="28" t="str">
        <f>IFERROR(__xludf.DUMMYFUNCTION("""COMPUTED_VALUE"""),"First Times a Charm Cider")</f>
        <v>First Times a Charm Cider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IFERROR(__xludf.DUMMYFUNCTION("""COMPUTED_VALUE"""),43549.5308557175)</f>
        <v>43549.53086</v>
      </c>
      <c r="D484" s="23">
        <f>IFERROR(__xludf.DUMMYFUNCTION("""COMPUTED_VALUE"""),1.026)</f>
        <v>1.026</v>
      </c>
      <c r="E484" s="24">
        <f>IFERROR(__xludf.DUMMYFUNCTION("""COMPUTED_VALUE"""),66.0)</f>
        <v>66</v>
      </c>
      <c r="F484" s="27" t="str">
        <f>IFERROR(__xludf.DUMMYFUNCTION("""COMPUTED_VALUE"""),"BLACK")</f>
        <v>BLACK</v>
      </c>
      <c r="G484" s="28" t="str">
        <f>IFERROR(__xludf.DUMMYFUNCTION("""COMPUTED_VALUE"""),"First Times a Charm Cider")</f>
        <v>First Times a Charm Cider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IFERROR(__xludf.DUMMYFUNCTION("""COMPUTED_VALUE"""),43549.5204332638)</f>
        <v>43549.52043</v>
      </c>
      <c r="D485" s="23">
        <f>IFERROR(__xludf.DUMMYFUNCTION("""COMPUTED_VALUE"""),1.026)</f>
        <v>1.026</v>
      </c>
      <c r="E485" s="24">
        <f>IFERROR(__xludf.DUMMYFUNCTION("""COMPUTED_VALUE"""),66.0)</f>
        <v>66</v>
      </c>
      <c r="F485" s="27" t="str">
        <f>IFERROR(__xludf.DUMMYFUNCTION("""COMPUTED_VALUE"""),"BLACK")</f>
        <v>BLACK</v>
      </c>
      <c r="G485" s="28" t="str">
        <f>IFERROR(__xludf.DUMMYFUNCTION("""COMPUTED_VALUE"""),"First Times a Charm Cider")</f>
        <v>First Times a Charm Cider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IFERROR(__xludf.DUMMYFUNCTION("""COMPUTED_VALUE"""),43549.5099999189)</f>
        <v>43549.51</v>
      </c>
      <c r="D486" s="23">
        <f>IFERROR(__xludf.DUMMYFUNCTION("""COMPUTED_VALUE"""),1.026)</f>
        <v>1.026</v>
      </c>
      <c r="E486" s="24">
        <f>IFERROR(__xludf.DUMMYFUNCTION("""COMPUTED_VALUE"""),66.0)</f>
        <v>66</v>
      </c>
      <c r="F486" s="27" t="str">
        <f>IFERROR(__xludf.DUMMYFUNCTION("""COMPUTED_VALUE"""),"BLACK")</f>
        <v>BLACK</v>
      </c>
      <c r="G486" s="28" t="str">
        <f>IFERROR(__xludf.DUMMYFUNCTION("""COMPUTED_VALUE"""),"First Times a Charm Cider")</f>
        <v>First Times a Charm Cider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IFERROR(__xludf.DUMMYFUNCTION("""COMPUTED_VALUE"""),43549.4995571527)</f>
        <v>43549.49956</v>
      </c>
      <c r="D487" s="23">
        <f>IFERROR(__xludf.DUMMYFUNCTION("""COMPUTED_VALUE"""),1.026)</f>
        <v>1.026</v>
      </c>
      <c r="E487" s="24">
        <f>IFERROR(__xludf.DUMMYFUNCTION("""COMPUTED_VALUE"""),66.0)</f>
        <v>66</v>
      </c>
      <c r="F487" s="27" t="str">
        <f>IFERROR(__xludf.DUMMYFUNCTION("""COMPUTED_VALUE"""),"BLACK")</f>
        <v>BLACK</v>
      </c>
      <c r="G487" s="28" t="str">
        <f>IFERROR(__xludf.DUMMYFUNCTION("""COMPUTED_VALUE"""),"First Times a Charm Cider")</f>
        <v>First Times a Charm Cider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IFERROR(__xludf.DUMMYFUNCTION("""COMPUTED_VALUE"""),43549.4891375694)</f>
        <v>43549.48914</v>
      </c>
      <c r="D488" s="23">
        <f>IFERROR(__xludf.DUMMYFUNCTION("""COMPUTED_VALUE"""),1.026)</f>
        <v>1.026</v>
      </c>
      <c r="E488" s="24">
        <f>IFERROR(__xludf.DUMMYFUNCTION("""COMPUTED_VALUE"""),66.0)</f>
        <v>66</v>
      </c>
      <c r="F488" s="27" t="str">
        <f>IFERROR(__xludf.DUMMYFUNCTION("""COMPUTED_VALUE"""),"BLACK")</f>
        <v>BLACK</v>
      </c>
      <c r="G488" s="28" t="str">
        <f>IFERROR(__xludf.DUMMYFUNCTION("""COMPUTED_VALUE"""),"First Times a Charm Cider")</f>
        <v>First Times a Charm Cider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IFERROR(__xludf.DUMMYFUNCTION("""COMPUTED_VALUE"""),43549.4787158217)</f>
        <v>43549.47872</v>
      </c>
      <c r="D489" s="23">
        <f>IFERROR(__xludf.DUMMYFUNCTION("""COMPUTED_VALUE"""),1.026)</f>
        <v>1.026</v>
      </c>
      <c r="E489" s="24">
        <f>IFERROR(__xludf.DUMMYFUNCTION("""COMPUTED_VALUE"""),66.0)</f>
        <v>66</v>
      </c>
      <c r="F489" s="27" t="str">
        <f>IFERROR(__xludf.DUMMYFUNCTION("""COMPUTED_VALUE"""),"BLACK")</f>
        <v>BLACK</v>
      </c>
      <c r="G489" s="28" t="str">
        <f>IFERROR(__xludf.DUMMYFUNCTION("""COMPUTED_VALUE"""),"First Times a Charm Cider")</f>
        <v>First Times a Charm Cider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IFERROR(__xludf.DUMMYFUNCTION("""COMPUTED_VALUE"""),43549.4682949074)</f>
        <v>43549.46829</v>
      </c>
      <c r="D490" s="23">
        <f>IFERROR(__xludf.DUMMYFUNCTION("""COMPUTED_VALUE"""),1.026)</f>
        <v>1.026</v>
      </c>
      <c r="E490" s="24">
        <f>IFERROR(__xludf.DUMMYFUNCTION("""COMPUTED_VALUE"""),66.0)</f>
        <v>66</v>
      </c>
      <c r="F490" s="27" t="str">
        <f>IFERROR(__xludf.DUMMYFUNCTION("""COMPUTED_VALUE"""),"BLACK")</f>
        <v>BLACK</v>
      </c>
      <c r="G490" s="28" t="str">
        <f>IFERROR(__xludf.DUMMYFUNCTION("""COMPUTED_VALUE"""),"First Times a Charm Cider")</f>
        <v>First Times a Charm Cider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IFERROR(__xludf.DUMMYFUNCTION("""COMPUTED_VALUE"""),43549.4578612731)</f>
        <v>43549.45786</v>
      </c>
      <c r="D491" s="23">
        <f>IFERROR(__xludf.DUMMYFUNCTION("""COMPUTED_VALUE"""),1.026)</f>
        <v>1.026</v>
      </c>
      <c r="E491" s="24">
        <f>IFERROR(__xludf.DUMMYFUNCTION("""COMPUTED_VALUE"""),66.0)</f>
        <v>66</v>
      </c>
      <c r="F491" s="27" t="str">
        <f>IFERROR(__xludf.DUMMYFUNCTION("""COMPUTED_VALUE"""),"BLACK")</f>
        <v>BLACK</v>
      </c>
      <c r="G491" s="28" t="str">
        <f>IFERROR(__xludf.DUMMYFUNCTION("""COMPUTED_VALUE"""),"First Times a Charm Cider")</f>
        <v>First Times a Charm Cider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IFERROR(__xludf.DUMMYFUNCTION("""COMPUTED_VALUE"""),43549.4474407523)</f>
        <v>43549.44744</v>
      </c>
      <c r="D492" s="23">
        <f>IFERROR(__xludf.DUMMYFUNCTION("""COMPUTED_VALUE"""),1.026)</f>
        <v>1.026</v>
      </c>
      <c r="E492" s="24">
        <f>IFERROR(__xludf.DUMMYFUNCTION("""COMPUTED_VALUE"""),66.0)</f>
        <v>66</v>
      </c>
      <c r="F492" s="27" t="str">
        <f>IFERROR(__xludf.DUMMYFUNCTION("""COMPUTED_VALUE"""),"BLACK")</f>
        <v>BLACK</v>
      </c>
      <c r="G492" s="28" t="str">
        <f>IFERROR(__xludf.DUMMYFUNCTION("""COMPUTED_VALUE"""),"First Times a Charm Cider")</f>
        <v>First Times a Charm Cider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IFERROR(__xludf.DUMMYFUNCTION("""COMPUTED_VALUE"""),43549.4370195949)</f>
        <v>43549.43702</v>
      </c>
      <c r="D493" s="23">
        <f>IFERROR(__xludf.DUMMYFUNCTION("""COMPUTED_VALUE"""),1.026)</f>
        <v>1.026</v>
      </c>
      <c r="E493" s="24">
        <f>IFERROR(__xludf.DUMMYFUNCTION("""COMPUTED_VALUE"""),66.0)</f>
        <v>66</v>
      </c>
      <c r="F493" s="27" t="str">
        <f>IFERROR(__xludf.DUMMYFUNCTION("""COMPUTED_VALUE"""),"BLACK")</f>
        <v>BLACK</v>
      </c>
      <c r="G493" s="28" t="str">
        <f>IFERROR(__xludf.DUMMYFUNCTION("""COMPUTED_VALUE"""),"First Times a Charm Cider")</f>
        <v>First Times a Charm Cider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IFERROR(__xludf.DUMMYFUNCTION("""COMPUTED_VALUE"""),43549.4265954976)</f>
        <v>43549.4266</v>
      </c>
      <c r="D494" s="23">
        <f>IFERROR(__xludf.DUMMYFUNCTION("""COMPUTED_VALUE"""),1.026)</f>
        <v>1.026</v>
      </c>
      <c r="E494" s="24">
        <f>IFERROR(__xludf.DUMMYFUNCTION("""COMPUTED_VALUE"""),66.0)</f>
        <v>66</v>
      </c>
      <c r="F494" s="27" t="str">
        <f>IFERROR(__xludf.DUMMYFUNCTION("""COMPUTED_VALUE"""),"BLACK")</f>
        <v>BLACK</v>
      </c>
      <c r="G494" s="28" t="str">
        <f>IFERROR(__xludf.DUMMYFUNCTION("""COMPUTED_VALUE"""),"First Times a Charm Cider")</f>
        <v>First Times a Charm Cider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IFERROR(__xludf.DUMMYFUNCTION("""COMPUTED_VALUE"""),43549.416174618)</f>
        <v>43549.41617</v>
      </c>
      <c r="D495" s="23">
        <f>IFERROR(__xludf.DUMMYFUNCTION("""COMPUTED_VALUE"""),1.026)</f>
        <v>1.026</v>
      </c>
      <c r="E495" s="24">
        <f>IFERROR(__xludf.DUMMYFUNCTION("""COMPUTED_VALUE"""),66.0)</f>
        <v>66</v>
      </c>
      <c r="F495" s="27" t="str">
        <f>IFERROR(__xludf.DUMMYFUNCTION("""COMPUTED_VALUE"""),"BLACK")</f>
        <v>BLACK</v>
      </c>
      <c r="G495" s="28" t="str">
        <f>IFERROR(__xludf.DUMMYFUNCTION("""COMPUTED_VALUE"""),"First Times a Charm Cider")</f>
        <v>First Times a Charm Cider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IFERROR(__xludf.DUMMYFUNCTION("""COMPUTED_VALUE"""),43549.4057534837)</f>
        <v>43549.40575</v>
      </c>
      <c r="D496" s="23">
        <f>IFERROR(__xludf.DUMMYFUNCTION("""COMPUTED_VALUE"""),1.026)</f>
        <v>1.026</v>
      </c>
      <c r="E496" s="24">
        <f>IFERROR(__xludf.DUMMYFUNCTION("""COMPUTED_VALUE"""),66.0)</f>
        <v>66</v>
      </c>
      <c r="F496" s="27" t="str">
        <f>IFERROR(__xludf.DUMMYFUNCTION("""COMPUTED_VALUE"""),"BLACK")</f>
        <v>BLACK</v>
      </c>
      <c r="G496" s="28" t="str">
        <f>IFERROR(__xludf.DUMMYFUNCTION("""COMPUTED_VALUE"""),"First Times a Charm Cider")</f>
        <v>First Times a Charm Cider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IFERROR(__xludf.DUMMYFUNCTION("""COMPUTED_VALUE"""),43549.395331412)</f>
        <v>43549.39533</v>
      </c>
      <c r="D497" s="23">
        <f>IFERROR(__xludf.DUMMYFUNCTION("""COMPUTED_VALUE"""),1.026)</f>
        <v>1.026</v>
      </c>
      <c r="E497" s="24">
        <f>IFERROR(__xludf.DUMMYFUNCTION("""COMPUTED_VALUE"""),66.0)</f>
        <v>66</v>
      </c>
      <c r="F497" s="27" t="str">
        <f>IFERROR(__xludf.DUMMYFUNCTION("""COMPUTED_VALUE"""),"BLACK")</f>
        <v>BLACK</v>
      </c>
      <c r="G497" s="28" t="str">
        <f>IFERROR(__xludf.DUMMYFUNCTION("""COMPUTED_VALUE"""),"First Times a Charm Cider")</f>
        <v>First Times a Charm Cider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IFERROR(__xludf.DUMMYFUNCTION("""COMPUTED_VALUE"""),43549.3849095023)</f>
        <v>43549.38491</v>
      </c>
      <c r="D498" s="23">
        <f>IFERROR(__xludf.DUMMYFUNCTION("""COMPUTED_VALUE"""),1.026)</f>
        <v>1.026</v>
      </c>
      <c r="E498" s="24">
        <f>IFERROR(__xludf.DUMMYFUNCTION("""COMPUTED_VALUE"""),66.0)</f>
        <v>66</v>
      </c>
      <c r="F498" s="27" t="str">
        <f>IFERROR(__xludf.DUMMYFUNCTION("""COMPUTED_VALUE"""),"BLACK")</f>
        <v>BLACK</v>
      </c>
      <c r="G498" s="28" t="str">
        <f>IFERROR(__xludf.DUMMYFUNCTION("""COMPUTED_VALUE"""),"First Times a Charm Cider")</f>
        <v>First Times a Charm Cider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IFERROR(__xludf.DUMMYFUNCTION("""COMPUTED_VALUE"""),43549.3744552777)</f>
        <v>43549.37446</v>
      </c>
      <c r="D499" s="23">
        <f>IFERROR(__xludf.DUMMYFUNCTION("""COMPUTED_VALUE"""),1.026)</f>
        <v>1.026</v>
      </c>
      <c r="E499" s="24">
        <f>IFERROR(__xludf.DUMMYFUNCTION("""COMPUTED_VALUE"""),66.0)</f>
        <v>66</v>
      </c>
      <c r="F499" s="27" t="str">
        <f>IFERROR(__xludf.DUMMYFUNCTION("""COMPUTED_VALUE"""),"BLACK")</f>
        <v>BLACK</v>
      </c>
      <c r="G499" s="28" t="str">
        <f>IFERROR(__xludf.DUMMYFUNCTION("""COMPUTED_VALUE"""),"First Times a Charm Cider")</f>
        <v>First Times a Charm Cider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IFERROR(__xludf.DUMMYFUNCTION("""COMPUTED_VALUE"""),43549.3640340509)</f>
        <v>43549.36403</v>
      </c>
      <c r="D500" s="23">
        <f>IFERROR(__xludf.DUMMYFUNCTION("""COMPUTED_VALUE"""),1.026)</f>
        <v>1.026</v>
      </c>
      <c r="E500" s="24">
        <f>IFERROR(__xludf.DUMMYFUNCTION("""COMPUTED_VALUE"""),66.0)</f>
        <v>66</v>
      </c>
      <c r="F500" s="27" t="str">
        <f>IFERROR(__xludf.DUMMYFUNCTION("""COMPUTED_VALUE"""),"BLACK")</f>
        <v>BLACK</v>
      </c>
      <c r="G500" s="28" t="str">
        <f>IFERROR(__xludf.DUMMYFUNCTION("""COMPUTED_VALUE"""),"First Times a Charm Cider")</f>
        <v>First Times a Charm Cider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IFERROR(__xludf.DUMMYFUNCTION("""COMPUTED_VALUE"""),43549.3536023726)</f>
        <v>43549.3536</v>
      </c>
      <c r="D501" s="23">
        <f>IFERROR(__xludf.DUMMYFUNCTION("""COMPUTED_VALUE"""),1.026)</f>
        <v>1.026</v>
      </c>
      <c r="E501" s="24">
        <f>IFERROR(__xludf.DUMMYFUNCTION("""COMPUTED_VALUE"""),66.0)</f>
        <v>66</v>
      </c>
      <c r="F501" s="27" t="str">
        <f>IFERROR(__xludf.DUMMYFUNCTION("""COMPUTED_VALUE"""),"BLACK")</f>
        <v>BLACK</v>
      </c>
      <c r="G501" s="28" t="str">
        <f>IFERROR(__xludf.DUMMYFUNCTION("""COMPUTED_VALUE"""),"First Times a Charm Cider")</f>
        <v>First Times a Charm Cider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IFERROR(__xludf.DUMMYFUNCTION("""COMPUTED_VALUE"""),43549.3431819097)</f>
        <v>43549.34318</v>
      </c>
      <c r="D502" s="23">
        <f>IFERROR(__xludf.DUMMYFUNCTION("""COMPUTED_VALUE"""),1.026)</f>
        <v>1.026</v>
      </c>
      <c r="E502" s="24">
        <f>IFERROR(__xludf.DUMMYFUNCTION("""COMPUTED_VALUE"""),66.0)</f>
        <v>66</v>
      </c>
      <c r="F502" s="27" t="str">
        <f>IFERROR(__xludf.DUMMYFUNCTION("""COMPUTED_VALUE"""),"BLACK")</f>
        <v>BLACK</v>
      </c>
      <c r="G502" s="28" t="str">
        <f>IFERROR(__xludf.DUMMYFUNCTION("""COMPUTED_VALUE"""),"First Times a Charm Cider")</f>
        <v>First Times a Charm Cider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IFERROR(__xludf.DUMMYFUNCTION("""COMPUTED_VALUE"""),43549.3327613425)</f>
        <v>43549.33276</v>
      </c>
      <c r="D503" s="23">
        <f>IFERROR(__xludf.DUMMYFUNCTION("""COMPUTED_VALUE"""),1.026)</f>
        <v>1.026</v>
      </c>
      <c r="E503" s="24">
        <f>IFERROR(__xludf.DUMMYFUNCTION("""COMPUTED_VALUE"""),66.0)</f>
        <v>66</v>
      </c>
      <c r="F503" s="27" t="str">
        <f>IFERROR(__xludf.DUMMYFUNCTION("""COMPUTED_VALUE"""),"BLACK")</f>
        <v>BLACK</v>
      </c>
      <c r="G503" s="28" t="str">
        <f>IFERROR(__xludf.DUMMYFUNCTION("""COMPUTED_VALUE"""),"First Times a Charm Cider")</f>
        <v>First Times a Charm Cider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IFERROR(__xludf.DUMMYFUNCTION("""COMPUTED_VALUE"""),43549.3223403935)</f>
        <v>43549.32234</v>
      </c>
      <c r="D504" s="23">
        <f>IFERROR(__xludf.DUMMYFUNCTION("""COMPUTED_VALUE"""),1.026)</f>
        <v>1.026</v>
      </c>
      <c r="E504" s="24">
        <f>IFERROR(__xludf.DUMMYFUNCTION("""COMPUTED_VALUE"""),66.0)</f>
        <v>66</v>
      </c>
      <c r="F504" s="27" t="str">
        <f>IFERROR(__xludf.DUMMYFUNCTION("""COMPUTED_VALUE"""),"BLACK")</f>
        <v>BLACK</v>
      </c>
      <c r="G504" s="28" t="str">
        <f>IFERROR(__xludf.DUMMYFUNCTION("""COMPUTED_VALUE"""),"First Times a Charm Cider")</f>
        <v>First Times a Charm Cider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IFERROR(__xludf.DUMMYFUNCTION("""COMPUTED_VALUE"""),43549.3118841088)</f>
        <v>43549.31188</v>
      </c>
      <c r="D505" s="23">
        <f>IFERROR(__xludf.DUMMYFUNCTION("""COMPUTED_VALUE"""),1.026)</f>
        <v>1.026</v>
      </c>
      <c r="E505" s="24">
        <f>IFERROR(__xludf.DUMMYFUNCTION("""COMPUTED_VALUE"""),66.0)</f>
        <v>66</v>
      </c>
      <c r="F505" s="27" t="str">
        <f>IFERROR(__xludf.DUMMYFUNCTION("""COMPUTED_VALUE"""),"BLACK")</f>
        <v>BLACK</v>
      </c>
      <c r="G505" s="28" t="str">
        <f>IFERROR(__xludf.DUMMYFUNCTION("""COMPUTED_VALUE"""),"First Times a Charm Cider")</f>
        <v>First Times a Charm Cider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IFERROR(__xludf.DUMMYFUNCTION("""COMPUTED_VALUE"""),43549.3014607754)</f>
        <v>43549.30146</v>
      </c>
      <c r="D506" s="23">
        <f>IFERROR(__xludf.DUMMYFUNCTION("""COMPUTED_VALUE"""),1.026)</f>
        <v>1.026</v>
      </c>
      <c r="E506" s="24">
        <f>IFERROR(__xludf.DUMMYFUNCTION("""COMPUTED_VALUE"""),67.0)</f>
        <v>67</v>
      </c>
      <c r="F506" s="27" t="str">
        <f>IFERROR(__xludf.DUMMYFUNCTION("""COMPUTED_VALUE"""),"BLACK")</f>
        <v>BLACK</v>
      </c>
      <c r="G506" s="28" t="str">
        <f>IFERROR(__xludf.DUMMYFUNCTION("""COMPUTED_VALUE"""),"First Times a Charm Cider")</f>
        <v>First Times a Charm Cider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IFERROR(__xludf.DUMMYFUNCTION("""COMPUTED_VALUE"""),43549.2910411921)</f>
        <v>43549.29104</v>
      </c>
      <c r="D507" s="23">
        <f>IFERROR(__xludf.DUMMYFUNCTION("""COMPUTED_VALUE"""),1.026)</f>
        <v>1.026</v>
      </c>
      <c r="E507" s="24">
        <f>IFERROR(__xludf.DUMMYFUNCTION("""COMPUTED_VALUE"""),67.0)</f>
        <v>67</v>
      </c>
      <c r="F507" s="27" t="str">
        <f>IFERROR(__xludf.DUMMYFUNCTION("""COMPUTED_VALUE"""),"BLACK")</f>
        <v>BLACK</v>
      </c>
      <c r="G507" s="28" t="str">
        <f>IFERROR(__xludf.DUMMYFUNCTION("""COMPUTED_VALUE"""),"First Times a Charm Cider")</f>
        <v>First Times a Charm Cider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IFERROR(__xludf.DUMMYFUNCTION("""COMPUTED_VALUE"""),43549.2806105787)</f>
        <v>43549.28061</v>
      </c>
      <c r="D508" s="23">
        <f>IFERROR(__xludf.DUMMYFUNCTION("""COMPUTED_VALUE"""),1.026)</f>
        <v>1.026</v>
      </c>
      <c r="E508" s="24">
        <f>IFERROR(__xludf.DUMMYFUNCTION("""COMPUTED_VALUE"""),67.0)</f>
        <v>67</v>
      </c>
      <c r="F508" s="27" t="str">
        <f>IFERROR(__xludf.DUMMYFUNCTION("""COMPUTED_VALUE"""),"BLACK")</f>
        <v>BLACK</v>
      </c>
      <c r="G508" s="28" t="str">
        <f>IFERROR(__xludf.DUMMYFUNCTION("""COMPUTED_VALUE"""),"First Times a Charm Cider")</f>
        <v>First Times a Charm Cider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IFERROR(__xludf.DUMMYFUNCTION("""COMPUTED_VALUE"""),43549.2701886574)</f>
        <v>43549.27019</v>
      </c>
      <c r="D509" s="23">
        <f>IFERROR(__xludf.DUMMYFUNCTION("""COMPUTED_VALUE"""),1.026)</f>
        <v>1.026</v>
      </c>
      <c r="E509" s="24">
        <f>IFERROR(__xludf.DUMMYFUNCTION("""COMPUTED_VALUE"""),67.0)</f>
        <v>67</v>
      </c>
      <c r="F509" s="27" t="str">
        <f>IFERROR(__xludf.DUMMYFUNCTION("""COMPUTED_VALUE"""),"BLACK")</f>
        <v>BLACK</v>
      </c>
      <c r="G509" s="28" t="str">
        <f>IFERROR(__xludf.DUMMYFUNCTION("""COMPUTED_VALUE"""),"First Times a Charm Cider")</f>
        <v>First Times a Charm Cider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IFERROR(__xludf.DUMMYFUNCTION("""COMPUTED_VALUE"""),43549.2597552314)</f>
        <v>43549.25976</v>
      </c>
      <c r="D510" s="23">
        <f>IFERROR(__xludf.DUMMYFUNCTION("""COMPUTED_VALUE"""),1.026)</f>
        <v>1.026</v>
      </c>
      <c r="E510" s="24">
        <f>IFERROR(__xludf.DUMMYFUNCTION("""COMPUTED_VALUE"""),67.0)</f>
        <v>67</v>
      </c>
      <c r="F510" s="27" t="str">
        <f>IFERROR(__xludf.DUMMYFUNCTION("""COMPUTED_VALUE"""),"BLACK")</f>
        <v>BLACK</v>
      </c>
      <c r="G510" s="28" t="str">
        <f>IFERROR(__xludf.DUMMYFUNCTION("""COMPUTED_VALUE"""),"First Times a Charm Cider")</f>
        <v>First Times a Charm Cider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IFERROR(__xludf.DUMMYFUNCTION("""COMPUTED_VALUE"""),43549.2493012384)</f>
        <v>43549.2493</v>
      </c>
      <c r="D511" s="23">
        <f>IFERROR(__xludf.DUMMYFUNCTION("""COMPUTED_VALUE"""),1.027)</f>
        <v>1.027</v>
      </c>
      <c r="E511" s="24">
        <f>IFERROR(__xludf.DUMMYFUNCTION("""COMPUTED_VALUE"""),67.0)</f>
        <v>67</v>
      </c>
      <c r="F511" s="27" t="str">
        <f>IFERROR(__xludf.DUMMYFUNCTION("""COMPUTED_VALUE"""),"BLACK")</f>
        <v>BLACK</v>
      </c>
      <c r="G511" s="28" t="str">
        <f>IFERROR(__xludf.DUMMYFUNCTION("""COMPUTED_VALUE"""),"First Times a Charm Cider")</f>
        <v>First Times a Charm Cider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IFERROR(__xludf.DUMMYFUNCTION("""COMPUTED_VALUE"""),43549.2388674305)</f>
        <v>43549.23887</v>
      </c>
      <c r="D512" s="23">
        <f>IFERROR(__xludf.DUMMYFUNCTION("""COMPUTED_VALUE"""),1.026)</f>
        <v>1.026</v>
      </c>
      <c r="E512" s="24">
        <f>IFERROR(__xludf.DUMMYFUNCTION("""COMPUTED_VALUE"""),67.0)</f>
        <v>67</v>
      </c>
      <c r="F512" s="27" t="str">
        <f>IFERROR(__xludf.DUMMYFUNCTION("""COMPUTED_VALUE"""),"BLACK")</f>
        <v>BLACK</v>
      </c>
      <c r="G512" s="28" t="str">
        <f>IFERROR(__xludf.DUMMYFUNCTION("""COMPUTED_VALUE"""),"First Times a Charm Cider")</f>
        <v>First Times a Charm Cider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IFERROR(__xludf.DUMMYFUNCTION("""COMPUTED_VALUE"""),43549.2284461226)</f>
        <v>43549.22845</v>
      </c>
      <c r="D513" s="23">
        <f>IFERROR(__xludf.DUMMYFUNCTION("""COMPUTED_VALUE"""),1.026)</f>
        <v>1.026</v>
      </c>
      <c r="E513" s="24">
        <f>IFERROR(__xludf.DUMMYFUNCTION("""COMPUTED_VALUE"""),67.0)</f>
        <v>67</v>
      </c>
      <c r="F513" s="27" t="str">
        <f>IFERROR(__xludf.DUMMYFUNCTION("""COMPUTED_VALUE"""),"BLACK")</f>
        <v>BLACK</v>
      </c>
      <c r="G513" s="28" t="str">
        <f>IFERROR(__xludf.DUMMYFUNCTION("""COMPUTED_VALUE"""),"First Times a Charm Cider")</f>
        <v>First Times a Charm Cider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IFERROR(__xludf.DUMMYFUNCTION("""COMPUTED_VALUE"""),43549.2180029513)</f>
        <v>43549.218</v>
      </c>
      <c r="D514" s="23">
        <f>IFERROR(__xludf.DUMMYFUNCTION("""COMPUTED_VALUE"""),1.027)</f>
        <v>1.027</v>
      </c>
      <c r="E514" s="24">
        <f>IFERROR(__xludf.DUMMYFUNCTION("""COMPUTED_VALUE"""),67.0)</f>
        <v>67</v>
      </c>
      <c r="F514" s="27" t="str">
        <f>IFERROR(__xludf.DUMMYFUNCTION("""COMPUTED_VALUE"""),"BLACK")</f>
        <v>BLACK</v>
      </c>
      <c r="G514" s="28" t="str">
        <f>IFERROR(__xludf.DUMMYFUNCTION("""COMPUTED_VALUE"""),"First Times a Charm Cider")</f>
        <v>First Times a Charm Cider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IFERROR(__xludf.DUMMYFUNCTION("""COMPUTED_VALUE"""),43549.2075818518)</f>
        <v>43549.20758</v>
      </c>
      <c r="D515" s="23">
        <f>IFERROR(__xludf.DUMMYFUNCTION("""COMPUTED_VALUE"""),1.027)</f>
        <v>1.027</v>
      </c>
      <c r="E515" s="24">
        <f>IFERROR(__xludf.DUMMYFUNCTION("""COMPUTED_VALUE"""),67.0)</f>
        <v>67</v>
      </c>
      <c r="F515" s="27" t="str">
        <f>IFERROR(__xludf.DUMMYFUNCTION("""COMPUTED_VALUE"""),"BLACK")</f>
        <v>BLACK</v>
      </c>
      <c r="G515" s="28" t="str">
        <f>IFERROR(__xludf.DUMMYFUNCTION("""COMPUTED_VALUE"""),"First Times a Charm Cider")</f>
        <v>First Times a Charm Cider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IFERROR(__xludf.DUMMYFUNCTION("""COMPUTED_VALUE"""),43549.1971606944)</f>
        <v>43549.19716</v>
      </c>
      <c r="D516" s="23">
        <f>IFERROR(__xludf.DUMMYFUNCTION("""COMPUTED_VALUE"""),1.027)</f>
        <v>1.027</v>
      </c>
      <c r="E516" s="24">
        <f>IFERROR(__xludf.DUMMYFUNCTION("""COMPUTED_VALUE"""),67.0)</f>
        <v>67</v>
      </c>
      <c r="F516" s="27" t="str">
        <f>IFERROR(__xludf.DUMMYFUNCTION("""COMPUTED_VALUE"""),"BLACK")</f>
        <v>BLACK</v>
      </c>
      <c r="G516" s="28" t="str">
        <f>IFERROR(__xludf.DUMMYFUNCTION("""COMPUTED_VALUE"""),"First Times a Charm Cider")</f>
        <v>First Times a Charm Cider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IFERROR(__xludf.DUMMYFUNCTION("""COMPUTED_VALUE"""),43549.1867280208)</f>
        <v>43549.18673</v>
      </c>
      <c r="D517" s="23">
        <f>IFERROR(__xludf.DUMMYFUNCTION("""COMPUTED_VALUE"""),1.026)</f>
        <v>1.026</v>
      </c>
      <c r="E517" s="24">
        <f>IFERROR(__xludf.DUMMYFUNCTION("""COMPUTED_VALUE"""),67.0)</f>
        <v>67</v>
      </c>
      <c r="F517" s="27" t="str">
        <f>IFERROR(__xludf.DUMMYFUNCTION("""COMPUTED_VALUE"""),"BLACK")</f>
        <v>BLACK</v>
      </c>
      <c r="G517" s="28" t="str">
        <f>IFERROR(__xludf.DUMMYFUNCTION("""COMPUTED_VALUE"""),"First Times a Charm Cider")</f>
        <v>First Times a Charm Cider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IFERROR(__xludf.DUMMYFUNCTION("""COMPUTED_VALUE"""),43549.1763058564)</f>
        <v>43549.17631</v>
      </c>
      <c r="D518" s="23">
        <f>IFERROR(__xludf.DUMMYFUNCTION("""COMPUTED_VALUE"""),1.027)</f>
        <v>1.027</v>
      </c>
      <c r="E518" s="24">
        <f>IFERROR(__xludf.DUMMYFUNCTION("""COMPUTED_VALUE"""),67.0)</f>
        <v>67</v>
      </c>
      <c r="F518" s="27" t="str">
        <f>IFERROR(__xludf.DUMMYFUNCTION("""COMPUTED_VALUE"""),"BLACK")</f>
        <v>BLACK</v>
      </c>
      <c r="G518" s="28" t="str">
        <f>IFERROR(__xludf.DUMMYFUNCTION("""COMPUTED_VALUE"""),"First Times a Charm Cider")</f>
        <v>First Times a Charm Cider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IFERROR(__xludf.DUMMYFUNCTION("""COMPUTED_VALUE"""),43549.1658711805)</f>
        <v>43549.16587</v>
      </c>
      <c r="D519" s="23">
        <f>IFERROR(__xludf.DUMMYFUNCTION("""COMPUTED_VALUE"""),1.027)</f>
        <v>1.027</v>
      </c>
      <c r="E519" s="19">
        <f>IFERROR(__xludf.DUMMYFUNCTION("""COMPUTED_VALUE"""),67.0)</f>
        <v>67</v>
      </c>
      <c r="F519" s="20" t="str">
        <f>IFERROR(__xludf.DUMMYFUNCTION("""COMPUTED_VALUE"""),"BLACK")</f>
        <v>BLACK</v>
      </c>
      <c r="G519" s="28" t="str">
        <f>IFERROR(__xludf.DUMMYFUNCTION("""COMPUTED_VALUE"""),"First Times a Charm Cider")</f>
        <v>First Times a Charm Cider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IFERROR(__xludf.DUMMYFUNCTION("""COMPUTED_VALUE"""),43549.1554519212)</f>
        <v>43549.15545</v>
      </c>
      <c r="D520" s="23">
        <f>IFERROR(__xludf.DUMMYFUNCTION("""COMPUTED_VALUE"""),1.027)</f>
        <v>1.027</v>
      </c>
      <c r="E520" s="24">
        <f>IFERROR(__xludf.DUMMYFUNCTION("""COMPUTED_VALUE"""),67.0)</f>
        <v>67</v>
      </c>
      <c r="F520" s="27" t="str">
        <f>IFERROR(__xludf.DUMMYFUNCTION("""COMPUTED_VALUE"""),"BLACK")</f>
        <v>BLACK</v>
      </c>
      <c r="G520" s="28" t="str">
        <f>IFERROR(__xludf.DUMMYFUNCTION("""COMPUTED_VALUE"""),"First Times a Charm Cider")</f>
        <v>First Times a Charm Cider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IFERROR(__xludf.DUMMYFUNCTION("""COMPUTED_VALUE"""),43549.1450313425)</f>
        <v>43549.14503</v>
      </c>
      <c r="D521" s="23">
        <f>IFERROR(__xludf.DUMMYFUNCTION("""COMPUTED_VALUE"""),1.026)</f>
        <v>1.026</v>
      </c>
      <c r="E521" s="24">
        <f>IFERROR(__xludf.DUMMYFUNCTION("""COMPUTED_VALUE"""),67.0)</f>
        <v>67</v>
      </c>
      <c r="F521" s="27" t="str">
        <f>IFERROR(__xludf.DUMMYFUNCTION("""COMPUTED_VALUE"""),"BLACK")</f>
        <v>BLACK</v>
      </c>
      <c r="G521" s="28" t="str">
        <f>IFERROR(__xludf.DUMMYFUNCTION("""COMPUTED_VALUE"""),"First Times a Charm Cider")</f>
        <v>First Times a Charm Cider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IFERROR(__xludf.DUMMYFUNCTION("""COMPUTED_VALUE"""),43549.1345991087)</f>
        <v>43549.1346</v>
      </c>
      <c r="D522" s="23">
        <f>IFERROR(__xludf.DUMMYFUNCTION("""COMPUTED_VALUE"""),1.027)</f>
        <v>1.027</v>
      </c>
      <c r="E522" s="24">
        <f>IFERROR(__xludf.DUMMYFUNCTION("""COMPUTED_VALUE"""),67.0)</f>
        <v>67</v>
      </c>
      <c r="F522" s="27" t="str">
        <f>IFERROR(__xludf.DUMMYFUNCTION("""COMPUTED_VALUE"""),"BLACK")</f>
        <v>BLACK</v>
      </c>
      <c r="G522" s="28" t="str">
        <f>IFERROR(__xludf.DUMMYFUNCTION("""COMPUTED_VALUE"""),"First Times a Charm Cider")</f>
        <v>First Times a Charm Cider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IFERROR(__xludf.DUMMYFUNCTION("""COMPUTED_VALUE"""),43549.1241759259)</f>
        <v>43549.12418</v>
      </c>
      <c r="D523" s="23">
        <f>IFERROR(__xludf.DUMMYFUNCTION("""COMPUTED_VALUE"""),1.027)</f>
        <v>1.027</v>
      </c>
      <c r="E523" s="24">
        <f>IFERROR(__xludf.DUMMYFUNCTION("""COMPUTED_VALUE"""),67.0)</f>
        <v>67</v>
      </c>
      <c r="F523" s="27" t="str">
        <f>IFERROR(__xludf.DUMMYFUNCTION("""COMPUTED_VALUE"""),"BLACK")</f>
        <v>BLACK</v>
      </c>
      <c r="G523" s="28" t="str">
        <f>IFERROR(__xludf.DUMMYFUNCTION("""COMPUTED_VALUE"""),"First Times a Charm Cider")</f>
        <v>First Times a Charm Cider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IFERROR(__xludf.DUMMYFUNCTION("""COMPUTED_VALUE"""),43549.1137530208)</f>
        <v>43549.11375</v>
      </c>
      <c r="D524" s="23">
        <f>IFERROR(__xludf.DUMMYFUNCTION("""COMPUTED_VALUE"""),1.027)</f>
        <v>1.027</v>
      </c>
      <c r="E524" s="24">
        <f>IFERROR(__xludf.DUMMYFUNCTION("""COMPUTED_VALUE"""),67.0)</f>
        <v>67</v>
      </c>
      <c r="F524" s="27" t="str">
        <f>IFERROR(__xludf.DUMMYFUNCTION("""COMPUTED_VALUE"""),"BLACK")</f>
        <v>BLACK</v>
      </c>
      <c r="G524" s="28" t="str">
        <f>IFERROR(__xludf.DUMMYFUNCTION("""COMPUTED_VALUE"""),"First Times a Charm Cider")</f>
        <v>First Times a Charm Cider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IFERROR(__xludf.DUMMYFUNCTION("""COMPUTED_VALUE"""),43549.103330081)</f>
        <v>43549.10333</v>
      </c>
      <c r="D525" s="23">
        <f>IFERROR(__xludf.DUMMYFUNCTION("""COMPUTED_VALUE"""),1.027)</f>
        <v>1.027</v>
      </c>
      <c r="E525" s="24">
        <f>IFERROR(__xludf.DUMMYFUNCTION("""COMPUTED_VALUE"""),67.0)</f>
        <v>67</v>
      </c>
      <c r="F525" s="27" t="str">
        <f>IFERROR(__xludf.DUMMYFUNCTION("""COMPUTED_VALUE"""),"BLACK")</f>
        <v>BLACK</v>
      </c>
      <c r="G525" s="28" t="str">
        <f>IFERROR(__xludf.DUMMYFUNCTION("""COMPUTED_VALUE"""),"First Times a Charm Cider")</f>
        <v>First Times a Charm Cider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IFERROR(__xludf.DUMMYFUNCTION("""COMPUTED_VALUE"""),43549.0929109027)</f>
        <v>43549.09291</v>
      </c>
      <c r="D526" s="23">
        <f>IFERROR(__xludf.DUMMYFUNCTION("""COMPUTED_VALUE"""),1.027)</f>
        <v>1.027</v>
      </c>
      <c r="E526" s="24">
        <f>IFERROR(__xludf.DUMMYFUNCTION("""COMPUTED_VALUE"""),67.0)</f>
        <v>67</v>
      </c>
      <c r="F526" s="27" t="str">
        <f>IFERROR(__xludf.DUMMYFUNCTION("""COMPUTED_VALUE"""),"BLACK")</f>
        <v>BLACK</v>
      </c>
      <c r="G526" s="28" t="str">
        <f>IFERROR(__xludf.DUMMYFUNCTION("""COMPUTED_VALUE"""),"First Times a Charm Cider")</f>
        <v>First Times a Charm Cider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IFERROR(__xludf.DUMMYFUNCTION("""COMPUTED_VALUE"""),43549.0824884953)</f>
        <v>43549.08249</v>
      </c>
      <c r="D527" s="23">
        <f>IFERROR(__xludf.DUMMYFUNCTION("""COMPUTED_VALUE"""),1.027)</f>
        <v>1.027</v>
      </c>
      <c r="E527" s="24">
        <f>IFERROR(__xludf.DUMMYFUNCTION("""COMPUTED_VALUE"""),67.0)</f>
        <v>67</v>
      </c>
      <c r="F527" s="27" t="str">
        <f>IFERROR(__xludf.DUMMYFUNCTION("""COMPUTED_VALUE"""),"BLACK")</f>
        <v>BLACK</v>
      </c>
      <c r="G527" s="28" t="str">
        <f>IFERROR(__xludf.DUMMYFUNCTION("""COMPUTED_VALUE"""),"First Times a Charm Cider")</f>
        <v>First Times a Charm Cider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IFERROR(__xludf.DUMMYFUNCTION("""COMPUTED_VALUE"""),43549.0720664351)</f>
        <v>43549.07207</v>
      </c>
      <c r="D528" s="23">
        <f>IFERROR(__xludf.DUMMYFUNCTION("""COMPUTED_VALUE"""),1.026)</f>
        <v>1.026</v>
      </c>
      <c r="E528" s="24">
        <f>IFERROR(__xludf.DUMMYFUNCTION("""COMPUTED_VALUE"""),67.0)</f>
        <v>67</v>
      </c>
      <c r="F528" s="27" t="str">
        <f>IFERROR(__xludf.DUMMYFUNCTION("""COMPUTED_VALUE"""),"BLACK")</f>
        <v>BLACK</v>
      </c>
      <c r="G528" s="28" t="str">
        <f>IFERROR(__xludf.DUMMYFUNCTION("""COMPUTED_VALUE"""),"First Times a Charm Cider")</f>
        <v>First Times a Charm Cider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IFERROR(__xludf.DUMMYFUNCTION("""COMPUTED_VALUE"""),43549.0616461574)</f>
        <v>43549.06165</v>
      </c>
      <c r="D529" s="23">
        <f>IFERROR(__xludf.DUMMYFUNCTION("""COMPUTED_VALUE"""),1.026)</f>
        <v>1.026</v>
      </c>
      <c r="E529" s="24">
        <f>IFERROR(__xludf.DUMMYFUNCTION("""COMPUTED_VALUE"""),67.0)</f>
        <v>67</v>
      </c>
      <c r="F529" s="27" t="str">
        <f>IFERROR(__xludf.DUMMYFUNCTION("""COMPUTED_VALUE"""),"BLACK")</f>
        <v>BLACK</v>
      </c>
      <c r="G529" s="28" t="str">
        <f>IFERROR(__xludf.DUMMYFUNCTION("""COMPUTED_VALUE"""),"First Times a Charm Cider")</f>
        <v>First Times a Charm Cider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IFERROR(__xludf.DUMMYFUNCTION("""COMPUTED_VALUE"""),43549.0512260069)</f>
        <v>43549.05123</v>
      </c>
      <c r="D530" s="23">
        <f>IFERROR(__xludf.DUMMYFUNCTION("""COMPUTED_VALUE"""),1.026)</f>
        <v>1.026</v>
      </c>
      <c r="E530" s="24">
        <f>IFERROR(__xludf.DUMMYFUNCTION("""COMPUTED_VALUE"""),67.0)</f>
        <v>67</v>
      </c>
      <c r="F530" s="27" t="str">
        <f>IFERROR(__xludf.DUMMYFUNCTION("""COMPUTED_VALUE"""),"BLACK")</f>
        <v>BLACK</v>
      </c>
      <c r="G530" s="28" t="str">
        <f>IFERROR(__xludf.DUMMYFUNCTION("""COMPUTED_VALUE"""),"First Times a Charm Cider")</f>
        <v>First Times a Charm Cider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IFERROR(__xludf.DUMMYFUNCTION("""COMPUTED_VALUE"""),43549.040804699)</f>
        <v>43549.0408</v>
      </c>
      <c r="D531" s="23">
        <f>IFERROR(__xludf.DUMMYFUNCTION("""COMPUTED_VALUE"""),1.026)</f>
        <v>1.026</v>
      </c>
      <c r="E531" s="24">
        <f>IFERROR(__xludf.DUMMYFUNCTION("""COMPUTED_VALUE"""),67.0)</f>
        <v>67</v>
      </c>
      <c r="F531" s="27" t="str">
        <f>IFERROR(__xludf.DUMMYFUNCTION("""COMPUTED_VALUE"""),"BLACK")</f>
        <v>BLACK</v>
      </c>
      <c r="G531" s="28" t="str">
        <f>IFERROR(__xludf.DUMMYFUNCTION("""COMPUTED_VALUE"""),"First Times a Charm Cider")</f>
        <v>First Times a Charm Cider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IFERROR(__xludf.DUMMYFUNCTION("""COMPUTED_VALUE"""),43549.0303716666)</f>
        <v>43549.03037</v>
      </c>
      <c r="D532" s="23">
        <f>IFERROR(__xludf.DUMMYFUNCTION("""COMPUTED_VALUE"""),1.027)</f>
        <v>1.027</v>
      </c>
      <c r="E532" s="24">
        <f>IFERROR(__xludf.DUMMYFUNCTION("""COMPUTED_VALUE"""),67.0)</f>
        <v>67</v>
      </c>
      <c r="F532" s="27" t="str">
        <f>IFERROR(__xludf.DUMMYFUNCTION("""COMPUTED_VALUE"""),"BLACK")</f>
        <v>BLACK</v>
      </c>
      <c r="G532" s="28" t="str">
        <f>IFERROR(__xludf.DUMMYFUNCTION("""COMPUTED_VALUE"""),"First Times a Charm Cider")</f>
        <v>First Times a Charm Cider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IFERROR(__xludf.DUMMYFUNCTION("""COMPUTED_VALUE"""),43549.0199254282)</f>
        <v>43549.01993</v>
      </c>
      <c r="D533" s="23">
        <f>IFERROR(__xludf.DUMMYFUNCTION("""COMPUTED_VALUE"""),1.027)</f>
        <v>1.027</v>
      </c>
      <c r="E533" s="24">
        <f>IFERROR(__xludf.DUMMYFUNCTION("""COMPUTED_VALUE"""),67.0)</f>
        <v>67</v>
      </c>
      <c r="F533" s="27" t="str">
        <f>IFERROR(__xludf.DUMMYFUNCTION("""COMPUTED_VALUE"""),"BLACK")</f>
        <v>BLACK</v>
      </c>
      <c r="G533" s="28" t="str">
        <f>IFERROR(__xludf.DUMMYFUNCTION("""COMPUTED_VALUE"""),"First Times a Charm Cider")</f>
        <v>First Times a Charm Cider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IFERROR(__xludf.DUMMYFUNCTION("""COMPUTED_VALUE"""),43549.0094921643)</f>
        <v>43549.00949</v>
      </c>
      <c r="D534" s="23">
        <f>IFERROR(__xludf.DUMMYFUNCTION("""COMPUTED_VALUE"""),1.027)</f>
        <v>1.027</v>
      </c>
      <c r="E534" s="24">
        <f>IFERROR(__xludf.DUMMYFUNCTION("""COMPUTED_VALUE"""),67.0)</f>
        <v>67</v>
      </c>
      <c r="F534" s="27" t="str">
        <f>IFERROR(__xludf.DUMMYFUNCTION("""COMPUTED_VALUE"""),"BLACK")</f>
        <v>BLACK</v>
      </c>
      <c r="G534" s="28" t="str">
        <f>IFERROR(__xludf.DUMMYFUNCTION("""COMPUTED_VALUE"""),"First Times a Charm Cider")</f>
        <v>First Times a Charm Cider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IFERROR(__xludf.DUMMYFUNCTION("""COMPUTED_VALUE"""),43548.9990697453)</f>
        <v>43548.99907</v>
      </c>
      <c r="D535" s="23">
        <f>IFERROR(__xludf.DUMMYFUNCTION("""COMPUTED_VALUE"""),1.027)</f>
        <v>1.027</v>
      </c>
      <c r="E535" s="24">
        <f>IFERROR(__xludf.DUMMYFUNCTION("""COMPUTED_VALUE"""),67.0)</f>
        <v>67</v>
      </c>
      <c r="F535" s="27" t="str">
        <f>IFERROR(__xludf.DUMMYFUNCTION("""COMPUTED_VALUE"""),"BLACK")</f>
        <v>BLACK</v>
      </c>
      <c r="G535" s="28" t="str">
        <f>IFERROR(__xludf.DUMMYFUNCTION("""COMPUTED_VALUE"""),"First Times a Charm Cider")</f>
        <v>First Times a Charm Cider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IFERROR(__xludf.DUMMYFUNCTION("""COMPUTED_VALUE"""),43548.9886241319)</f>
        <v>43548.98862</v>
      </c>
      <c r="D536" s="23">
        <f>IFERROR(__xludf.DUMMYFUNCTION("""COMPUTED_VALUE"""),1.027)</f>
        <v>1.027</v>
      </c>
      <c r="E536" s="24">
        <f>IFERROR(__xludf.DUMMYFUNCTION("""COMPUTED_VALUE"""),67.0)</f>
        <v>67</v>
      </c>
      <c r="F536" s="27" t="str">
        <f>IFERROR(__xludf.DUMMYFUNCTION("""COMPUTED_VALUE"""),"BLACK")</f>
        <v>BLACK</v>
      </c>
      <c r="G536" s="28" t="str">
        <f>IFERROR(__xludf.DUMMYFUNCTION("""COMPUTED_VALUE"""),"First Times a Charm Cider")</f>
        <v>First Times a Charm Cider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IFERROR(__xludf.DUMMYFUNCTION("""COMPUTED_VALUE"""),43548.9782017245)</f>
        <v>43548.9782</v>
      </c>
      <c r="D537" s="23">
        <f>IFERROR(__xludf.DUMMYFUNCTION("""COMPUTED_VALUE"""),1.027)</f>
        <v>1.027</v>
      </c>
      <c r="E537" s="24">
        <f>IFERROR(__xludf.DUMMYFUNCTION("""COMPUTED_VALUE"""),67.0)</f>
        <v>67</v>
      </c>
      <c r="F537" s="27" t="str">
        <f>IFERROR(__xludf.DUMMYFUNCTION("""COMPUTED_VALUE"""),"BLACK")</f>
        <v>BLACK</v>
      </c>
      <c r="G537" s="28" t="str">
        <f>IFERROR(__xludf.DUMMYFUNCTION("""COMPUTED_VALUE"""),"First Times a Charm Cider")</f>
        <v>First Times a Charm Cider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IFERROR(__xludf.DUMMYFUNCTION("""COMPUTED_VALUE"""),43548.9677824652)</f>
        <v>43548.96778</v>
      </c>
      <c r="D538" s="23">
        <f>IFERROR(__xludf.DUMMYFUNCTION("""COMPUTED_VALUE"""),1.027)</f>
        <v>1.027</v>
      </c>
      <c r="E538" s="24">
        <f>IFERROR(__xludf.DUMMYFUNCTION("""COMPUTED_VALUE"""),67.0)</f>
        <v>67</v>
      </c>
      <c r="F538" s="27" t="str">
        <f>IFERROR(__xludf.DUMMYFUNCTION("""COMPUTED_VALUE"""),"BLACK")</f>
        <v>BLACK</v>
      </c>
      <c r="G538" s="28" t="str">
        <f>IFERROR(__xludf.DUMMYFUNCTION("""COMPUTED_VALUE"""),"First Times a Charm Cider")</f>
        <v>First Times a Charm Cider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IFERROR(__xludf.DUMMYFUNCTION("""COMPUTED_VALUE"""),43548.9573604629)</f>
        <v>43548.95736</v>
      </c>
      <c r="D539" s="23">
        <f>IFERROR(__xludf.DUMMYFUNCTION("""COMPUTED_VALUE"""),1.027)</f>
        <v>1.027</v>
      </c>
      <c r="E539" s="24">
        <f>IFERROR(__xludf.DUMMYFUNCTION("""COMPUTED_VALUE"""),67.0)</f>
        <v>67</v>
      </c>
      <c r="F539" s="27" t="str">
        <f>IFERROR(__xludf.DUMMYFUNCTION("""COMPUTED_VALUE"""),"BLACK")</f>
        <v>BLACK</v>
      </c>
      <c r="G539" s="28" t="str">
        <f>IFERROR(__xludf.DUMMYFUNCTION("""COMPUTED_VALUE"""),"First Times a Charm Cider")</f>
        <v>First Times a Charm Cider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IFERROR(__xludf.DUMMYFUNCTION("""COMPUTED_VALUE"""),43548.9469411342)</f>
        <v>43548.94694</v>
      </c>
      <c r="D540" s="23">
        <f>IFERROR(__xludf.DUMMYFUNCTION("""COMPUTED_VALUE"""),1.027)</f>
        <v>1.027</v>
      </c>
      <c r="E540" s="24">
        <f>IFERROR(__xludf.DUMMYFUNCTION("""COMPUTED_VALUE"""),67.0)</f>
        <v>67</v>
      </c>
      <c r="F540" s="27" t="str">
        <f>IFERROR(__xludf.DUMMYFUNCTION("""COMPUTED_VALUE"""),"BLACK")</f>
        <v>BLACK</v>
      </c>
      <c r="G540" s="28" t="str">
        <f>IFERROR(__xludf.DUMMYFUNCTION("""COMPUTED_VALUE"""),"First Times a Charm Cider")</f>
        <v>First Times a Charm Cider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IFERROR(__xludf.DUMMYFUNCTION("""COMPUTED_VALUE"""),43548.9365201736)</f>
        <v>43548.93652</v>
      </c>
      <c r="D541" s="23">
        <f>IFERROR(__xludf.DUMMYFUNCTION("""COMPUTED_VALUE"""),1.027)</f>
        <v>1.027</v>
      </c>
      <c r="E541" s="24">
        <f>IFERROR(__xludf.DUMMYFUNCTION("""COMPUTED_VALUE"""),67.0)</f>
        <v>67</v>
      </c>
      <c r="F541" s="27" t="str">
        <f>IFERROR(__xludf.DUMMYFUNCTION("""COMPUTED_VALUE"""),"BLACK")</f>
        <v>BLACK</v>
      </c>
      <c r="G541" s="28" t="str">
        <f>IFERROR(__xludf.DUMMYFUNCTION("""COMPUTED_VALUE"""),"First Times a Charm Cider")</f>
        <v>First Times a Charm Cider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IFERROR(__xludf.DUMMYFUNCTION("""COMPUTED_VALUE"""),43548.9261001851)</f>
        <v>43548.9261</v>
      </c>
      <c r="D542" s="23">
        <f>IFERROR(__xludf.DUMMYFUNCTION("""COMPUTED_VALUE"""),1.027)</f>
        <v>1.027</v>
      </c>
      <c r="E542" s="24">
        <f>IFERROR(__xludf.DUMMYFUNCTION("""COMPUTED_VALUE"""),67.0)</f>
        <v>67</v>
      </c>
      <c r="F542" s="27" t="str">
        <f>IFERROR(__xludf.DUMMYFUNCTION("""COMPUTED_VALUE"""),"BLACK")</f>
        <v>BLACK</v>
      </c>
      <c r="G542" s="28" t="str">
        <f>IFERROR(__xludf.DUMMYFUNCTION("""COMPUTED_VALUE"""),"First Times a Charm Cider")</f>
        <v>First Times a Charm Cider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IFERROR(__xludf.DUMMYFUNCTION("""COMPUTED_VALUE"""),43548.915678368)</f>
        <v>43548.91568</v>
      </c>
      <c r="D543" s="23">
        <f>IFERROR(__xludf.DUMMYFUNCTION("""COMPUTED_VALUE"""),1.027)</f>
        <v>1.027</v>
      </c>
      <c r="E543" s="24">
        <f>IFERROR(__xludf.DUMMYFUNCTION("""COMPUTED_VALUE"""),67.0)</f>
        <v>67</v>
      </c>
      <c r="F543" s="27" t="str">
        <f>IFERROR(__xludf.DUMMYFUNCTION("""COMPUTED_VALUE"""),"BLACK")</f>
        <v>BLACK</v>
      </c>
      <c r="G543" s="28" t="str">
        <f>IFERROR(__xludf.DUMMYFUNCTION("""COMPUTED_VALUE"""),"First Times a Charm Cider")</f>
        <v>First Times a Charm Cider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IFERROR(__xludf.DUMMYFUNCTION("""COMPUTED_VALUE"""),43548.9052451388)</f>
        <v>43548.90525</v>
      </c>
      <c r="D544" s="23">
        <f>IFERROR(__xludf.DUMMYFUNCTION("""COMPUTED_VALUE"""),1.027)</f>
        <v>1.027</v>
      </c>
      <c r="E544" s="24">
        <f>IFERROR(__xludf.DUMMYFUNCTION("""COMPUTED_VALUE"""),67.0)</f>
        <v>67</v>
      </c>
      <c r="F544" s="27" t="str">
        <f>IFERROR(__xludf.DUMMYFUNCTION("""COMPUTED_VALUE"""),"BLACK")</f>
        <v>BLACK</v>
      </c>
      <c r="G544" s="28" t="str">
        <f>IFERROR(__xludf.DUMMYFUNCTION("""COMPUTED_VALUE"""),"First Times a Charm Cider")</f>
        <v>First Times a Charm Cider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IFERROR(__xludf.DUMMYFUNCTION("""COMPUTED_VALUE"""),43548.8948231944)</f>
        <v>43548.89482</v>
      </c>
      <c r="D545" s="23">
        <f>IFERROR(__xludf.DUMMYFUNCTION("""COMPUTED_VALUE"""),1.027)</f>
        <v>1.027</v>
      </c>
      <c r="E545" s="24">
        <f>IFERROR(__xludf.DUMMYFUNCTION("""COMPUTED_VALUE"""),67.0)</f>
        <v>67</v>
      </c>
      <c r="F545" s="27" t="str">
        <f>IFERROR(__xludf.DUMMYFUNCTION("""COMPUTED_VALUE"""),"BLACK")</f>
        <v>BLACK</v>
      </c>
      <c r="G545" s="28" t="str">
        <f>IFERROR(__xludf.DUMMYFUNCTION("""COMPUTED_VALUE"""),"First Times a Charm Cider")</f>
        <v>First Times a Charm Cider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IFERROR(__xludf.DUMMYFUNCTION("""COMPUTED_VALUE"""),43548.8844018749)</f>
        <v>43548.8844</v>
      </c>
      <c r="D546" s="23">
        <f>IFERROR(__xludf.DUMMYFUNCTION("""COMPUTED_VALUE"""),1.026)</f>
        <v>1.026</v>
      </c>
      <c r="E546" s="24">
        <f>IFERROR(__xludf.DUMMYFUNCTION("""COMPUTED_VALUE"""),67.0)</f>
        <v>67</v>
      </c>
      <c r="F546" s="27" t="str">
        <f>IFERROR(__xludf.DUMMYFUNCTION("""COMPUTED_VALUE"""),"BLACK")</f>
        <v>BLACK</v>
      </c>
      <c r="G546" s="28" t="str">
        <f>IFERROR(__xludf.DUMMYFUNCTION("""COMPUTED_VALUE"""),"First Times a Charm Cider")</f>
        <v>First Times a Charm Cider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IFERROR(__xludf.DUMMYFUNCTION("""COMPUTED_VALUE"""),43548.8739686921)</f>
        <v>43548.87397</v>
      </c>
      <c r="D547" s="23">
        <f>IFERROR(__xludf.DUMMYFUNCTION("""COMPUTED_VALUE"""),1.027)</f>
        <v>1.027</v>
      </c>
      <c r="E547" s="24">
        <f>IFERROR(__xludf.DUMMYFUNCTION("""COMPUTED_VALUE"""),67.0)</f>
        <v>67</v>
      </c>
      <c r="F547" s="27" t="str">
        <f>IFERROR(__xludf.DUMMYFUNCTION("""COMPUTED_VALUE"""),"BLACK")</f>
        <v>BLACK</v>
      </c>
      <c r="G547" s="28" t="str">
        <f>IFERROR(__xludf.DUMMYFUNCTION("""COMPUTED_VALUE"""),"First Times a Charm Cider")</f>
        <v>First Times a Charm Cider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IFERROR(__xludf.DUMMYFUNCTION("""COMPUTED_VALUE"""),43548.8635456597)</f>
        <v>43548.86355</v>
      </c>
      <c r="D548" s="23">
        <f>IFERROR(__xludf.DUMMYFUNCTION("""COMPUTED_VALUE"""),1.027)</f>
        <v>1.027</v>
      </c>
      <c r="E548" s="24">
        <f>IFERROR(__xludf.DUMMYFUNCTION("""COMPUTED_VALUE"""),67.0)</f>
        <v>67</v>
      </c>
      <c r="F548" s="27" t="str">
        <f>IFERROR(__xludf.DUMMYFUNCTION("""COMPUTED_VALUE"""),"BLACK")</f>
        <v>BLACK</v>
      </c>
      <c r="G548" s="28" t="str">
        <f>IFERROR(__xludf.DUMMYFUNCTION("""COMPUTED_VALUE"""),"First Times a Charm Cider")</f>
        <v>First Times a Charm Cider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IFERROR(__xludf.DUMMYFUNCTION("""COMPUTED_VALUE"""),43548.8531012731)</f>
        <v>43548.8531</v>
      </c>
      <c r="D549" s="23">
        <f>IFERROR(__xludf.DUMMYFUNCTION("""COMPUTED_VALUE"""),1.027)</f>
        <v>1.027</v>
      </c>
      <c r="E549" s="24">
        <f>IFERROR(__xludf.DUMMYFUNCTION("""COMPUTED_VALUE"""),67.0)</f>
        <v>67</v>
      </c>
      <c r="F549" s="27" t="str">
        <f>IFERROR(__xludf.DUMMYFUNCTION("""COMPUTED_VALUE"""),"BLACK")</f>
        <v>BLACK</v>
      </c>
      <c r="G549" s="28" t="str">
        <f>IFERROR(__xludf.DUMMYFUNCTION("""COMPUTED_VALUE"""),"First Times a Charm Cider")</f>
        <v>First Times a Charm Cider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IFERROR(__xludf.DUMMYFUNCTION("""COMPUTED_VALUE"""),43548.8426795138)</f>
        <v>43548.84268</v>
      </c>
      <c r="D550" s="23">
        <f>IFERROR(__xludf.DUMMYFUNCTION("""COMPUTED_VALUE"""),1.027)</f>
        <v>1.027</v>
      </c>
      <c r="E550" s="24">
        <f>IFERROR(__xludf.DUMMYFUNCTION("""COMPUTED_VALUE"""),67.0)</f>
        <v>67</v>
      </c>
      <c r="F550" s="27" t="str">
        <f>IFERROR(__xludf.DUMMYFUNCTION("""COMPUTED_VALUE"""),"BLACK")</f>
        <v>BLACK</v>
      </c>
      <c r="G550" s="28" t="str">
        <f>IFERROR(__xludf.DUMMYFUNCTION("""COMPUTED_VALUE"""),"First Times a Charm Cider")</f>
        <v>First Times a Charm Cider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IFERROR(__xludf.DUMMYFUNCTION("""COMPUTED_VALUE"""),43548.8322582407)</f>
        <v>43548.83226</v>
      </c>
      <c r="D551" s="23">
        <f>IFERROR(__xludf.DUMMYFUNCTION("""COMPUTED_VALUE"""),1.027)</f>
        <v>1.027</v>
      </c>
      <c r="E551" s="24">
        <f>IFERROR(__xludf.DUMMYFUNCTION("""COMPUTED_VALUE"""),67.0)</f>
        <v>67</v>
      </c>
      <c r="F551" s="27" t="str">
        <f>IFERROR(__xludf.DUMMYFUNCTION("""COMPUTED_VALUE"""),"BLACK")</f>
        <v>BLACK</v>
      </c>
      <c r="G551" s="28" t="str">
        <f>IFERROR(__xludf.DUMMYFUNCTION("""COMPUTED_VALUE"""),"First Times a Charm Cider")</f>
        <v>First Times a Charm Cider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IFERROR(__xludf.DUMMYFUNCTION("""COMPUTED_VALUE"""),43548.8218377662)</f>
        <v>43548.82184</v>
      </c>
      <c r="D552" s="23">
        <f>IFERROR(__xludf.DUMMYFUNCTION("""COMPUTED_VALUE"""),1.027)</f>
        <v>1.027</v>
      </c>
      <c r="E552" s="24">
        <f>IFERROR(__xludf.DUMMYFUNCTION("""COMPUTED_VALUE"""),67.0)</f>
        <v>67</v>
      </c>
      <c r="F552" s="27" t="str">
        <f>IFERROR(__xludf.DUMMYFUNCTION("""COMPUTED_VALUE"""),"BLACK")</f>
        <v>BLACK</v>
      </c>
      <c r="G552" s="28" t="str">
        <f>IFERROR(__xludf.DUMMYFUNCTION("""COMPUTED_VALUE"""),"First Times a Charm Cider")</f>
        <v>First Times a Charm Cider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IFERROR(__xludf.DUMMYFUNCTION("""COMPUTED_VALUE"""),43548.8114176504)</f>
        <v>43548.81142</v>
      </c>
      <c r="D553" s="23">
        <f>IFERROR(__xludf.DUMMYFUNCTION("""COMPUTED_VALUE"""),1.027)</f>
        <v>1.027</v>
      </c>
      <c r="E553" s="24">
        <f>IFERROR(__xludf.DUMMYFUNCTION("""COMPUTED_VALUE"""),67.0)</f>
        <v>67</v>
      </c>
      <c r="F553" s="27" t="str">
        <f>IFERROR(__xludf.DUMMYFUNCTION("""COMPUTED_VALUE"""),"BLACK")</f>
        <v>BLACK</v>
      </c>
      <c r="G553" s="28" t="str">
        <f>IFERROR(__xludf.DUMMYFUNCTION("""COMPUTED_VALUE"""),"First Times a Charm Cider")</f>
        <v>First Times a Charm Cider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IFERROR(__xludf.DUMMYFUNCTION("""COMPUTED_VALUE"""),43548.8009962037)</f>
        <v>43548.801</v>
      </c>
      <c r="D554" s="23">
        <f>IFERROR(__xludf.DUMMYFUNCTION("""COMPUTED_VALUE"""),1.027)</f>
        <v>1.027</v>
      </c>
      <c r="E554" s="24">
        <f>IFERROR(__xludf.DUMMYFUNCTION("""COMPUTED_VALUE"""),67.0)</f>
        <v>67</v>
      </c>
      <c r="F554" s="27" t="str">
        <f>IFERROR(__xludf.DUMMYFUNCTION("""COMPUTED_VALUE"""),"BLACK")</f>
        <v>BLACK</v>
      </c>
      <c r="G554" s="28" t="str">
        <f>IFERROR(__xludf.DUMMYFUNCTION("""COMPUTED_VALUE"""),"First Times a Charm Cider")</f>
        <v>First Times a Charm Cider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IFERROR(__xludf.DUMMYFUNCTION("""COMPUTED_VALUE"""),43548.7905762384)</f>
        <v>43548.79058</v>
      </c>
      <c r="D555" s="23">
        <f>IFERROR(__xludf.DUMMYFUNCTION("""COMPUTED_VALUE"""),1.027)</f>
        <v>1.027</v>
      </c>
      <c r="E555" s="24">
        <f>IFERROR(__xludf.DUMMYFUNCTION("""COMPUTED_VALUE"""),67.0)</f>
        <v>67</v>
      </c>
      <c r="F555" s="27" t="str">
        <f>IFERROR(__xludf.DUMMYFUNCTION("""COMPUTED_VALUE"""),"BLACK")</f>
        <v>BLACK</v>
      </c>
      <c r="G555" s="28" t="str">
        <f>IFERROR(__xludf.DUMMYFUNCTION("""COMPUTED_VALUE"""),"First Times a Charm Cider")</f>
        <v>First Times a Charm Cider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IFERROR(__xludf.DUMMYFUNCTION("""COMPUTED_VALUE"""),43548.7801546759)</f>
        <v>43548.78015</v>
      </c>
      <c r="D556" s="23">
        <f>IFERROR(__xludf.DUMMYFUNCTION("""COMPUTED_VALUE"""),1.027)</f>
        <v>1.027</v>
      </c>
      <c r="E556" s="24">
        <f>IFERROR(__xludf.DUMMYFUNCTION("""COMPUTED_VALUE"""),67.0)</f>
        <v>67</v>
      </c>
      <c r="F556" s="27" t="str">
        <f>IFERROR(__xludf.DUMMYFUNCTION("""COMPUTED_VALUE"""),"BLACK")</f>
        <v>BLACK</v>
      </c>
      <c r="G556" s="28" t="str">
        <f>IFERROR(__xludf.DUMMYFUNCTION("""COMPUTED_VALUE"""),"First Times a Charm Cider")</f>
        <v>First Times a Charm Cider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IFERROR(__xludf.DUMMYFUNCTION("""COMPUTED_VALUE"""),43548.7697314699)</f>
        <v>43548.76973</v>
      </c>
      <c r="D557" s="23">
        <f>IFERROR(__xludf.DUMMYFUNCTION("""COMPUTED_VALUE"""),1.027)</f>
        <v>1.027</v>
      </c>
      <c r="E557" s="24">
        <f>IFERROR(__xludf.DUMMYFUNCTION("""COMPUTED_VALUE"""),66.0)</f>
        <v>66</v>
      </c>
      <c r="F557" s="27" t="str">
        <f>IFERROR(__xludf.DUMMYFUNCTION("""COMPUTED_VALUE"""),"BLACK")</f>
        <v>BLACK</v>
      </c>
      <c r="G557" s="28" t="str">
        <f>IFERROR(__xludf.DUMMYFUNCTION("""COMPUTED_VALUE"""),"First Times a Charm Cider")</f>
        <v>First Times a Charm Cider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IFERROR(__xludf.DUMMYFUNCTION("""COMPUTED_VALUE"""),43548.7593099305)</f>
        <v>43548.75931</v>
      </c>
      <c r="D558" s="23">
        <f>IFERROR(__xludf.DUMMYFUNCTION("""COMPUTED_VALUE"""),1.027)</f>
        <v>1.027</v>
      </c>
      <c r="E558" s="24">
        <f>IFERROR(__xludf.DUMMYFUNCTION("""COMPUTED_VALUE"""),66.0)</f>
        <v>66</v>
      </c>
      <c r="F558" s="27" t="str">
        <f>IFERROR(__xludf.DUMMYFUNCTION("""COMPUTED_VALUE"""),"BLACK")</f>
        <v>BLACK</v>
      </c>
      <c r="G558" s="28" t="str">
        <f>IFERROR(__xludf.DUMMYFUNCTION("""COMPUTED_VALUE"""),"First Times a Charm Cider")</f>
        <v>First Times a Charm Cider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IFERROR(__xludf.DUMMYFUNCTION("""COMPUTED_VALUE"""),43548.7488892824)</f>
        <v>43548.74889</v>
      </c>
      <c r="D559" s="23">
        <f>IFERROR(__xludf.DUMMYFUNCTION("""COMPUTED_VALUE"""),1.027)</f>
        <v>1.027</v>
      </c>
      <c r="E559" s="24">
        <f>IFERROR(__xludf.DUMMYFUNCTION("""COMPUTED_VALUE"""),66.0)</f>
        <v>66</v>
      </c>
      <c r="F559" s="27" t="str">
        <f>IFERROR(__xludf.DUMMYFUNCTION("""COMPUTED_VALUE"""),"BLACK")</f>
        <v>BLACK</v>
      </c>
      <c r="G559" s="28" t="str">
        <f>IFERROR(__xludf.DUMMYFUNCTION("""COMPUTED_VALUE"""),"First Times a Charm Cider")</f>
        <v>First Times a Charm Cider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IFERROR(__xludf.DUMMYFUNCTION("""COMPUTED_VALUE"""),43548.7384672222)</f>
        <v>43548.73847</v>
      </c>
      <c r="D560" s="23">
        <f>IFERROR(__xludf.DUMMYFUNCTION("""COMPUTED_VALUE"""),1.027)</f>
        <v>1.027</v>
      </c>
      <c r="E560" s="24">
        <f>IFERROR(__xludf.DUMMYFUNCTION("""COMPUTED_VALUE"""),66.0)</f>
        <v>66</v>
      </c>
      <c r="F560" s="27" t="str">
        <f>IFERROR(__xludf.DUMMYFUNCTION("""COMPUTED_VALUE"""),"BLACK")</f>
        <v>BLACK</v>
      </c>
      <c r="G560" s="28" t="str">
        <f>IFERROR(__xludf.DUMMYFUNCTION("""COMPUTED_VALUE"""),"First Times a Charm Cider")</f>
        <v>First Times a Charm Cider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IFERROR(__xludf.DUMMYFUNCTION("""COMPUTED_VALUE"""),43548.7280449768)</f>
        <v>43548.72804</v>
      </c>
      <c r="D561" s="23">
        <f>IFERROR(__xludf.DUMMYFUNCTION("""COMPUTED_VALUE"""),1.027)</f>
        <v>1.027</v>
      </c>
      <c r="E561" s="24">
        <f>IFERROR(__xludf.DUMMYFUNCTION("""COMPUTED_VALUE"""),66.0)</f>
        <v>66</v>
      </c>
      <c r="F561" s="27" t="str">
        <f>IFERROR(__xludf.DUMMYFUNCTION("""COMPUTED_VALUE"""),"BLACK")</f>
        <v>BLACK</v>
      </c>
      <c r="G561" s="28" t="str">
        <f>IFERROR(__xludf.DUMMYFUNCTION("""COMPUTED_VALUE"""),"First Times a Charm Cider")</f>
        <v>First Times a Charm Cider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IFERROR(__xludf.DUMMYFUNCTION("""COMPUTED_VALUE"""),43548.7175996527)</f>
        <v>43548.7176</v>
      </c>
      <c r="D562" s="23">
        <f>IFERROR(__xludf.DUMMYFUNCTION("""COMPUTED_VALUE"""),1.027)</f>
        <v>1.027</v>
      </c>
      <c r="E562" s="24">
        <f>IFERROR(__xludf.DUMMYFUNCTION("""COMPUTED_VALUE"""),66.0)</f>
        <v>66</v>
      </c>
      <c r="F562" s="27" t="str">
        <f>IFERROR(__xludf.DUMMYFUNCTION("""COMPUTED_VALUE"""),"BLACK")</f>
        <v>BLACK</v>
      </c>
      <c r="G562" s="28" t="str">
        <f>IFERROR(__xludf.DUMMYFUNCTION("""COMPUTED_VALUE"""),"First Times a Charm Cider")</f>
        <v>First Times a Charm Cider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IFERROR(__xludf.DUMMYFUNCTION("""COMPUTED_VALUE"""),43548.7071199074)</f>
        <v>43548.70712</v>
      </c>
      <c r="D563" s="23">
        <f>IFERROR(__xludf.DUMMYFUNCTION("""COMPUTED_VALUE"""),1.027)</f>
        <v>1.027</v>
      </c>
      <c r="E563" s="24">
        <f>IFERROR(__xludf.DUMMYFUNCTION("""COMPUTED_VALUE"""),66.0)</f>
        <v>66</v>
      </c>
      <c r="F563" s="27" t="str">
        <f>IFERROR(__xludf.DUMMYFUNCTION("""COMPUTED_VALUE"""),"BLACK")</f>
        <v>BLACK</v>
      </c>
      <c r="G563" s="28" t="str">
        <f>IFERROR(__xludf.DUMMYFUNCTION("""COMPUTED_VALUE"""),"First Times a Charm Cider")</f>
        <v>First Times a Charm Cider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IFERROR(__xludf.DUMMYFUNCTION("""COMPUTED_VALUE"""),43548.6966977777)</f>
        <v>43548.6967</v>
      </c>
      <c r="D564" s="23">
        <f>IFERROR(__xludf.DUMMYFUNCTION("""COMPUTED_VALUE"""),1.027)</f>
        <v>1.027</v>
      </c>
      <c r="E564" s="24">
        <f>IFERROR(__xludf.DUMMYFUNCTION("""COMPUTED_VALUE"""),66.0)</f>
        <v>66</v>
      </c>
      <c r="F564" s="27" t="str">
        <f>IFERROR(__xludf.DUMMYFUNCTION("""COMPUTED_VALUE"""),"BLACK")</f>
        <v>BLACK</v>
      </c>
      <c r="G564" s="28" t="str">
        <f>IFERROR(__xludf.DUMMYFUNCTION("""COMPUTED_VALUE"""),"First Times a Charm Cider")</f>
        <v>First Times a Charm Cider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IFERROR(__xludf.DUMMYFUNCTION("""COMPUTED_VALUE"""),43548.6862766782)</f>
        <v>43548.68628</v>
      </c>
      <c r="D565" s="23">
        <f>IFERROR(__xludf.DUMMYFUNCTION("""COMPUTED_VALUE"""),1.027)</f>
        <v>1.027</v>
      </c>
      <c r="E565" s="24">
        <f>IFERROR(__xludf.DUMMYFUNCTION("""COMPUTED_VALUE"""),66.0)</f>
        <v>66</v>
      </c>
      <c r="F565" s="27" t="str">
        <f>IFERROR(__xludf.DUMMYFUNCTION("""COMPUTED_VALUE"""),"BLACK")</f>
        <v>BLACK</v>
      </c>
      <c r="G565" s="28" t="str">
        <f>IFERROR(__xludf.DUMMYFUNCTION("""COMPUTED_VALUE"""),"First Times a Charm Cider")</f>
        <v>First Times a Charm Cider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IFERROR(__xludf.DUMMYFUNCTION("""COMPUTED_VALUE"""),43548.6758553588)</f>
        <v>43548.67586</v>
      </c>
      <c r="D566" s="23">
        <f>IFERROR(__xludf.DUMMYFUNCTION("""COMPUTED_VALUE"""),1.027)</f>
        <v>1.027</v>
      </c>
      <c r="E566" s="24">
        <f>IFERROR(__xludf.DUMMYFUNCTION("""COMPUTED_VALUE"""),66.0)</f>
        <v>66</v>
      </c>
      <c r="F566" s="27" t="str">
        <f>IFERROR(__xludf.DUMMYFUNCTION("""COMPUTED_VALUE"""),"BLACK")</f>
        <v>BLACK</v>
      </c>
      <c r="G566" s="28" t="str">
        <f>IFERROR(__xludf.DUMMYFUNCTION("""COMPUTED_VALUE"""),"First Times a Charm Cider")</f>
        <v>First Times a Charm Cider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IFERROR(__xludf.DUMMYFUNCTION("""COMPUTED_VALUE"""),43548.6654339004)</f>
        <v>43548.66543</v>
      </c>
      <c r="D567" s="23">
        <f>IFERROR(__xludf.DUMMYFUNCTION("""COMPUTED_VALUE"""),1.027)</f>
        <v>1.027</v>
      </c>
      <c r="E567" s="24">
        <f>IFERROR(__xludf.DUMMYFUNCTION("""COMPUTED_VALUE"""),66.0)</f>
        <v>66</v>
      </c>
      <c r="F567" s="27" t="str">
        <f>IFERROR(__xludf.DUMMYFUNCTION("""COMPUTED_VALUE"""),"BLACK")</f>
        <v>BLACK</v>
      </c>
      <c r="G567" s="28" t="str">
        <f>IFERROR(__xludf.DUMMYFUNCTION("""COMPUTED_VALUE"""),"First Times a Charm Cider")</f>
        <v>First Times a Charm Cider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IFERROR(__xludf.DUMMYFUNCTION("""COMPUTED_VALUE"""),43548.6550135532)</f>
        <v>43548.65501</v>
      </c>
      <c r="D568" s="23">
        <f>IFERROR(__xludf.DUMMYFUNCTION("""COMPUTED_VALUE"""),1.027)</f>
        <v>1.027</v>
      </c>
      <c r="E568" s="24">
        <f>IFERROR(__xludf.DUMMYFUNCTION("""COMPUTED_VALUE"""),66.0)</f>
        <v>66</v>
      </c>
      <c r="F568" s="27" t="str">
        <f>IFERROR(__xludf.DUMMYFUNCTION("""COMPUTED_VALUE"""),"BLACK")</f>
        <v>BLACK</v>
      </c>
      <c r="G568" s="28" t="str">
        <f>IFERROR(__xludf.DUMMYFUNCTION("""COMPUTED_VALUE"""),"First Times a Charm Cider")</f>
        <v>First Times a Charm Cider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IFERROR(__xludf.DUMMYFUNCTION("""COMPUTED_VALUE"""),43548.6445820138)</f>
        <v>43548.64458</v>
      </c>
      <c r="D569" s="23">
        <f>IFERROR(__xludf.DUMMYFUNCTION("""COMPUTED_VALUE"""),1.027)</f>
        <v>1.027</v>
      </c>
      <c r="E569" s="24">
        <f>IFERROR(__xludf.DUMMYFUNCTION("""COMPUTED_VALUE"""),66.0)</f>
        <v>66</v>
      </c>
      <c r="F569" s="27" t="str">
        <f>IFERROR(__xludf.DUMMYFUNCTION("""COMPUTED_VALUE"""),"BLACK")</f>
        <v>BLACK</v>
      </c>
      <c r="G569" s="28" t="str">
        <f>IFERROR(__xludf.DUMMYFUNCTION("""COMPUTED_VALUE"""),"First Times a Charm Cider")</f>
        <v>First Times a Charm Cider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IFERROR(__xludf.DUMMYFUNCTION("""COMPUTED_VALUE"""),43548.6341609143)</f>
        <v>43548.63416</v>
      </c>
      <c r="D570" s="23">
        <f>IFERROR(__xludf.DUMMYFUNCTION("""COMPUTED_VALUE"""),1.027)</f>
        <v>1.027</v>
      </c>
      <c r="E570" s="24">
        <f>IFERROR(__xludf.DUMMYFUNCTION("""COMPUTED_VALUE"""),66.0)</f>
        <v>66</v>
      </c>
      <c r="F570" s="27" t="str">
        <f>IFERROR(__xludf.DUMMYFUNCTION("""COMPUTED_VALUE"""),"BLACK")</f>
        <v>BLACK</v>
      </c>
      <c r="G570" s="28" t="str">
        <f>IFERROR(__xludf.DUMMYFUNCTION("""COMPUTED_VALUE"""),"First Times a Charm Cider")</f>
        <v>First Times a Charm Cider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IFERROR(__xludf.DUMMYFUNCTION("""COMPUTED_VALUE"""),43548.6237044791)</f>
        <v>43548.6237</v>
      </c>
      <c r="D571" s="23">
        <f>IFERROR(__xludf.DUMMYFUNCTION("""COMPUTED_VALUE"""),1.027)</f>
        <v>1.027</v>
      </c>
      <c r="E571" s="24">
        <f>IFERROR(__xludf.DUMMYFUNCTION("""COMPUTED_VALUE"""),66.0)</f>
        <v>66</v>
      </c>
      <c r="F571" s="27" t="str">
        <f>IFERROR(__xludf.DUMMYFUNCTION("""COMPUTED_VALUE"""),"BLACK")</f>
        <v>BLACK</v>
      </c>
      <c r="G571" s="28" t="str">
        <f>IFERROR(__xludf.DUMMYFUNCTION("""COMPUTED_VALUE"""),"First Times a Charm Cider")</f>
        <v>First Times a Charm Cider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IFERROR(__xludf.DUMMYFUNCTION("""COMPUTED_VALUE"""),43548.6132717013)</f>
        <v>43548.61327</v>
      </c>
      <c r="D572" s="23">
        <f>IFERROR(__xludf.DUMMYFUNCTION("""COMPUTED_VALUE"""),1.027)</f>
        <v>1.027</v>
      </c>
      <c r="E572" s="24">
        <f>IFERROR(__xludf.DUMMYFUNCTION("""COMPUTED_VALUE"""),66.0)</f>
        <v>66</v>
      </c>
      <c r="F572" s="27" t="str">
        <f>IFERROR(__xludf.DUMMYFUNCTION("""COMPUTED_VALUE"""),"BLACK")</f>
        <v>BLACK</v>
      </c>
      <c r="G572" s="28" t="str">
        <f>IFERROR(__xludf.DUMMYFUNCTION("""COMPUTED_VALUE"""),"First Times a Charm Cider")</f>
        <v>First Times a Charm Cider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IFERROR(__xludf.DUMMYFUNCTION("""COMPUTED_VALUE"""),43548.602839375)</f>
        <v>43548.60284</v>
      </c>
      <c r="D573" s="23">
        <f>IFERROR(__xludf.DUMMYFUNCTION("""COMPUTED_VALUE"""),1.027)</f>
        <v>1.027</v>
      </c>
      <c r="E573" s="24">
        <f>IFERROR(__xludf.DUMMYFUNCTION("""COMPUTED_VALUE"""),66.0)</f>
        <v>66</v>
      </c>
      <c r="F573" s="27" t="str">
        <f>IFERROR(__xludf.DUMMYFUNCTION("""COMPUTED_VALUE"""),"BLACK")</f>
        <v>BLACK</v>
      </c>
      <c r="G573" s="28" t="str">
        <f>IFERROR(__xludf.DUMMYFUNCTION("""COMPUTED_VALUE"""),"First Times a Charm Cider")</f>
        <v>First Times a Charm Cider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IFERROR(__xludf.DUMMYFUNCTION("""COMPUTED_VALUE"""),43548.5924171874)</f>
        <v>43548.59242</v>
      </c>
      <c r="D574" s="23">
        <f>IFERROR(__xludf.DUMMYFUNCTION("""COMPUTED_VALUE"""),1.027)</f>
        <v>1.027</v>
      </c>
      <c r="E574" s="24">
        <f>IFERROR(__xludf.DUMMYFUNCTION("""COMPUTED_VALUE"""),66.0)</f>
        <v>66</v>
      </c>
      <c r="F574" s="27" t="str">
        <f>IFERROR(__xludf.DUMMYFUNCTION("""COMPUTED_VALUE"""),"BLACK")</f>
        <v>BLACK</v>
      </c>
      <c r="G574" s="28" t="str">
        <f>IFERROR(__xludf.DUMMYFUNCTION("""COMPUTED_VALUE"""),"First Times a Charm Cider")</f>
        <v>First Times a Charm Cider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IFERROR(__xludf.DUMMYFUNCTION("""COMPUTED_VALUE"""),43548.5819968055)</f>
        <v>43548.582</v>
      </c>
      <c r="D575" s="23">
        <f>IFERROR(__xludf.DUMMYFUNCTION("""COMPUTED_VALUE"""),1.027)</f>
        <v>1.027</v>
      </c>
      <c r="E575" s="24">
        <f>IFERROR(__xludf.DUMMYFUNCTION("""COMPUTED_VALUE"""),66.0)</f>
        <v>66</v>
      </c>
      <c r="F575" s="27" t="str">
        <f>IFERROR(__xludf.DUMMYFUNCTION("""COMPUTED_VALUE"""),"BLACK")</f>
        <v>BLACK</v>
      </c>
      <c r="G575" s="28" t="str">
        <f>IFERROR(__xludf.DUMMYFUNCTION("""COMPUTED_VALUE"""),"First Times a Charm Cider")</f>
        <v>First Times a Charm Cider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IFERROR(__xludf.DUMMYFUNCTION("""COMPUTED_VALUE"""),43548.5715765277)</f>
        <v>43548.57158</v>
      </c>
      <c r="D576" s="23">
        <f>IFERROR(__xludf.DUMMYFUNCTION("""COMPUTED_VALUE"""),1.027)</f>
        <v>1.027</v>
      </c>
      <c r="E576" s="24">
        <f>IFERROR(__xludf.DUMMYFUNCTION("""COMPUTED_VALUE"""),66.0)</f>
        <v>66</v>
      </c>
      <c r="F576" s="27" t="str">
        <f>IFERROR(__xludf.DUMMYFUNCTION("""COMPUTED_VALUE"""),"BLACK")</f>
        <v>BLACK</v>
      </c>
      <c r="G576" s="28" t="str">
        <f>IFERROR(__xludf.DUMMYFUNCTION("""COMPUTED_VALUE"""),"First Times a Charm Cider")</f>
        <v>First Times a Charm Cider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IFERROR(__xludf.DUMMYFUNCTION("""COMPUTED_VALUE"""),43548.5611567013)</f>
        <v>43548.56116</v>
      </c>
      <c r="D577" s="23">
        <f>IFERROR(__xludf.DUMMYFUNCTION("""COMPUTED_VALUE"""),1.027)</f>
        <v>1.027</v>
      </c>
      <c r="E577" s="24">
        <f>IFERROR(__xludf.DUMMYFUNCTION("""COMPUTED_VALUE"""),66.0)</f>
        <v>66</v>
      </c>
      <c r="F577" s="27" t="str">
        <f>IFERROR(__xludf.DUMMYFUNCTION("""COMPUTED_VALUE"""),"BLACK")</f>
        <v>BLACK</v>
      </c>
      <c r="G577" s="28" t="str">
        <f>IFERROR(__xludf.DUMMYFUNCTION("""COMPUTED_VALUE"""),"First Times a Charm Cider")</f>
        <v>First Times a Charm Cider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IFERROR(__xludf.DUMMYFUNCTION("""COMPUTED_VALUE"""),43548.5507250578)</f>
        <v>43548.55073</v>
      </c>
      <c r="D578" s="23">
        <f>IFERROR(__xludf.DUMMYFUNCTION("""COMPUTED_VALUE"""),1.027)</f>
        <v>1.027</v>
      </c>
      <c r="E578" s="24">
        <f>IFERROR(__xludf.DUMMYFUNCTION("""COMPUTED_VALUE"""),66.0)</f>
        <v>66</v>
      </c>
      <c r="F578" s="27" t="str">
        <f>IFERROR(__xludf.DUMMYFUNCTION("""COMPUTED_VALUE"""),"BLACK")</f>
        <v>BLACK</v>
      </c>
      <c r="G578" s="28" t="str">
        <f>IFERROR(__xludf.DUMMYFUNCTION("""COMPUTED_VALUE"""),"First Times a Charm Cider")</f>
        <v>First Times a Charm Cider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IFERROR(__xludf.DUMMYFUNCTION("""COMPUTED_VALUE"""),43548.54030353)</f>
        <v>43548.5403</v>
      </c>
      <c r="D579" s="23">
        <f>IFERROR(__xludf.DUMMYFUNCTION("""COMPUTED_VALUE"""),1.027)</f>
        <v>1.027</v>
      </c>
      <c r="E579" s="24">
        <f>IFERROR(__xludf.DUMMYFUNCTION("""COMPUTED_VALUE"""),66.0)</f>
        <v>66</v>
      </c>
      <c r="F579" s="27" t="str">
        <f>IFERROR(__xludf.DUMMYFUNCTION("""COMPUTED_VALUE"""),"BLACK")</f>
        <v>BLACK</v>
      </c>
      <c r="G579" s="28" t="str">
        <f>IFERROR(__xludf.DUMMYFUNCTION("""COMPUTED_VALUE"""),"First Times a Charm Cider")</f>
        <v>First Times a Charm Cider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IFERROR(__xludf.DUMMYFUNCTION("""COMPUTED_VALUE"""),43548.5298830439)</f>
        <v>43548.52988</v>
      </c>
      <c r="D580" s="23">
        <f>IFERROR(__xludf.DUMMYFUNCTION("""COMPUTED_VALUE"""),1.027)</f>
        <v>1.027</v>
      </c>
      <c r="E580" s="24">
        <f>IFERROR(__xludf.DUMMYFUNCTION("""COMPUTED_VALUE"""),66.0)</f>
        <v>66</v>
      </c>
      <c r="F580" s="27" t="str">
        <f>IFERROR(__xludf.DUMMYFUNCTION("""COMPUTED_VALUE"""),"BLACK")</f>
        <v>BLACK</v>
      </c>
      <c r="G580" s="28" t="str">
        <f>IFERROR(__xludf.DUMMYFUNCTION("""COMPUTED_VALUE"""),"First Times a Charm Cider")</f>
        <v>First Times a Charm Cider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IFERROR(__xludf.DUMMYFUNCTION("""COMPUTED_VALUE"""),43548.5194638541)</f>
        <v>43548.51946</v>
      </c>
      <c r="D581" s="23">
        <f>IFERROR(__xludf.DUMMYFUNCTION("""COMPUTED_VALUE"""),1.027)</f>
        <v>1.027</v>
      </c>
      <c r="E581" s="24">
        <f>IFERROR(__xludf.DUMMYFUNCTION("""COMPUTED_VALUE"""),66.0)</f>
        <v>66</v>
      </c>
      <c r="F581" s="27" t="str">
        <f>IFERROR(__xludf.DUMMYFUNCTION("""COMPUTED_VALUE"""),"BLACK")</f>
        <v>BLACK</v>
      </c>
      <c r="G581" s="28" t="str">
        <f>IFERROR(__xludf.DUMMYFUNCTION("""COMPUTED_VALUE"""),"First Times a Charm Cider")</f>
        <v>First Times a Charm Cider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IFERROR(__xludf.DUMMYFUNCTION("""COMPUTED_VALUE"""),43548.5090422569)</f>
        <v>43548.50904</v>
      </c>
      <c r="D582" s="23">
        <f>IFERROR(__xludf.DUMMYFUNCTION("""COMPUTED_VALUE"""),1.027)</f>
        <v>1.027</v>
      </c>
      <c r="E582" s="24">
        <f>IFERROR(__xludf.DUMMYFUNCTION("""COMPUTED_VALUE"""),66.0)</f>
        <v>66</v>
      </c>
      <c r="F582" s="27" t="str">
        <f>IFERROR(__xludf.DUMMYFUNCTION("""COMPUTED_VALUE"""),"BLACK")</f>
        <v>BLACK</v>
      </c>
      <c r="G582" s="28" t="str">
        <f>IFERROR(__xludf.DUMMYFUNCTION("""COMPUTED_VALUE"""),"First Times a Charm Cider")</f>
        <v>First Times a Charm Cider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IFERROR(__xludf.DUMMYFUNCTION("""COMPUTED_VALUE"""),43548.4986216666)</f>
        <v>43548.49862</v>
      </c>
      <c r="D583" s="23">
        <f>IFERROR(__xludf.DUMMYFUNCTION("""COMPUTED_VALUE"""),1.027)</f>
        <v>1.027</v>
      </c>
      <c r="E583" s="24">
        <f>IFERROR(__xludf.DUMMYFUNCTION("""COMPUTED_VALUE"""),66.0)</f>
        <v>66</v>
      </c>
      <c r="F583" s="27" t="str">
        <f>IFERROR(__xludf.DUMMYFUNCTION("""COMPUTED_VALUE"""),"BLACK")</f>
        <v>BLACK</v>
      </c>
      <c r="G583" s="28" t="str">
        <f>IFERROR(__xludf.DUMMYFUNCTION("""COMPUTED_VALUE"""),"First Times a Charm Cider")</f>
        <v>First Times a Charm Cider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IFERROR(__xludf.DUMMYFUNCTION("""COMPUTED_VALUE"""),43548.4881886921)</f>
        <v>43548.48819</v>
      </c>
      <c r="D584" s="23">
        <f>IFERROR(__xludf.DUMMYFUNCTION("""COMPUTED_VALUE"""),1.027)</f>
        <v>1.027</v>
      </c>
      <c r="E584" s="24">
        <f>IFERROR(__xludf.DUMMYFUNCTION("""COMPUTED_VALUE"""),66.0)</f>
        <v>66</v>
      </c>
      <c r="F584" s="27" t="str">
        <f>IFERROR(__xludf.DUMMYFUNCTION("""COMPUTED_VALUE"""),"BLACK")</f>
        <v>BLACK</v>
      </c>
      <c r="G584" s="28" t="str">
        <f>IFERROR(__xludf.DUMMYFUNCTION("""COMPUTED_VALUE"""),"First Times a Charm Cider")</f>
        <v>First Times a Charm Cider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IFERROR(__xludf.DUMMYFUNCTION("""COMPUTED_VALUE"""),43548.4777692129)</f>
        <v>43548.47777</v>
      </c>
      <c r="D585" s="23">
        <f>IFERROR(__xludf.DUMMYFUNCTION("""COMPUTED_VALUE"""),1.027)</f>
        <v>1.027</v>
      </c>
      <c r="E585" s="24">
        <f>IFERROR(__xludf.DUMMYFUNCTION("""COMPUTED_VALUE"""),66.0)</f>
        <v>66</v>
      </c>
      <c r="F585" s="27" t="str">
        <f>IFERROR(__xludf.DUMMYFUNCTION("""COMPUTED_VALUE"""),"BLACK")</f>
        <v>BLACK</v>
      </c>
      <c r="G585" s="28" t="str">
        <f>IFERROR(__xludf.DUMMYFUNCTION("""COMPUTED_VALUE"""),"First Times a Charm Cider")</f>
        <v>First Times a Charm Cider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IFERROR(__xludf.DUMMYFUNCTION("""COMPUTED_VALUE"""),43548.4673493981)</f>
        <v>43548.46735</v>
      </c>
      <c r="D586" s="23">
        <f>IFERROR(__xludf.DUMMYFUNCTION("""COMPUTED_VALUE"""),1.027)</f>
        <v>1.027</v>
      </c>
      <c r="E586" s="24">
        <f>IFERROR(__xludf.DUMMYFUNCTION("""COMPUTED_VALUE"""),66.0)</f>
        <v>66</v>
      </c>
      <c r="F586" s="27" t="str">
        <f>IFERROR(__xludf.DUMMYFUNCTION("""COMPUTED_VALUE"""),"BLACK")</f>
        <v>BLACK</v>
      </c>
      <c r="G586" s="28" t="str">
        <f>IFERROR(__xludf.DUMMYFUNCTION("""COMPUTED_VALUE"""),"First Times a Charm Cider")</f>
        <v>First Times a Charm Cider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IFERROR(__xludf.DUMMYFUNCTION("""COMPUTED_VALUE"""),43548.4569168055)</f>
        <v>43548.45692</v>
      </c>
      <c r="D587" s="23">
        <f>IFERROR(__xludf.DUMMYFUNCTION("""COMPUTED_VALUE"""),1.027)</f>
        <v>1.027</v>
      </c>
      <c r="E587" s="24">
        <f>IFERROR(__xludf.DUMMYFUNCTION("""COMPUTED_VALUE"""),66.0)</f>
        <v>66</v>
      </c>
      <c r="F587" s="27" t="str">
        <f>IFERROR(__xludf.DUMMYFUNCTION("""COMPUTED_VALUE"""),"BLACK")</f>
        <v>BLACK</v>
      </c>
      <c r="G587" s="28" t="str">
        <f>IFERROR(__xludf.DUMMYFUNCTION("""COMPUTED_VALUE"""),"First Times a Charm Cider")</f>
        <v>First Times a Charm Cider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IFERROR(__xludf.DUMMYFUNCTION("""COMPUTED_VALUE"""),43548.4464611805)</f>
        <v>43548.44646</v>
      </c>
      <c r="D588" s="23">
        <f>IFERROR(__xludf.DUMMYFUNCTION("""COMPUTED_VALUE"""),1.027)</f>
        <v>1.027</v>
      </c>
      <c r="E588" s="24">
        <f>IFERROR(__xludf.DUMMYFUNCTION("""COMPUTED_VALUE"""),66.0)</f>
        <v>66</v>
      </c>
      <c r="F588" s="27" t="str">
        <f>IFERROR(__xludf.DUMMYFUNCTION("""COMPUTED_VALUE"""),"BLACK")</f>
        <v>BLACK</v>
      </c>
      <c r="G588" s="28" t="str">
        <f>IFERROR(__xludf.DUMMYFUNCTION("""COMPUTED_VALUE"""),"First Times a Charm Cider")</f>
        <v>First Times a Charm Cider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IFERROR(__xludf.DUMMYFUNCTION("""COMPUTED_VALUE"""),43548.4360294791)</f>
        <v>43548.43603</v>
      </c>
      <c r="D589" s="23">
        <f>IFERROR(__xludf.DUMMYFUNCTION("""COMPUTED_VALUE"""),1.027)</f>
        <v>1.027</v>
      </c>
      <c r="E589" s="24">
        <f>IFERROR(__xludf.DUMMYFUNCTION("""COMPUTED_VALUE"""),66.0)</f>
        <v>66</v>
      </c>
      <c r="F589" s="27" t="str">
        <f>IFERROR(__xludf.DUMMYFUNCTION("""COMPUTED_VALUE"""),"BLACK")</f>
        <v>BLACK</v>
      </c>
      <c r="G589" s="28" t="str">
        <f>IFERROR(__xludf.DUMMYFUNCTION("""COMPUTED_VALUE"""),"First Times a Charm Cider")</f>
        <v>First Times a Charm Cider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IFERROR(__xludf.DUMMYFUNCTION("""COMPUTED_VALUE"""),43548.4256078819)</f>
        <v>43548.42561</v>
      </c>
      <c r="D590" s="23">
        <f>IFERROR(__xludf.DUMMYFUNCTION("""COMPUTED_VALUE"""),1.027)</f>
        <v>1.027</v>
      </c>
      <c r="E590" s="24">
        <f>IFERROR(__xludf.DUMMYFUNCTION("""COMPUTED_VALUE"""),66.0)</f>
        <v>66</v>
      </c>
      <c r="F590" s="27" t="str">
        <f>IFERROR(__xludf.DUMMYFUNCTION("""COMPUTED_VALUE"""),"BLACK")</f>
        <v>BLACK</v>
      </c>
      <c r="G590" s="28" t="str">
        <f>IFERROR(__xludf.DUMMYFUNCTION("""COMPUTED_VALUE"""),"First Times a Charm Cider")</f>
        <v>First Times a Charm Cider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IFERROR(__xludf.DUMMYFUNCTION("""COMPUTED_VALUE"""),43548.4151873379)</f>
        <v>43548.41519</v>
      </c>
      <c r="D591" s="23">
        <f>IFERROR(__xludf.DUMMYFUNCTION("""COMPUTED_VALUE"""),1.027)</f>
        <v>1.027</v>
      </c>
      <c r="E591" s="24">
        <f>IFERROR(__xludf.DUMMYFUNCTION("""COMPUTED_VALUE"""),66.0)</f>
        <v>66</v>
      </c>
      <c r="F591" s="27" t="str">
        <f>IFERROR(__xludf.DUMMYFUNCTION("""COMPUTED_VALUE"""),"BLACK")</f>
        <v>BLACK</v>
      </c>
      <c r="G591" s="28" t="str">
        <f>IFERROR(__xludf.DUMMYFUNCTION("""COMPUTED_VALUE"""),"First Times a Charm Cider")</f>
        <v>First Times a Charm Cider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IFERROR(__xludf.DUMMYFUNCTION("""COMPUTED_VALUE"""),43548.4047654513)</f>
        <v>43548.40477</v>
      </c>
      <c r="D592" s="23">
        <f>IFERROR(__xludf.DUMMYFUNCTION("""COMPUTED_VALUE"""),1.027)</f>
        <v>1.027</v>
      </c>
      <c r="E592" s="24">
        <f>IFERROR(__xludf.DUMMYFUNCTION("""COMPUTED_VALUE"""),66.0)</f>
        <v>66</v>
      </c>
      <c r="F592" s="27" t="str">
        <f>IFERROR(__xludf.DUMMYFUNCTION("""COMPUTED_VALUE"""),"BLACK")</f>
        <v>BLACK</v>
      </c>
      <c r="G592" s="28" t="str">
        <f>IFERROR(__xludf.DUMMYFUNCTION("""COMPUTED_VALUE"""),"First Times a Charm Cider")</f>
        <v>First Times a Charm Cider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IFERROR(__xludf.DUMMYFUNCTION("""COMPUTED_VALUE"""),43548.3943455787)</f>
        <v>43548.39435</v>
      </c>
      <c r="D593" s="23">
        <f>IFERROR(__xludf.DUMMYFUNCTION("""COMPUTED_VALUE"""),1.027)</f>
        <v>1.027</v>
      </c>
      <c r="E593" s="24">
        <f>IFERROR(__xludf.DUMMYFUNCTION("""COMPUTED_VALUE"""),66.0)</f>
        <v>66</v>
      </c>
      <c r="F593" s="27" t="str">
        <f>IFERROR(__xludf.DUMMYFUNCTION("""COMPUTED_VALUE"""),"BLACK")</f>
        <v>BLACK</v>
      </c>
      <c r="G593" s="28" t="str">
        <f>IFERROR(__xludf.DUMMYFUNCTION("""COMPUTED_VALUE"""),"First Times a Charm Cider")</f>
        <v>First Times a Charm Cider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IFERROR(__xludf.DUMMYFUNCTION("""COMPUTED_VALUE"""),43548.3839126157)</f>
        <v>43548.38391</v>
      </c>
      <c r="D594" s="23">
        <f>IFERROR(__xludf.DUMMYFUNCTION("""COMPUTED_VALUE"""),1.027)</f>
        <v>1.027</v>
      </c>
      <c r="E594" s="24">
        <f>IFERROR(__xludf.DUMMYFUNCTION("""COMPUTED_VALUE"""),66.0)</f>
        <v>66</v>
      </c>
      <c r="F594" s="27" t="str">
        <f>IFERROR(__xludf.DUMMYFUNCTION("""COMPUTED_VALUE"""),"BLACK")</f>
        <v>BLACK</v>
      </c>
      <c r="G594" s="28" t="str">
        <f>IFERROR(__xludf.DUMMYFUNCTION("""COMPUTED_VALUE"""),"First Times a Charm Cider")</f>
        <v>First Times a Charm Cider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IFERROR(__xludf.DUMMYFUNCTION("""COMPUTED_VALUE"""),43548.3734340046)</f>
        <v>43548.37343</v>
      </c>
      <c r="D595" s="23">
        <f>IFERROR(__xludf.DUMMYFUNCTION("""COMPUTED_VALUE"""),1.027)</f>
        <v>1.027</v>
      </c>
      <c r="E595" s="24">
        <f>IFERROR(__xludf.DUMMYFUNCTION("""COMPUTED_VALUE"""),66.0)</f>
        <v>66</v>
      </c>
      <c r="F595" s="27" t="str">
        <f>IFERROR(__xludf.DUMMYFUNCTION("""COMPUTED_VALUE"""),"BLACK")</f>
        <v>BLACK</v>
      </c>
      <c r="G595" s="28" t="str">
        <f>IFERROR(__xludf.DUMMYFUNCTION("""COMPUTED_VALUE"""),"First Times a Charm Cider")</f>
        <v>First Times a Charm Cider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IFERROR(__xludf.DUMMYFUNCTION("""COMPUTED_VALUE"""),43548.3630131944)</f>
        <v>43548.36301</v>
      </c>
      <c r="D596" s="23">
        <f>IFERROR(__xludf.DUMMYFUNCTION("""COMPUTED_VALUE"""),1.027)</f>
        <v>1.027</v>
      </c>
      <c r="E596" s="24">
        <f>IFERROR(__xludf.DUMMYFUNCTION("""COMPUTED_VALUE"""),66.0)</f>
        <v>66</v>
      </c>
      <c r="F596" s="27" t="str">
        <f>IFERROR(__xludf.DUMMYFUNCTION("""COMPUTED_VALUE"""),"BLACK")</f>
        <v>BLACK</v>
      </c>
      <c r="G596" s="28" t="str">
        <f>IFERROR(__xludf.DUMMYFUNCTION("""COMPUTED_VALUE"""),"First Times a Charm Cider")</f>
        <v>First Times a Charm Cider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IFERROR(__xludf.DUMMYFUNCTION("""COMPUTED_VALUE"""),43548.3525790972)</f>
        <v>43548.35258</v>
      </c>
      <c r="D597" s="23">
        <f>IFERROR(__xludf.DUMMYFUNCTION("""COMPUTED_VALUE"""),1.027)</f>
        <v>1.027</v>
      </c>
      <c r="E597" s="24">
        <f>IFERROR(__xludf.DUMMYFUNCTION("""COMPUTED_VALUE"""),66.0)</f>
        <v>66</v>
      </c>
      <c r="F597" s="27" t="str">
        <f>IFERROR(__xludf.DUMMYFUNCTION("""COMPUTED_VALUE"""),"BLACK")</f>
        <v>BLACK</v>
      </c>
      <c r="G597" s="28" t="str">
        <f>IFERROR(__xludf.DUMMYFUNCTION("""COMPUTED_VALUE"""),"First Times a Charm Cider")</f>
        <v>First Times a Charm Cider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IFERROR(__xludf.DUMMYFUNCTION("""COMPUTED_VALUE"""),43548.342157581)</f>
        <v>43548.34216</v>
      </c>
      <c r="D598" s="23">
        <f>IFERROR(__xludf.DUMMYFUNCTION("""COMPUTED_VALUE"""),1.027)</f>
        <v>1.027</v>
      </c>
      <c r="E598" s="24">
        <f>IFERROR(__xludf.DUMMYFUNCTION("""COMPUTED_VALUE"""),66.0)</f>
        <v>66</v>
      </c>
      <c r="F598" s="27" t="str">
        <f>IFERROR(__xludf.DUMMYFUNCTION("""COMPUTED_VALUE"""),"BLACK")</f>
        <v>BLACK</v>
      </c>
      <c r="G598" s="28" t="str">
        <f>IFERROR(__xludf.DUMMYFUNCTION("""COMPUTED_VALUE"""),"First Times a Charm Cider")</f>
        <v>First Times a Charm Cider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IFERROR(__xludf.DUMMYFUNCTION("""COMPUTED_VALUE"""),43548.3317368287)</f>
        <v>43548.33174</v>
      </c>
      <c r="D599" s="23">
        <f>IFERROR(__xludf.DUMMYFUNCTION("""COMPUTED_VALUE"""),1.027)</f>
        <v>1.027</v>
      </c>
      <c r="E599" s="24">
        <f>IFERROR(__xludf.DUMMYFUNCTION("""COMPUTED_VALUE"""),66.0)</f>
        <v>66</v>
      </c>
      <c r="F599" s="27" t="str">
        <f>IFERROR(__xludf.DUMMYFUNCTION("""COMPUTED_VALUE"""),"BLACK")</f>
        <v>BLACK</v>
      </c>
      <c r="G599" s="28" t="str">
        <f>IFERROR(__xludf.DUMMYFUNCTION("""COMPUTED_VALUE"""),"First Times a Charm Cider")</f>
        <v>First Times a Charm Cider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IFERROR(__xludf.DUMMYFUNCTION("""COMPUTED_VALUE"""),43548.3213174768)</f>
        <v>43548.32132</v>
      </c>
      <c r="D600" s="23">
        <f>IFERROR(__xludf.DUMMYFUNCTION("""COMPUTED_VALUE"""),1.027)</f>
        <v>1.027</v>
      </c>
      <c r="E600" s="24">
        <f>IFERROR(__xludf.DUMMYFUNCTION("""COMPUTED_VALUE"""),66.0)</f>
        <v>66</v>
      </c>
      <c r="F600" s="27" t="str">
        <f>IFERROR(__xludf.DUMMYFUNCTION("""COMPUTED_VALUE"""),"BLACK")</f>
        <v>BLACK</v>
      </c>
      <c r="G600" s="28" t="str">
        <f>IFERROR(__xludf.DUMMYFUNCTION("""COMPUTED_VALUE"""),"First Times a Charm Cider")</f>
        <v>First Times a Charm Cider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IFERROR(__xludf.DUMMYFUNCTION("""COMPUTED_VALUE"""),43548.3108835532)</f>
        <v>43548.31088</v>
      </c>
      <c r="D601" s="23">
        <f>IFERROR(__xludf.DUMMYFUNCTION("""COMPUTED_VALUE"""),1.028)</f>
        <v>1.028</v>
      </c>
      <c r="E601" s="24">
        <f>IFERROR(__xludf.DUMMYFUNCTION("""COMPUTED_VALUE"""),66.0)</f>
        <v>66</v>
      </c>
      <c r="F601" s="27" t="str">
        <f>IFERROR(__xludf.DUMMYFUNCTION("""COMPUTED_VALUE"""),"BLACK")</f>
        <v>BLACK</v>
      </c>
      <c r="G601" s="28" t="str">
        <f>IFERROR(__xludf.DUMMYFUNCTION("""COMPUTED_VALUE"""),"First Times a Charm Cider")</f>
        <v>First Times a Charm Cider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IFERROR(__xludf.DUMMYFUNCTION("""COMPUTED_VALUE"""),43548.3004261226)</f>
        <v>43548.30043</v>
      </c>
      <c r="D602" s="23">
        <f>IFERROR(__xludf.DUMMYFUNCTION("""COMPUTED_VALUE"""),1.027)</f>
        <v>1.027</v>
      </c>
      <c r="E602" s="24">
        <f>IFERROR(__xludf.DUMMYFUNCTION("""COMPUTED_VALUE"""),66.0)</f>
        <v>66</v>
      </c>
      <c r="F602" s="27" t="str">
        <f>IFERROR(__xludf.DUMMYFUNCTION("""COMPUTED_VALUE"""),"BLACK")</f>
        <v>BLACK</v>
      </c>
      <c r="G602" s="28" t="str">
        <f>IFERROR(__xludf.DUMMYFUNCTION("""COMPUTED_VALUE"""),"First Times a Charm Cider")</f>
        <v>First Times a Charm Cider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IFERROR(__xludf.DUMMYFUNCTION("""COMPUTED_VALUE"""),43548.2899912847)</f>
        <v>43548.28999</v>
      </c>
      <c r="D603" s="23">
        <f>IFERROR(__xludf.DUMMYFUNCTION("""COMPUTED_VALUE"""),1.028)</f>
        <v>1.028</v>
      </c>
      <c r="E603" s="24">
        <f>IFERROR(__xludf.DUMMYFUNCTION("""COMPUTED_VALUE"""),66.0)</f>
        <v>66</v>
      </c>
      <c r="F603" s="27" t="str">
        <f>IFERROR(__xludf.DUMMYFUNCTION("""COMPUTED_VALUE"""),"BLACK")</f>
        <v>BLACK</v>
      </c>
      <c r="G603" s="28" t="str">
        <f>IFERROR(__xludf.DUMMYFUNCTION("""COMPUTED_VALUE"""),"First Times a Charm Cider")</f>
        <v>First Times a Charm Cider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IFERROR(__xludf.DUMMYFUNCTION("""COMPUTED_VALUE"""),43548.2795591666)</f>
        <v>43548.27956</v>
      </c>
      <c r="D604" s="23">
        <f>IFERROR(__xludf.DUMMYFUNCTION("""COMPUTED_VALUE"""),1.027)</f>
        <v>1.027</v>
      </c>
      <c r="E604" s="24">
        <f>IFERROR(__xludf.DUMMYFUNCTION("""COMPUTED_VALUE"""),66.0)</f>
        <v>66</v>
      </c>
      <c r="F604" s="27" t="str">
        <f>IFERROR(__xludf.DUMMYFUNCTION("""COMPUTED_VALUE"""),"BLACK")</f>
        <v>BLACK</v>
      </c>
      <c r="G604" s="28" t="str">
        <f>IFERROR(__xludf.DUMMYFUNCTION("""COMPUTED_VALUE"""),"First Times a Charm Cider")</f>
        <v>First Times a Charm Cider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IFERROR(__xludf.DUMMYFUNCTION("""COMPUTED_VALUE"""),43548.2691023263)</f>
        <v>43548.2691</v>
      </c>
      <c r="D605" s="23">
        <f>IFERROR(__xludf.DUMMYFUNCTION("""COMPUTED_VALUE"""),1.027)</f>
        <v>1.027</v>
      </c>
      <c r="E605" s="24">
        <f>IFERROR(__xludf.DUMMYFUNCTION("""COMPUTED_VALUE"""),66.0)</f>
        <v>66</v>
      </c>
      <c r="F605" s="27" t="str">
        <f>IFERROR(__xludf.DUMMYFUNCTION("""COMPUTED_VALUE"""),"BLACK")</f>
        <v>BLACK</v>
      </c>
      <c r="G605" s="28" t="str">
        <f>IFERROR(__xludf.DUMMYFUNCTION("""COMPUTED_VALUE"""),"First Times a Charm Cider")</f>
        <v>First Times a Charm Cider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IFERROR(__xludf.DUMMYFUNCTION("""COMPUTED_VALUE"""),43548.2586688425)</f>
        <v>43548.25867</v>
      </c>
      <c r="D606" s="23">
        <f>IFERROR(__xludf.DUMMYFUNCTION("""COMPUTED_VALUE"""),1.028)</f>
        <v>1.028</v>
      </c>
      <c r="E606" s="24">
        <f>IFERROR(__xludf.DUMMYFUNCTION("""COMPUTED_VALUE"""),66.0)</f>
        <v>66</v>
      </c>
      <c r="F606" s="27" t="str">
        <f>IFERROR(__xludf.DUMMYFUNCTION("""COMPUTED_VALUE"""),"BLACK")</f>
        <v>BLACK</v>
      </c>
      <c r="G606" s="28" t="str">
        <f>IFERROR(__xludf.DUMMYFUNCTION("""COMPUTED_VALUE"""),"First Times a Charm Cider")</f>
        <v>First Times a Charm Cider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IFERROR(__xludf.DUMMYFUNCTION("""COMPUTED_VALUE"""),43548.2482479282)</f>
        <v>43548.24825</v>
      </c>
      <c r="D607" s="23">
        <f>IFERROR(__xludf.DUMMYFUNCTION("""COMPUTED_VALUE"""),1.027)</f>
        <v>1.027</v>
      </c>
      <c r="E607" s="24">
        <f>IFERROR(__xludf.DUMMYFUNCTION("""COMPUTED_VALUE"""),66.0)</f>
        <v>66</v>
      </c>
      <c r="F607" s="27" t="str">
        <f>IFERROR(__xludf.DUMMYFUNCTION("""COMPUTED_VALUE"""),"BLACK")</f>
        <v>BLACK</v>
      </c>
      <c r="G607" s="28" t="str">
        <f>IFERROR(__xludf.DUMMYFUNCTION("""COMPUTED_VALUE"""),"First Times a Charm Cider")</f>
        <v>First Times a Charm Cider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IFERROR(__xludf.DUMMYFUNCTION("""COMPUTED_VALUE"""),43548.2378158101)</f>
        <v>43548.23782</v>
      </c>
      <c r="D608" s="23">
        <f>IFERROR(__xludf.DUMMYFUNCTION("""COMPUTED_VALUE"""),1.027)</f>
        <v>1.027</v>
      </c>
      <c r="E608" s="24">
        <f>IFERROR(__xludf.DUMMYFUNCTION("""COMPUTED_VALUE"""),66.0)</f>
        <v>66</v>
      </c>
      <c r="F608" s="27" t="str">
        <f>IFERROR(__xludf.DUMMYFUNCTION("""COMPUTED_VALUE"""),"BLACK")</f>
        <v>BLACK</v>
      </c>
      <c r="G608" s="28" t="str">
        <f>IFERROR(__xludf.DUMMYFUNCTION("""COMPUTED_VALUE"""),"First Times a Charm Cider")</f>
        <v>First Times a Charm Cider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IFERROR(__xludf.DUMMYFUNCTION("""COMPUTED_VALUE"""),43548.2273705902)</f>
        <v>43548.22737</v>
      </c>
      <c r="D609" s="23">
        <f>IFERROR(__xludf.DUMMYFUNCTION("""COMPUTED_VALUE"""),1.027)</f>
        <v>1.027</v>
      </c>
      <c r="E609" s="24">
        <f>IFERROR(__xludf.DUMMYFUNCTION("""COMPUTED_VALUE"""),66.0)</f>
        <v>66</v>
      </c>
      <c r="F609" s="27" t="str">
        <f>IFERROR(__xludf.DUMMYFUNCTION("""COMPUTED_VALUE"""),"BLACK")</f>
        <v>BLACK</v>
      </c>
      <c r="G609" s="28" t="str">
        <f>IFERROR(__xludf.DUMMYFUNCTION("""COMPUTED_VALUE"""),"First Times a Charm Cider")</f>
        <v>First Times a Charm Cider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IFERROR(__xludf.DUMMYFUNCTION("""COMPUTED_VALUE"""),43548.2169513194)</f>
        <v>43548.21695</v>
      </c>
      <c r="D610" s="23">
        <f>IFERROR(__xludf.DUMMYFUNCTION("""COMPUTED_VALUE"""),1.027)</f>
        <v>1.027</v>
      </c>
      <c r="E610" s="24">
        <f>IFERROR(__xludf.DUMMYFUNCTION("""COMPUTED_VALUE"""),66.0)</f>
        <v>66</v>
      </c>
      <c r="F610" s="27" t="str">
        <f>IFERROR(__xludf.DUMMYFUNCTION("""COMPUTED_VALUE"""),"BLACK")</f>
        <v>BLACK</v>
      </c>
      <c r="G610" s="28" t="str">
        <f>IFERROR(__xludf.DUMMYFUNCTION("""COMPUTED_VALUE"""),"First Times a Charm Cider")</f>
        <v>First Times a Charm Cider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IFERROR(__xludf.DUMMYFUNCTION("""COMPUTED_VALUE"""),43548.2065067708)</f>
        <v>43548.20651</v>
      </c>
      <c r="D611" s="23">
        <f>IFERROR(__xludf.DUMMYFUNCTION("""COMPUTED_VALUE"""),1.027)</f>
        <v>1.027</v>
      </c>
      <c r="E611" s="24">
        <f>IFERROR(__xludf.DUMMYFUNCTION("""COMPUTED_VALUE"""),66.0)</f>
        <v>66</v>
      </c>
      <c r="F611" s="27" t="str">
        <f>IFERROR(__xludf.DUMMYFUNCTION("""COMPUTED_VALUE"""),"BLACK")</f>
        <v>BLACK</v>
      </c>
      <c r="G611" s="28" t="str">
        <f>IFERROR(__xludf.DUMMYFUNCTION("""COMPUTED_VALUE"""),"First Times a Charm Cider")</f>
        <v>First Times a Charm Cider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IFERROR(__xludf.DUMMYFUNCTION("""COMPUTED_VALUE"""),43548.1960859143)</f>
        <v>43548.19609</v>
      </c>
      <c r="D612" s="23">
        <f>IFERROR(__xludf.DUMMYFUNCTION("""COMPUTED_VALUE"""),1.027)</f>
        <v>1.027</v>
      </c>
      <c r="E612" s="24">
        <f>IFERROR(__xludf.DUMMYFUNCTION("""COMPUTED_VALUE"""),66.0)</f>
        <v>66</v>
      </c>
      <c r="F612" s="27" t="str">
        <f>IFERROR(__xludf.DUMMYFUNCTION("""COMPUTED_VALUE"""),"BLACK")</f>
        <v>BLACK</v>
      </c>
      <c r="G612" s="28" t="str">
        <f>IFERROR(__xludf.DUMMYFUNCTION("""COMPUTED_VALUE"""),"First Times a Charm Cider")</f>
        <v>First Times a Charm Cider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IFERROR(__xludf.DUMMYFUNCTION("""COMPUTED_VALUE"""),43548.1856657407)</f>
        <v>43548.18567</v>
      </c>
      <c r="D613" s="23">
        <f>IFERROR(__xludf.DUMMYFUNCTION("""COMPUTED_VALUE"""),1.027)</f>
        <v>1.027</v>
      </c>
      <c r="E613" s="24">
        <f>IFERROR(__xludf.DUMMYFUNCTION("""COMPUTED_VALUE"""),66.0)</f>
        <v>66</v>
      </c>
      <c r="F613" s="27" t="str">
        <f>IFERROR(__xludf.DUMMYFUNCTION("""COMPUTED_VALUE"""),"BLACK")</f>
        <v>BLACK</v>
      </c>
      <c r="G613" s="28" t="str">
        <f>IFERROR(__xludf.DUMMYFUNCTION("""COMPUTED_VALUE"""),"First Times a Charm Cider")</f>
        <v>First Times a Charm Cider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IFERROR(__xludf.DUMMYFUNCTION("""COMPUTED_VALUE"""),43548.1752110648)</f>
        <v>43548.17521</v>
      </c>
      <c r="D614" s="23">
        <f>IFERROR(__xludf.DUMMYFUNCTION("""COMPUTED_VALUE"""),1.028)</f>
        <v>1.028</v>
      </c>
      <c r="E614" s="24">
        <f>IFERROR(__xludf.DUMMYFUNCTION("""COMPUTED_VALUE"""),66.0)</f>
        <v>66</v>
      </c>
      <c r="F614" s="27" t="str">
        <f>IFERROR(__xludf.DUMMYFUNCTION("""COMPUTED_VALUE"""),"BLACK")</f>
        <v>BLACK</v>
      </c>
      <c r="G614" s="28" t="str">
        <f>IFERROR(__xludf.DUMMYFUNCTION("""COMPUTED_VALUE"""),"First Times a Charm Cider")</f>
        <v>First Times a Charm Cider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IFERROR(__xludf.DUMMYFUNCTION("""COMPUTED_VALUE"""),43548.1647892013)</f>
        <v>43548.16479</v>
      </c>
      <c r="D615" s="23">
        <f>IFERROR(__xludf.DUMMYFUNCTION("""COMPUTED_VALUE"""),1.028)</f>
        <v>1.028</v>
      </c>
      <c r="E615" s="24">
        <f>IFERROR(__xludf.DUMMYFUNCTION("""COMPUTED_VALUE"""),66.0)</f>
        <v>66</v>
      </c>
      <c r="F615" s="27" t="str">
        <f>IFERROR(__xludf.DUMMYFUNCTION("""COMPUTED_VALUE"""),"BLACK")</f>
        <v>BLACK</v>
      </c>
      <c r="G615" s="28" t="str">
        <f>IFERROR(__xludf.DUMMYFUNCTION("""COMPUTED_VALUE"""),"First Times a Charm Cider")</f>
        <v>First Times a Charm Cider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IFERROR(__xludf.DUMMYFUNCTION("""COMPUTED_VALUE"""),43548.154356875)</f>
        <v>43548.15436</v>
      </c>
      <c r="D616" s="23">
        <f>IFERROR(__xludf.DUMMYFUNCTION("""COMPUTED_VALUE"""),1.028)</f>
        <v>1.028</v>
      </c>
      <c r="E616" s="24">
        <f>IFERROR(__xludf.DUMMYFUNCTION("""COMPUTED_VALUE"""),66.0)</f>
        <v>66</v>
      </c>
      <c r="F616" s="27" t="str">
        <f>IFERROR(__xludf.DUMMYFUNCTION("""COMPUTED_VALUE"""),"BLACK")</f>
        <v>BLACK</v>
      </c>
      <c r="G616" s="28" t="str">
        <f>IFERROR(__xludf.DUMMYFUNCTION("""COMPUTED_VALUE"""),"First Times a Charm Cider")</f>
        <v>First Times a Charm Cider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IFERROR(__xludf.DUMMYFUNCTION("""COMPUTED_VALUE"""),43548.1439351736)</f>
        <v>43548.14394</v>
      </c>
      <c r="D617" s="23">
        <f>IFERROR(__xludf.DUMMYFUNCTION("""COMPUTED_VALUE"""),1.027)</f>
        <v>1.027</v>
      </c>
      <c r="E617" s="24">
        <f>IFERROR(__xludf.DUMMYFUNCTION("""COMPUTED_VALUE"""),66.0)</f>
        <v>66</v>
      </c>
      <c r="F617" s="27" t="str">
        <f>IFERROR(__xludf.DUMMYFUNCTION("""COMPUTED_VALUE"""),"BLACK")</f>
        <v>BLACK</v>
      </c>
      <c r="G617" s="28" t="str">
        <f>IFERROR(__xludf.DUMMYFUNCTION("""COMPUTED_VALUE"""),"First Times a Charm Cider")</f>
        <v>First Times a Charm Cider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IFERROR(__xludf.DUMMYFUNCTION("""COMPUTED_VALUE"""),43548.1334910879)</f>
        <v>43548.13349</v>
      </c>
      <c r="D618" s="23">
        <f>IFERROR(__xludf.DUMMYFUNCTION("""COMPUTED_VALUE"""),1.028)</f>
        <v>1.028</v>
      </c>
      <c r="E618" s="24">
        <f>IFERROR(__xludf.DUMMYFUNCTION("""COMPUTED_VALUE"""),66.0)</f>
        <v>66</v>
      </c>
      <c r="F618" s="27" t="str">
        <f>IFERROR(__xludf.DUMMYFUNCTION("""COMPUTED_VALUE"""),"BLACK")</f>
        <v>BLACK</v>
      </c>
      <c r="G618" s="28" t="str">
        <f>IFERROR(__xludf.DUMMYFUNCTION("""COMPUTED_VALUE"""),"First Times a Charm Cider")</f>
        <v>First Times a Charm Cider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IFERROR(__xludf.DUMMYFUNCTION("""COMPUTED_VALUE"""),43548.1230475694)</f>
        <v>43548.12305</v>
      </c>
      <c r="D619" s="23">
        <f>IFERROR(__xludf.DUMMYFUNCTION("""COMPUTED_VALUE"""),1.028)</f>
        <v>1.028</v>
      </c>
      <c r="E619" s="24">
        <f>IFERROR(__xludf.DUMMYFUNCTION("""COMPUTED_VALUE"""),66.0)</f>
        <v>66</v>
      </c>
      <c r="F619" s="27" t="str">
        <f>IFERROR(__xludf.DUMMYFUNCTION("""COMPUTED_VALUE"""),"BLACK")</f>
        <v>BLACK</v>
      </c>
      <c r="G619" s="28" t="str">
        <f>IFERROR(__xludf.DUMMYFUNCTION("""COMPUTED_VALUE"""),"First Times a Charm Cider")</f>
        <v>First Times a Charm Cider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IFERROR(__xludf.DUMMYFUNCTION("""COMPUTED_VALUE"""),43548.112558449)</f>
        <v>43548.11256</v>
      </c>
      <c r="D620" s="23">
        <f>IFERROR(__xludf.DUMMYFUNCTION("""COMPUTED_VALUE"""),1.027)</f>
        <v>1.027</v>
      </c>
      <c r="E620" s="24">
        <f>IFERROR(__xludf.DUMMYFUNCTION("""COMPUTED_VALUE"""),66.0)</f>
        <v>66</v>
      </c>
      <c r="F620" s="27" t="str">
        <f>IFERROR(__xludf.DUMMYFUNCTION("""COMPUTED_VALUE"""),"BLACK")</f>
        <v>BLACK</v>
      </c>
      <c r="G620" s="28" t="str">
        <f>IFERROR(__xludf.DUMMYFUNCTION("""COMPUTED_VALUE"""),"First Times a Charm Cider")</f>
        <v>First Times a Charm Cider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IFERROR(__xludf.DUMMYFUNCTION("""COMPUTED_VALUE"""),43548.1021376851)</f>
        <v>43548.10214</v>
      </c>
      <c r="D621" s="23">
        <f>IFERROR(__xludf.DUMMYFUNCTION("""COMPUTED_VALUE"""),1.028)</f>
        <v>1.028</v>
      </c>
      <c r="E621" s="24">
        <f>IFERROR(__xludf.DUMMYFUNCTION("""COMPUTED_VALUE"""),66.0)</f>
        <v>66</v>
      </c>
      <c r="F621" s="27" t="str">
        <f>IFERROR(__xludf.DUMMYFUNCTION("""COMPUTED_VALUE"""),"BLACK")</f>
        <v>BLACK</v>
      </c>
      <c r="G621" s="28" t="str">
        <f>IFERROR(__xludf.DUMMYFUNCTION("""COMPUTED_VALUE"""),"First Times a Charm Cider")</f>
        <v>First Times a Charm Cider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IFERROR(__xludf.DUMMYFUNCTION("""COMPUTED_VALUE"""),43548.0917162847)</f>
        <v>43548.09172</v>
      </c>
      <c r="D622" s="23">
        <f>IFERROR(__xludf.DUMMYFUNCTION("""COMPUTED_VALUE"""),1.028)</f>
        <v>1.028</v>
      </c>
      <c r="E622" s="24">
        <f>IFERROR(__xludf.DUMMYFUNCTION("""COMPUTED_VALUE"""),66.0)</f>
        <v>66</v>
      </c>
      <c r="F622" s="27" t="str">
        <f>IFERROR(__xludf.DUMMYFUNCTION("""COMPUTED_VALUE"""),"BLACK")</f>
        <v>BLACK</v>
      </c>
      <c r="G622" s="28" t="str">
        <f>IFERROR(__xludf.DUMMYFUNCTION("""COMPUTED_VALUE"""),"First Times a Charm Cider")</f>
        <v>First Times a Charm Cider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IFERROR(__xludf.DUMMYFUNCTION("""COMPUTED_VALUE"""),43548.0812847453)</f>
        <v>43548.08128</v>
      </c>
      <c r="D623" s="23">
        <f>IFERROR(__xludf.DUMMYFUNCTION("""COMPUTED_VALUE"""),1.027)</f>
        <v>1.027</v>
      </c>
      <c r="E623" s="24">
        <f>IFERROR(__xludf.DUMMYFUNCTION("""COMPUTED_VALUE"""),66.0)</f>
        <v>66</v>
      </c>
      <c r="F623" s="27" t="str">
        <f>IFERROR(__xludf.DUMMYFUNCTION("""COMPUTED_VALUE"""),"BLACK")</f>
        <v>BLACK</v>
      </c>
      <c r="G623" s="28" t="str">
        <f>IFERROR(__xludf.DUMMYFUNCTION("""COMPUTED_VALUE"""),"First Times a Charm Cider")</f>
        <v>First Times a Charm Cider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IFERROR(__xludf.DUMMYFUNCTION("""COMPUTED_VALUE"""),43548.0708648032)</f>
        <v>43548.07086</v>
      </c>
      <c r="D624" s="23">
        <f>IFERROR(__xludf.DUMMYFUNCTION("""COMPUTED_VALUE"""),1.028)</f>
        <v>1.028</v>
      </c>
      <c r="E624" s="24">
        <f>IFERROR(__xludf.DUMMYFUNCTION("""COMPUTED_VALUE"""),66.0)</f>
        <v>66</v>
      </c>
      <c r="F624" s="27" t="str">
        <f>IFERROR(__xludf.DUMMYFUNCTION("""COMPUTED_VALUE"""),"BLACK")</f>
        <v>BLACK</v>
      </c>
      <c r="G624" s="28" t="str">
        <f>IFERROR(__xludf.DUMMYFUNCTION("""COMPUTED_VALUE"""),"First Times a Charm Cider")</f>
        <v>First Times a Charm Cider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IFERROR(__xludf.DUMMYFUNCTION("""COMPUTED_VALUE"""),43548.0603871875)</f>
        <v>43548.06039</v>
      </c>
      <c r="D625" s="23">
        <f>IFERROR(__xludf.DUMMYFUNCTION("""COMPUTED_VALUE"""),1.027)</f>
        <v>1.027</v>
      </c>
      <c r="E625" s="24">
        <f>IFERROR(__xludf.DUMMYFUNCTION("""COMPUTED_VALUE"""),66.0)</f>
        <v>66</v>
      </c>
      <c r="F625" s="27" t="str">
        <f>IFERROR(__xludf.DUMMYFUNCTION("""COMPUTED_VALUE"""),"BLACK")</f>
        <v>BLACK</v>
      </c>
      <c r="G625" s="28" t="str">
        <f>IFERROR(__xludf.DUMMYFUNCTION("""COMPUTED_VALUE"""),"First Times a Charm Cider")</f>
        <v>First Times a Charm Cider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IFERROR(__xludf.DUMMYFUNCTION("""COMPUTED_VALUE"""),43548.0499676504)</f>
        <v>43548.04997</v>
      </c>
      <c r="D626" s="23">
        <f>IFERROR(__xludf.DUMMYFUNCTION("""COMPUTED_VALUE"""),1.027)</f>
        <v>1.027</v>
      </c>
      <c r="E626" s="24">
        <f>IFERROR(__xludf.DUMMYFUNCTION("""COMPUTED_VALUE"""),66.0)</f>
        <v>66</v>
      </c>
      <c r="F626" s="27" t="str">
        <f>IFERROR(__xludf.DUMMYFUNCTION("""COMPUTED_VALUE"""),"BLACK")</f>
        <v>BLACK</v>
      </c>
      <c r="G626" s="28" t="str">
        <f>IFERROR(__xludf.DUMMYFUNCTION("""COMPUTED_VALUE"""),"First Times a Charm Cider")</f>
        <v>First Times a Charm Cider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IFERROR(__xludf.DUMMYFUNCTION("""COMPUTED_VALUE"""),43548.0395362152)</f>
        <v>43548.03954</v>
      </c>
      <c r="D627" s="23">
        <f>IFERROR(__xludf.DUMMYFUNCTION("""COMPUTED_VALUE"""),1.028)</f>
        <v>1.028</v>
      </c>
      <c r="E627" s="24">
        <f>IFERROR(__xludf.DUMMYFUNCTION("""COMPUTED_VALUE"""),66.0)</f>
        <v>66</v>
      </c>
      <c r="F627" s="27" t="str">
        <f>IFERROR(__xludf.DUMMYFUNCTION("""COMPUTED_VALUE"""),"BLACK")</f>
        <v>BLACK</v>
      </c>
      <c r="G627" s="28" t="str">
        <f>IFERROR(__xludf.DUMMYFUNCTION("""COMPUTED_VALUE"""),"First Times a Charm Cider")</f>
        <v>First Times a Charm Cider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IFERROR(__xludf.DUMMYFUNCTION("""COMPUTED_VALUE"""),43548.0291015046)</f>
        <v>43548.0291</v>
      </c>
      <c r="D628" s="23">
        <f>IFERROR(__xludf.DUMMYFUNCTION("""COMPUTED_VALUE"""),1.027)</f>
        <v>1.027</v>
      </c>
      <c r="E628" s="24">
        <f>IFERROR(__xludf.DUMMYFUNCTION("""COMPUTED_VALUE"""),66.0)</f>
        <v>66</v>
      </c>
      <c r="F628" s="27" t="str">
        <f>IFERROR(__xludf.DUMMYFUNCTION("""COMPUTED_VALUE"""),"BLACK")</f>
        <v>BLACK</v>
      </c>
      <c r="G628" s="28" t="str">
        <f>IFERROR(__xludf.DUMMYFUNCTION("""COMPUTED_VALUE"""),"First Times a Charm Cider")</f>
        <v>First Times a Charm Cider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IFERROR(__xludf.DUMMYFUNCTION("""COMPUTED_VALUE"""),43548.0186823032)</f>
        <v>43548.01868</v>
      </c>
      <c r="D629" s="23">
        <f>IFERROR(__xludf.DUMMYFUNCTION("""COMPUTED_VALUE"""),1.027)</f>
        <v>1.027</v>
      </c>
      <c r="E629" s="24">
        <f>IFERROR(__xludf.DUMMYFUNCTION("""COMPUTED_VALUE"""),66.0)</f>
        <v>66</v>
      </c>
      <c r="F629" s="27" t="str">
        <f>IFERROR(__xludf.DUMMYFUNCTION("""COMPUTED_VALUE"""),"BLACK")</f>
        <v>BLACK</v>
      </c>
      <c r="G629" s="28" t="str">
        <f>IFERROR(__xludf.DUMMYFUNCTION("""COMPUTED_VALUE"""),"First Times a Charm Cider")</f>
        <v>First Times a Charm Cider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IFERROR(__xludf.DUMMYFUNCTION("""COMPUTED_VALUE"""),43548.0082030787)</f>
        <v>43548.0082</v>
      </c>
      <c r="D630" s="23">
        <f>IFERROR(__xludf.DUMMYFUNCTION("""COMPUTED_VALUE"""),1.027)</f>
        <v>1.027</v>
      </c>
      <c r="E630" s="24">
        <f>IFERROR(__xludf.DUMMYFUNCTION("""COMPUTED_VALUE"""),66.0)</f>
        <v>66</v>
      </c>
      <c r="F630" s="27" t="str">
        <f>IFERROR(__xludf.DUMMYFUNCTION("""COMPUTED_VALUE"""),"BLACK")</f>
        <v>BLACK</v>
      </c>
      <c r="G630" s="28" t="str">
        <f>IFERROR(__xludf.DUMMYFUNCTION("""COMPUTED_VALUE"""),"First Times a Charm Cider")</f>
        <v>First Times a Charm Cider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IFERROR(__xludf.DUMMYFUNCTION("""COMPUTED_VALUE"""),43547.99778125)</f>
        <v>43547.99778</v>
      </c>
      <c r="D631" s="23">
        <f>IFERROR(__xludf.DUMMYFUNCTION("""COMPUTED_VALUE"""),1.027)</f>
        <v>1.027</v>
      </c>
      <c r="E631" s="24">
        <f>IFERROR(__xludf.DUMMYFUNCTION("""COMPUTED_VALUE"""),66.0)</f>
        <v>66</v>
      </c>
      <c r="F631" s="27" t="str">
        <f>IFERROR(__xludf.DUMMYFUNCTION("""COMPUTED_VALUE"""),"BLACK")</f>
        <v>BLACK</v>
      </c>
      <c r="G631" s="28" t="str">
        <f>IFERROR(__xludf.DUMMYFUNCTION("""COMPUTED_VALUE"""),"First Times a Charm Cider")</f>
        <v>First Times a Charm Cider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IFERROR(__xludf.DUMMYFUNCTION("""COMPUTED_VALUE"""),43547.9873496527)</f>
        <v>43547.98735</v>
      </c>
      <c r="D632" s="23">
        <f>IFERROR(__xludf.DUMMYFUNCTION("""COMPUTED_VALUE"""),1.027)</f>
        <v>1.027</v>
      </c>
      <c r="E632" s="24">
        <f>IFERROR(__xludf.DUMMYFUNCTION("""COMPUTED_VALUE"""),66.0)</f>
        <v>66</v>
      </c>
      <c r="F632" s="27" t="str">
        <f>IFERROR(__xludf.DUMMYFUNCTION("""COMPUTED_VALUE"""),"BLACK")</f>
        <v>BLACK</v>
      </c>
      <c r="G632" s="28" t="str">
        <f>IFERROR(__xludf.DUMMYFUNCTION("""COMPUTED_VALUE"""),"First Times a Charm Cider")</f>
        <v>First Times a Charm Cider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IFERROR(__xludf.DUMMYFUNCTION("""COMPUTED_VALUE"""),43547.9769302314)</f>
        <v>43547.97693</v>
      </c>
      <c r="D633" s="23">
        <f>IFERROR(__xludf.DUMMYFUNCTION("""COMPUTED_VALUE"""),1.028)</f>
        <v>1.028</v>
      </c>
      <c r="E633" s="24">
        <f>IFERROR(__xludf.DUMMYFUNCTION("""COMPUTED_VALUE"""),66.0)</f>
        <v>66</v>
      </c>
      <c r="F633" s="27" t="str">
        <f>IFERROR(__xludf.DUMMYFUNCTION("""COMPUTED_VALUE"""),"BLACK")</f>
        <v>BLACK</v>
      </c>
      <c r="G633" s="28" t="str">
        <f>IFERROR(__xludf.DUMMYFUNCTION("""COMPUTED_VALUE"""),"First Times a Charm Cider")</f>
        <v>First Times a Charm Cider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IFERROR(__xludf.DUMMYFUNCTION("""COMPUTED_VALUE"""),43547.9665093055)</f>
        <v>43547.96651</v>
      </c>
      <c r="D634" s="23">
        <f>IFERROR(__xludf.DUMMYFUNCTION("""COMPUTED_VALUE"""),1.028)</f>
        <v>1.028</v>
      </c>
      <c r="E634" s="24">
        <f>IFERROR(__xludf.DUMMYFUNCTION("""COMPUTED_VALUE"""),66.0)</f>
        <v>66</v>
      </c>
      <c r="F634" s="27" t="str">
        <f>IFERROR(__xludf.DUMMYFUNCTION("""COMPUTED_VALUE"""),"BLACK")</f>
        <v>BLACK</v>
      </c>
      <c r="G634" s="28" t="str">
        <f>IFERROR(__xludf.DUMMYFUNCTION("""COMPUTED_VALUE"""),"First Times a Charm Cider")</f>
        <v>First Times a Charm Cider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IFERROR(__xludf.DUMMYFUNCTION("""COMPUTED_VALUE"""),43547.9560644213)</f>
        <v>43547.95606</v>
      </c>
      <c r="D635" s="23">
        <f>IFERROR(__xludf.DUMMYFUNCTION("""COMPUTED_VALUE"""),1.028)</f>
        <v>1.028</v>
      </c>
      <c r="E635" s="24">
        <f>IFERROR(__xludf.DUMMYFUNCTION("""COMPUTED_VALUE"""),66.0)</f>
        <v>66</v>
      </c>
      <c r="F635" s="27" t="str">
        <f>IFERROR(__xludf.DUMMYFUNCTION("""COMPUTED_VALUE"""),"BLACK")</f>
        <v>BLACK</v>
      </c>
      <c r="G635" s="28" t="str">
        <f>IFERROR(__xludf.DUMMYFUNCTION("""COMPUTED_VALUE"""),"First Times a Charm Cider")</f>
        <v>First Times a Charm Cider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IFERROR(__xludf.DUMMYFUNCTION("""COMPUTED_VALUE"""),43547.945643993)</f>
        <v>43547.94564</v>
      </c>
      <c r="D636" s="23">
        <f>IFERROR(__xludf.DUMMYFUNCTION("""COMPUTED_VALUE"""),1.028)</f>
        <v>1.028</v>
      </c>
      <c r="E636" s="24">
        <f>IFERROR(__xludf.DUMMYFUNCTION("""COMPUTED_VALUE"""),66.0)</f>
        <v>66</v>
      </c>
      <c r="F636" s="27" t="str">
        <f>IFERROR(__xludf.DUMMYFUNCTION("""COMPUTED_VALUE"""),"BLACK")</f>
        <v>BLACK</v>
      </c>
      <c r="G636" s="28" t="str">
        <f>IFERROR(__xludf.DUMMYFUNCTION("""COMPUTED_VALUE"""),"First Times a Charm Cider")</f>
        <v>First Times a Charm Cider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IFERROR(__xludf.DUMMYFUNCTION("""COMPUTED_VALUE"""),43547.9352119791)</f>
        <v>43547.93521</v>
      </c>
      <c r="D637" s="23">
        <f>IFERROR(__xludf.DUMMYFUNCTION("""COMPUTED_VALUE"""),1.028)</f>
        <v>1.028</v>
      </c>
      <c r="E637" s="24">
        <f>IFERROR(__xludf.DUMMYFUNCTION("""COMPUTED_VALUE"""),66.0)</f>
        <v>66</v>
      </c>
      <c r="F637" s="27" t="str">
        <f>IFERROR(__xludf.DUMMYFUNCTION("""COMPUTED_VALUE"""),"BLACK")</f>
        <v>BLACK</v>
      </c>
      <c r="G637" s="28" t="str">
        <f>IFERROR(__xludf.DUMMYFUNCTION("""COMPUTED_VALUE"""),"First Times a Charm Cider")</f>
        <v>First Times a Charm Cider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IFERROR(__xludf.DUMMYFUNCTION("""COMPUTED_VALUE"""),43547.9247916435)</f>
        <v>43547.92479</v>
      </c>
      <c r="D638" s="23">
        <f>IFERROR(__xludf.DUMMYFUNCTION("""COMPUTED_VALUE"""),1.028)</f>
        <v>1.028</v>
      </c>
      <c r="E638" s="24">
        <f>IFERROR(__xludf.DUMMYFUNCTION("""COMPUTED_VALUE"""),66.0)</f>
        <v>66</v>
      </c>
      <c r="F638" s="27" t="str">
        <f>IFERROR(__xludf.DUMMYFUNCTION("""COMPUTED_VALUE"""),"BLACK")</f>
        <v>BLACK</v>
      </c>
      <c r="G638" s="28" t="str">
        <f>IFERROR(__xludf.DUMMYFUNCTION("""COMPUTED_VALUE"""),"First Times a Charm Cider")</f>
        <v>First Times a Charm Cider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IFERROR(__xludf.DUMMYFUNCTION("""COMPUTED_VALUE"""),43547.9143709027)</f>
        <v>43547.91437</v>
      </c>
      <c r="D639" s="23">
        <f>IFERROR(__xludf.DUMMYFUNCTION("""COMPUTED_VALUE"""),1.028)</f>
        <v>1.028</v>
      </c>
      <c r="E639" s="24">
        <f>IFERROR(__xludf.DUMMYFUNCTION("""COMPUTED_VALUE"""),66.0)</f>
        <v>66</v>
      </c>
      <c r="F639" s="27" t="str">
        <f>IFERROR(__xludf.DUMMYFUNCTION("""COMPUTED_VALUE"""),"BLACK")</f>
        <v>BLACK</v>
      </c>
      <c r="G639" s="28" t="str">
        <f>IFERROR(__xludf.DUMMYFUNCTION("""COMPUTED_VALUE"""),"First Times a Charm Cider")</f>
        <v>First Times a Charm Cider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IFERROR(__xludf.DUMMYFUNCTION("""COMPUTED_VALUE"""),43547.9039373495)</f>
        <v>43547.90394</v>
      </c>
      <c r="D640" s="23">
        <f>IFERROR(__xludf.DUMMYFUNCTION("""COMPUTED_VALUE"""),1.028)</f>
        <v>1.028</v>
      </c>
      <c r="E640" s="24">
        <f>IFERROR(__xludf.DUMMYFUNCTION("""COMPUTED_VALUE"""),66.0)</f>
        <v>66</v>
      </c>
      <c r="F640" s="27" t="str">
        <f>IFERROR(__xludf.DUMMYFUNCTION("""COMPUTED_VALUE"""),"BLACK")</f>
        <v>BLACK</v>
      </c>
      <c r="G640" s="28" t="str">
        <f>IFERROR(__xludf.DUMMYFUNCTION("""COMPUTED_VALUE"""),"First Times a Charm Cider")</f>
        <v>First Times a Charm Cider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IFERROR(__xludf.DUMMYFUNCTION("""COMPUTED_VALUE"""),43547.8935176504)</f>
        <v>43547.89352</v>
      </c>
      <c r="D641" s="23">
        <f>IFERROR(__xludf.DUMMYFUNCTION("""COMPUTED_VALUE"""),1.028)</f>
        <v>1.028</v>
      </c>
      <c r="E641" s="24">
        <f>IFERROR(__xludf.DUMMYFUNCTION("""COMPUTED_VALUE"""),66.0)</f>
        <v>66</v>
      </c>
      <c r="F641" s="27" t="str">
        <f>IFERROR(__xludf.DUMMYFUNCTION("""COMPUTED_VALUE"""),"BLACK")</f>
        <v>BLACK</v>
      </c>
      <c r="G641" s="28" t="str">
        <f>IFERROR(__xludf.DUMMYFUNCTION("""COMPUTED_VALUE"""),"First Times a Charm Cider")</f>
        <v>First Times a Charm Cider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IFERROR(__xludf.DUMMYFUNCTION("""COMPUTED_VALUE"""),43547.8830969212)</f>
        <v>43547.8831</v>
      </c>
      <c r="D642" s="23">
        <f>IFERROR(__xludf.DUMMYFUNCTION("""COMPUTED_VALUE"""),1.028)</f>
        <v>1.028</v>
      </c>
      <c r="E642" s="24">
        <f>IFERROR(__xludf.DUMMYFUNCTION("""COMPUTED_VALUE"""),66.0)</f>
        <v>66</v>
      </c>
      <c r="F642" s="27" t="str">
        <f>IFERROR(__xludf.DUMMYFUNCTION("""COMPUTED_VALUE"""),"BLACK")</f>
        <v>BLACK</v>
      </c>
      <c r="G642" s="28" t="str">
        <f>IFERROR(__xludf.DUMMYFUNCTION("""COMPUTED_VALUE"""),"First Times a Charm Cider")</f>
        <v>First Times a Charm Cider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IFERROR(__xludf.DUMMYFUNCTION("""COMPUTED_VALUE"""),43547.8726768287)</f>
        <v>43547.87268</v>
      </c>
      <c r="D643" s="23">
        <f>IFERROR(__xludf.DUMMYFUNCTION("""COMPUTED_VALUE"""),1.028)</f>
        <v>1.028</v>
      </c>
      <c r="E643" s="24">
        <f>IFERROR(__xludf.DUMMYFUNCTION("""COMPUTED_VALUE"""),66.0)</f>
        <v>66</v>
      </c>
      <c r="F643" s="27" t="str">
        <f>IFERROR(__xludf.DUMMYFUNCTION("""COMPUTED_VALUE"""),"BLACK")</f>
        <v>BLACK</v>
      </c>
      <c r="G643" s="28" t="str">
        <f>IFERROR(__xludf.DUMMYFUNCTION("""COMPUTED_VALUE"""),"First Times a Charm Cider")</f>
        <v>First Times a Charm Cider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IFERROR(__xludf.DUMMYFUNCTION("""COMPUTED_VALUE"""),43547.8622567245)</f>
        <v>43547.86226</v>
      </c>
      <c r="D644" s="23">
        <f>IFERROR(__xludf.DUMMYFUNCTION("""COMPUTED_VALUE"""),1.028)</f>
        <v>1.028</v>
      </c>
      <c r="E644" s="24">
        <f>IFERROR(__xludf.DUMMYFUNCTION("""COMPUTED_VALUE"""),66.0)</f>
        <v>66</v>
      </c>
      <c r="F644" s="27" t="str">
        <f>IFERROR(__xludf.DUMMYFUNCTION("""COMPUTED_VALUE"""),"BLACK")</f>
        <v>BLACK</v>
      </c>
      <c r="G644" s="28" t="str">
        <f>IFERROR(__xludf.DUMMYFUNCTION("""COMPUTED_VALUE"""),"First Times a Charm Cider")</f>
        <v>First Times a Charm Cider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IFERROR(__xludf.DUMMYFUNCTION("""COMPUTED_VALUE"""),43547.8518365162)</f>
        <v>43547.85184</v>
      </c>
      <c r="D645" s="23">
        <f>IFERROR(__xludf.DUMMYFUNCTION("""COMPUTED_VALUE"""),1.028)</f>
        <v>1.028</v>
      </c>
      <c r="E645" s="24">
        <f>IFERROR(__xludf.DUMMYFUNCTION("""COMPUTED_VALUE"""),66.0)</f>
        <v>66</v>
      </c>
      <c r="F645" s="27" t="str">
        <f>IFERROR(__xludf.DUMMYFUNCTION("""COMPUTED_VALUE"""),"BLACK")</f>
        <v>BLACK</v>
      </c>
      <c r="G645" s="28" t="str">
        <f>IFERROR(__xludf.DUMMYFUNCTION("""COMPUTED_VALUE"""),"First Times a Charm Cider")</f>
        <v>First Times a Charm Cider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IFERROR(__xludf.DUMMYFUNCTION("""COMPUTED_VALUE"""),43547.8414154166)</f>
        <v>43547.84142</v>
      </c>
      <c r="D646" s="23">
        <f>IFERROR(__xludf.DUMMYFUNCTION("""COMPUTED_VALUE"""),1.028)</f>
        <v>1.028</v>
      </c>
      <c r="E646" s="24">
        <f>IFERROR(__xludf.DUMMYFUNCTION("""COMPUTED_VALUE"""),66.0)</f>
        <v>66</v>
      </c>
      <c r="F646" s="27" t="str">
        <f>IFERROR(__xludf.DUMMYFUNCTION("""COMPUTED_VALUE"""),"BLACK")</f>
        <v>BLACK</v>
      </c>
      <c r="G646" s="28" t="str">
        <f>IFERROR(__xludf.DUMMYFUNCTION("""COMPUTED_VALUE"""),"First Times a Charm Cider")</f>
        <v>First Times a Charm Cider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IFERROR(__xludf.DUMMYFUNCTION("""COMPUTED_VALUE"""),43547.8309818981)</f>
        <v>43547.83098</v>
      </c>
      <c r="D647" s="23">
        <f>IFERROR(__xludf.DUMMYFUNCTION("""COMPUTED_VALUE"""),1.028)</f>
        <v>1.028</v>
      </c>
      <c r="E647" s="24">
        <f>IFERROR(__xludf.DUMMYFUNCTION("""COMPUTED_VALUE"""),66.0)</f>
        <v>66</v>
      </c>
      <c r="F647" s="27" t="str">
        <f>IFERROR(__xludf.DUMMYFUNCTION("""COMPUTED_VALUE"""),"BLACK")</f>
        <v>BLACK</v>
      </c>
      <c r="G647" s="28" t="str">
        <f>IFERROR(__xludf.DUMMYFUNCTION("""COMPUTED_VALUE"""),"First Times a Charm Cider")</f>
        <v>First Times a Charm Cider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IFERROR(__xludf.DUMMYFUNCTION("""COMPUTED_VALUE"""),43547.8205625463)</f>
        <v>43547.82056</v>
      </c>
      <c r="D648" s="23">
        <f>IFERROR(__xludf.DUMMYFUNCTION("""COMPUTED_VALUE"""),1.028)</f>
        <v>1.028</v>
      </c>
      <c r="E648" s="24">
        <f>IFERROR(__xludf.DUMMYFUNCTION("""COMPUTED_VALUE"""),66.0)</f>
        <v>66</v>
      </c>
      <c r="F648" s="27" t="str">
        <f>IFERROR(__xludf.DUMMYFUNCTION("""COMPUTED_VALUE"""),"BLACK")</f>
        <v>BLACK</v>
      </c>
      <c r="G648" s="28" t="str">
        <f>IFERROR(__xludf.DUMMYFUNCTION("""COMPUTED_VALUE"""),"First Times a Charm Cider")</f>
        <v>First Times a Charm Cider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IFERROR(__xludf.DUMMYFUNCTION("""COMPUTED_VALUE"""),43547.8101412963)</f>
        <v>43547.81014</v>
      </c>
      <c r="D649" s="23">
        <f>IFERROR(__xludf.DUMMYFUNCTION("""COMPUTED_VALUE"""),1.028)</f>
        <v>1.028</v>
      </c>
      <c r="E649" s="24">
        <f>IFERROR(__xludf.DUMMYFUNCTION("""COMPUTED_VALUE"""),66.0)</f>
        <v>66</v>
      </c>
      <c r="F649" s="27" t="str">
        <f>IFERROR(__xludf.DUMMYFUNCTION("""COMPUTED_VALUE"""),"BLACK")</f>
        <v>BLACK</v>
      </c>
      <c r="G649" s="28" t="str">
        <f>IFERROR(__xludf.DUMMYFUNCTION("""COMPUTED_VALUE"""),"First Times a Charm Cider")</f>
        <v>First Times a Charm Cider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IFERROR(__xludf.DUMMYFUNCTION("""COMPUTED_VALUE"""),43547.7997084027)</f>
        <v>43547.79971</v>
      </c>
      <c r="D650" s="23">
        <f>IFERROR(__xludf.DUMMYFUNCTION("""COMPUTED_VALUE"""),1.028)</f>
        <v>1.028</v>
      </c>
      <c r="E650" s="24">
        <f>IFERROR(__xludf.DUMMYFUNCTION("""COMPUTED_VALUE"""),66.0)</f>
        <v>66</v>
      </c>
      <c r="F650" s="27" t="str">
        <f>IFERROR(__xludf.DUMMYFUNCTION("""COMPUTED_VALUE"""),"BLACK")</f>
        <v>BLACK</v>
      </c>
      <c r="G650" s="28" t="str">
        <f>IFERROR(__xludf.DUMMYFUNCTION("""COMPUTED_VALUE"""),"First Times a Charm Cider")</f>
        <v>First Times a Charm Cider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IFERROR(__xludf.DUMMYFUNCTION("""COMPUTED_VALUE"""),43547.7892761921)</f>
        <v>43547.78928</v>
      </c>
      <c r="D651" s="23">
        <f>IFERROR(__xludf.DUMMYFUNCTION("""COMPUTED_VALUE"""),1.028)</f>
        <v>1.028</v>
      </c>
      <c r="E651" s="24">
        <f>IFERROR(__xludf.DUMMYFUNCTION("""COMPUTED_VALUE"""),66.0)</f>
        <v>66</v>
      </c>
      <c r="F651" s="27" t="str">
        <f>IFERROR(__xludf.DUMMYFUNCTION("""COMPUTED_VALUE"""),"BLACK")</f>
        <v>BLACK</v>
      </c>
      <c r="G651" s="28" t="str">
        <f>IFERROR(__xludf.DUMMYFUNCTION("""COMPUTED_VALUE"""),"First Times a Charm Cider")</f>
        <v>First Times a Charm Cider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IFERROR(__xludf.DUMMYFUNCTION("""COMPUTED_VALUE"""),43547.7788415393)</f>
        <v>43547.77884</v>
      </c>
      <c r="D652" s="23">
        <f>IFERROR(__xludf.DUMMYFUNCTION("""COMPUTED_VALUE"""),1.028)</f>
        <v>1.028</v>
      </c>
      <c r="E652" s="24">
        <f>IFERROR(__xludf.DUMMYFUNCTION("""COMPUTED_VALUE"""),66.0)</f>
        <v>66</v>
      </c>
      <c r="F652" s="27" t="str">
        <f>IFERROR(__xludf.DUMMYFUNCTION("""COMPUTED_VALUE"""),"BLACK")</f>
        <v>BLACK</v>
      </c>
      <c r="G652" s="28" t="str">
        <f>IFERROR(__xludf.DUMMYFUNCTION("""COMPUTED_VALUE"""),"First Times a Charm Cider")</f>
        <v>First Times a Charm Cider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IFERROR(__xludf.DUMMYFUNCTION("""COMPUTED_VALUE"""),43547.768419375)</f>
        <v>43547.76842</v>
      </c>
      <c r="D653" s="23">
        <f>IFERROR(__xludf.DUMMYFUNCTION("""COMPUTED_VALUE"""),1.028)</f>
        <v>1.028</v>
      </c>
      <c r="E653" s="24">
        <f>IFERROR(__xludf.DUMMYFUNCTION("""COMPUTED_VALUE"""),66.0)</f>
        <v>66</v>
      </c>
      <c r="F653" s="27" t="str">
        <f>IFERROR(__xludf.DUMMYFUNCTION("""COMPUTED_VALUE"""),"BLACK")</f>
        <v>BLACK</v>
      </c>
      <c r="G653" s="28" t="str">
        <f>IFERROR(__xludf.DUMMYFUNCTION("""COMPUTED_VALUE"""),"First Times a Charm Cider")</f>
        <v>First Times a Charm Cider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IFERROR(__xludf.DUMMYFUNCTION("""COMPUTED_VALUE"""),43547.7579639236)</f>
        <v>43547.75796</v>
      </c>
      <c r="D654" s="23">
        <f>IFERROR(__xludf.DUMMYFUNCTION("""COMPUTED_VALUE"""),1.028)</f>
        <v>1.028</v>
      </c>
      <c r="E654" s="24">
        <f>IFERROR(__xludf.DUMMYFUNCTION("""COMPUTED_VALUE"""),66.0)</f>
        <v>66</v>
      </c>
      <c r="F654" s="27" t="str">
        <f>IFERROR(__xludf.DUMMYFUNCTION("""COMPUTED_VALUE"""),"BLACK")</f>
        <v>BLACK</v>
      </c>
      <c r="G654" s="28" t="str">
        <f>IFERROR(__xludf.DUMMYFUNCTION("""COMPUTED_VALUE"""),"First Times a Charm Cider")</f>
        <v>First Times a Charm Cider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IFERROR(__xludf.DUMMYFUNCTION("""COMPUTED_VALUE"""),43547.7475305092)</f>
        <v>43547.74753</v>
      </c>
      <c r="D655" s="23">
        <f>IFERROR(__xludf.DUMMYFUNCTION("""COMPUTED_VALUE"""),1.028)</f>
        <v>1.028</v>
      </c>
      <c r="E655" s="24">
        <f>IFERROR(__xludf.DUMMYFUNCTION("""COMPUTED_VALUE"""),66.0)</f>
        <v>66</v>
      </c>
      <c r="F655" s="27" t="str">
        <f>IFERROR(__xludf.DUMMYFUNCTION("""COMPUTED_VALUE"""),"BLACK")</f>
        <v>BLACK</v>
      </c>
      <c r="G655" s="28" t="str">
        <f>IFERROR(__xludf.DUMMYFUNCTION("""COMPUTED_VALUE"""),"First Times a Charm Cider")</f>
        <v>First Times a Charm Cider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IFERROR(__xludf.DUMMYFUNCTION("""COMPUTED_VALUE"""),43547.7371089699)</f>
        <v>43547.73711</v>
      </c>
      <c r="D656" s="23">
        <f>IFERROR(__xludf.DUMMYFUNCTION("""COMPUTED_VALUE"""),1.028)</f>
        <v>1.028</v>
      </c>
      <c r="E656" s="24">
        <f>IFERROR(__xludf.DUMMYFUNCTION("""COMPUTED_VALUE"""),66.0)</f>
        <v>66</v>
      </c>
      <c r="F656" s="27" t="str">
        <f>IFERROR(__xludf.DUMMYFUNCTION("""COMPUTED_VALUE"""),"BLACK")</f>
        <v>BLACK</v>
      </c>
      <c r="G656" s="28" t="str">
        <f>IFERROR(__xludf.DUMMYFUNCTION("""COMPUTED_VALUE"""),"First Times a Charm Cider")</f>
        <v>First Times a Charm Cider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IFERROR(__xludf.DUMMYFUNCTION("""COMPUTED_VALUE"""),43547.726675324)</f>
        <v>43547.72668</v>
      </c>
      <c r="D657" s="23">
        <f>IFERROR(__xludf.DUMMYFUNCTION("""COMPUTED_VALUE"""),1.028)</f>
        <v>1.028</v>
      </c>
      <c r="E657" s="24">
        <f>IFERROR(__xludf.DUMMYFUNCTION("""COMPUTED_VALUE"""),66.0)</f>
        <v>66</v>
      </c>
      <c r="F657" s="27" t="str">
        <f>IFERROR(__xludf.DUMMYFUNCTION("""COMPUTED_VALUE"""),"BLACK")</f>
        <v>BLACK</v>
      </c>
      <c r="G657" s="28" t="str">
        <f>IFERROR(__xludf.DUMMYFUNCTION("""COMPUTED_VALUE"""),"First Times a Charm Cider")</f>
        <v>First Times a Charm Cider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IFERROR(__xludf.DUMMYFUNCTION("""COMPUTED_VALUE"""),43547.7162196759)</f>
        <v>43547.71622</v>
      </c>
      <c r="D658" s="23">
        <f>IFERROR(__xludf.DUMMYFUNCTION("""COMPUTED_VALUE"""),1.028)</f>
        <v>1.028</v>
      </c>
      <c r="E658" s="24">
        <f>IFERROR(__xludf.DUMMYFUNCTION("""COMPUTED_VALUE"""),66.0)</f>
        <v>66</v>
      </c>
      <c r="F658" s="27" t="str">
        <f>IFERROR(__xludf.DUMMYFUNCTION("""COMPUTED_VALUE"""),"BLACK")</f>
        <v>BLACK</v>
      </c>
      <c r="G658" s="28" t="str">
        <f>IFERROR(__xludf.DUMMYFUNCTION("""COMPUTED_VALUE"""),"First Times a Charm Cider")</f>
        <v>First Times a Charm Cider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IFERROR(__xludf.DUMMYFUNCTION("""COMPUTED_VALUE"""),43547.7058001157)</f>
        <v>43547.7058</v>
      </c>
      <c r="D659" s="23">
        <f>IFERROR(__xludf.DUMMYFUNCTION("""COMPUTED_VALUE"""),1.028)</f>
        <v>1.028</v>
      </c>
      <c r="E659" s="24">
        <f>IFERROR(__xludf.DUMMYFUNCTION("""COMPUTED_VALUE"""),66.0)</f>
        <v>66</v>
      </c>
      <c r="F659" s="27" t="str">
        <f>IFERROR(__xludf.DUMMYFUNCTION("""COMPUTED_VALUE"""),"BLACK")</f>
        <v>BLACK</v>
      </c>
      <c r="G659" s="28" t="str">
        <f>IFERROR(__xludf.DUMMYFUNCTION("""COMPUTED_VALUE"""),"First Times a Charm Cider")</f>
        <v>First Times a Charm Cider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IFERROR(__xludf.DUMMYFUNCTION("""COMPUTED_VALUE"""),43547.6953667013)</f>
        <v>43547.69537</v>
      </c>
      <c r="D660" s="23">
        <f>IFERROR(__xludf.DUMMYFUNCTION("""COMPUTED_VALUE"""),1.028)</f>
        <v>1.028</v>
      </c>
      <c r="E660" s="24">
        <f>IFERROR(__xludf.DUMMYFUNCTION("""COMPUTED_VALUE"""),66.0)</f>
        <v>66</v>
      </c>
      <c r="F660" s="27" t="str">
        <f>IFERROR(__xludf.DUMMYFUNCTION("""COMPUTED_VALUE"""),"BLACK")</f>
        <v>BLACK</v>
      </c>
      <c r="G660" s="28" t="str">
        <f>IFERROR(__xludf.DUMMYFUNCTION("""COMPUTED_VALUE"""),"First Times a Charm Cider")</f>
        <v>First Times a Charm Cider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IFERROR(__xludf.DUMMYFUNCTION("""COMPUTED_VALUE"""),43547.6849450231)</f>
        <v>43547.68495</v>
      </c>
      <c r="D661" s="23">
        <f>IFERROR(__xludf.DUMMYFUNCTION("""COMPUTED_VALUE"""),1.028)</f>
        <v>1.028</v>
      </c>
      <c r="E661" s="24">
        <f>IFERROR(__xludf.DUMMYFUNCTION("""COMPUTED_VALUE"""),66.0)</f>
        <v>66</v>
      </c>
      <c r="F661" s="27" t="str">
        <f>IFERROR(__xludf.DUMMYFUNCTION("""COMPUTED_VALUE"""),"BLACK")</f>
        <v>BLACK</v>
      </c>
      <c r="G661" s="28" t="str">
        <f>IFERROR(__xludf.DUMMYFUNCTION("""COMPUTED_VALUE"""),"First Times a Charm Cider")</f>
        <v>First Times a Charm Cider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IFERROR(__xludf.DUMMYFUNCTION("""COMPUTED_VALUE"""),43547.6745144097)</f>
        <v>43547.67451</v>
      </c>
      <c r="D662" s="23">
        <f>IFERROR(__xludf.DUMMYFUNCTION("""COMPUTED_VALUE"""),1.028)</f>
        <v>1.028</v>
      </c>
      <c r="E662" s="24">
        <f>IFERROR(__xludf.DUMMYFUNCTION("""COMPUTED_VALUE"""),66.0)</f>
        <v>66</v>
      </c>
      <c r="F662" s="27" t="str">
        <f>IFERROR(__xludf.DUMMYFUNCTION("""COMPUTED_VALUE"""),"BLACK")</f>
        <v>BLACK</v>
      </c>
      <c r="G662" s="28" t="str">
        <f>IFERROR(__xludf.DUMMYFUNCTION("""COMPUTED_VALUE"""),"First Times a Charm Cider")</f>
        <v>First Times a Charm Cider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IFERROR(__xludf.DUMMYFUNCTION("""COMPUTED_VALUE"""),43547.6640934027)</f>
        <v>43547.66409</v>
      </c>
      <c r="D663" s="23">
        <f>IFERROR(__xludf.DUMMYFUNCTION("""COMPUTED_VALUE"""),1.028)</f>
        <v>1.028</v>
      </c>
      <c r="E663" s="24">
        <f>IFERROR(__xludf.DUMMYFUNCTION("""COMPUTED_VALUE"""),66.0)</f>
        <v>66</v>
      </c>
      <c r="F663" s="27" t="str">
        <f>IFERROR(__xludf.DUMMYFUNCTION("""COMPUTED_VALUE"""),"BLACK")</f>
        <v>BLACK</v>
      </c>
      <c r="G663" s="28" t="str">
        <f>IFERROR(__xludf.DUMMYFUNCTION("""COMPUTED_VALUE"""),"First Times a Charm Cider")</f>
        <v>First Times a Charm Cider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IFERROR(__xludf.DUMMYFUNCTION("""COMPUTED_VALUE"""),43547.6536720717)</f>
        <v>43547.65367</v>
      </c>
      <c r="D664" s="23">
        <f>IFERROR(__xludf.DUMMYFUNCTION("""COMPUTED_VALUE"""),1.028)</f>
        <v>1.028</v>
      </c>
      <c r="E664" s="24">
        <f>IFERROR(__xludf.DUMMYFUNCTION("""COMPUTED_VALUE"""),66.0)</f>
        <v>66</v>
      </c>
      <c r="F664" s="27" t="str">
        <f>IFERROR(__xludf.DUMMYFUNCTION("""COMPUTED_VALUE"""),"BLACK")</f>
        <v>BLACK</v>
      </c>
      <c r="G664" s="28" t="str">
        <f>IFERROR(__xludf.DUMMYFUNCTION("""COMPUTED_VALUE"""),"First Times a Charm Cider")</f>
        <v>First Times a Charm Cider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IFERROR(__xludf.DUMMYFUNCTION("""COMPUTED_VALUE"""),43547.6432390393)</f>
        <v>43547.64324</v>
      </c>
      <c r="D665" s="23">
        <f>IFERROR(__xludf.DUMMYFUNCTION("""COMPUTED_VALUE"""),1.028)</f>
        <v>1.028</v>
      </c>
      <c r="E665" s="24">
        <f>IFERROR(__xludf.DUMMYFUNCTION("""COMPUTED_VALUE"""),66.0)</f>
        <v>66</v>
      </c>
      <c r="F665" s="27" t="str">
        <f>IFERROR(__xludf.DUMMYFUNCTION("""COMPUTED_VALUE"""),"BLACK")</f>
        <v>BLACK</v>
      </c>
      <c r="G665" s="28" t="str">
        <f>IFERROR(__xludf.DUMMYFUNCTION("""COMPUTED_VALUE"""),"First Times a Charm Cider")</f>
        <v>First Times a Charm Cider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IFERROR(__xludf.DUMMYFUNCTION("""COMPUTED_VALUE"""),43547.6328058796)</f>
        <v>43547.63281</v>
      </c>
      <c r="D666" s="23">
        <f>IFERROR(__xludf.DUMMYFUNCTION("""COMPUTED_VALUE"""),1.028)</f>
        <v>1.028</v>
      </c>
      <c r="E666" s="24">
        <f>IFERROR(__xludf.DUMMYFUNCTION("""COMPUTED_VALUE"""),66.0)</f>
        <v>66</v>
      </c>
      <c r="F666" s="27" t="str">
        <f>IFERROR(__xludf.DUMMYFUNCTION("""COMPUTED_VALUE"""),"BLACK")</f>
        <v>BLACK</v>
      </c>
      <c r="G666" s="28" t="str">
        <f>IFERROR(__xludf.DUMMYFUNCTION("""COMPUTED_VALUE"""),"First Times a Charm Cider")</f>
        <v>First Times a Charm Cider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IFERROR(__xludf.DUMMYFUNCTION("""COMPUTED_VALUE"""),43547.622383368)</f>
        <v>43547.62238</v>
      </c>
      <c r="D667" s="23">
        <f>IFERROR(__xludf.DUMMYFUNCTION("""COMPUTED_VALUE"""),1.028)</f>
        <v>1.028</v>
      </c>
      <c r="E667" s="24">
        <f>IFERROR(__xludf.DUMMYFUNCTION("""COMPUTED_VALUE"""),66.0)</f>
        <v>66</v>
      </c>
      <c r="F667" s="27" t="str">
        <f>IFERROR(__xludf.DUMMYFUNCTION("""COMPUTED_VALUE"""),"BLACK")</f>
        <v>BLACK</v>
      </c>
      <c r="G667" s="28" t="str">
        <f>IFERROR(__xludf.DUMMYFUNCTION("""COMPUTED_VALUE"""),"First Times a Charm Cider")</f>
        <v>First Times a Charm Cider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IFERROR(__xludf.DUMMYFUNCTION("""COMPUTED_VALUE"""),43547.6119615277)</f>
        <v>43547.61196</v>
      </c>
      <c r="D668" s="23">
        <f>IFERROR(__xludf.DUMMYFUNCTION("""COMPUTED_VALUE"""),1.028)</f>
        <v>1.028</v>
      </c>
      <c r="E668" s="24">
        <f>IFERROR(__xludf.DUMMYFUNCTION("""COMPUTED_VALUE"""),66.0)</f>
        <v>66</v>
      </c>
      <c r="F668" s="27" t="str">
        <f>IFERROR(__xludf.DUMMYFUNCTION("""COMPUTED_VALUE"""),"BLACK")</f>
        <v>BLACK</v>
      </c>
      <c r="G668" s="28" t="str">
        <f>IFERROR(__xludf.DUMMYFUNCTION("""COMPUTED_VALUE"""),"First Times a Charm Cider")</f>
        <v>First Times a Charm Cider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IFERROR(__xludf.DUMMYFUNCTION("""COMPUTED_VALUE"""),43547.601528206)</f>
        <v>43547.60153</v>
      </c>
      <c r="D669" s="23">
        <f>IFERROR(__xludf.DUMMYFUNCTION("""COMPUTED_VALUE"""),1.028)</f>
        <v>1.028</v>
      </c>
      <c r="E669" s="24">
        <f>IFERROR(__xludf.DUMMYFUNCTION("""COMPUTED_VALUE"""),66.0)</f>
        <v>66</v>
      </c>
      <c r="F669" s="27" t="str">
        <f>IFERROR(__xludf.DUMMYFUNCTION("""COMPUTED_VALUE"""),"BLACK")</f>
        <v>BLACK</v>
      </c>
      <c r="G669" s="28" t="str">
        <f>IFERROR(__xludf.DUMMYFUNCTION("""COMPUTED_VALUE"""),"First Times a Charm Cider")</f>
        <v>First Times a Charm Cider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IFERROR(__xludf.DUMMYFUNCTION("""COMPUTED_VALUE"""),43547.5911078356)</f>
        <v>43547.59111</v>
      </c>
      <c r="D670" s="23">
        <f>IFERROR(__xludf.DUMMYFUNCTION("""COMPUTED_VALUE"""),1.028)</f>
        <v>1.028</v>
      </c>
      <c r="E670" s="24">
        <f>IFERROR(__xludf.DUMMYFUNCTION("""COMPUTED_VALUE"""),66.0)</f>
        <v>66</v>
      </c>
      <c r="F670" s="27" t="str">
        <f>IFERROR(__xludf.DUMMYFUNCTION("""COMPUTED_VALUE"""),"BLACK")</f>
        <v>BLACK</v>
      </c>
      <c r="G670" s="28" t="str">
        <f>IFERROR(__xludf.DUMMYFUNCTION("""COMPUTED_VALUE"""),"First Times a Charm Cider")</f>
        <v>First Times a Charm Cider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IFERROR(__xludf.DUMMYFUNCTION("""COMPUTED_VALUE"""),43547.5806519328)</f>
        <v>43547.58065</v>
      </c>
      <c r="D671" s="23">
        <f>IFERROR(__xludf.DUMMYFUNCTION("""COMPUTED_VALUE"""),1.028)</f>
        <v>1.028</v>
      </c>
      <c r="E671" s="24">
        <f>IFERROR(__xludf.DUMMYFUNCTION("""COMPUTED_VALUE"""),66.0)</f>
        <v>66</v>
      </c>
      <c r="F671" s="27" t="str">
        <f>IFERROR(__xludf.DUMMYFUNCTION("""COMPUTED_VALUE"""),"BLACK")</f>
        <v>BLACK</v>
      </c>
      <c r="G671" s="28" t="str">
        <f>IFERROR(__xludf.DUMMYFUNCTION("""COMPUTED_VALUE"""),"First Times a Charm Cider")</f>
        <v>First Times a Charm Cider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IFERROR(__xludf.DUMMYFUNCTION("""COMPUTED_VALUE"""),43547.5702305902)</f>
        <v>43547.57023</v>
      </c>
      <c r="D672" s="23">
        <f>IFERROR(__xludf.DUMMYFUNCTION("""COMPUTED_VALUE"""),1.028)</f>
        <v>1.028</v>
      </c>
      <c r="E672" s="24">
        <f>IFERROR(__xludf.DUMMYFUNCTION("""COMPUTED_VALUE"""),66.0)</f>
        <v>66</v>
      </c>
      <c r="F672" s="27" t="str">
        <f>IFERROR(__xludf.DUMMYFUNCTION("""COMPUTED_VALUE"""),"BLACK")</f>
        <v>BLACK</v>
      </c>
      <c r="G672" s="28" t="str">
        <f>IFERROR(__xludf.DUMMYFUNCTION("""COMPUTED_VALUE"""),"First Times a Charm Cider")</f>
        <v>First Times a Charm Cider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IFERROR(__xludf.DUMMYFUNCTION("""COMPUTED_VALUE"""),43547.5598081481)</f>
        <v>43547.55981</v>
      </c>
      <c r="D673" s="23">
        <f>IFERROR(__xludf.DUMMYFUNCTION("""COMPUTED_VALUE"""),1.028)</f>
        <v>1.028</v>
      </c>
      <c r="E673" s="24">
        <f>IFERROR(__xludf.DUMMYFUNCTION("""COMPUTED_VALUE"""),66.0)</f>
        <v>66</v>
      </c>
      <c r="F673" s="27" t="str">
        <f>IFERROR(__xludf.DUMMYFUNCTION("""COMPUTED_VALUE"""),"BLACK")</f>
        <v>BLACK</v>
      </c>
      <c r="G673" s="28" t="str">
        <f>IFERROR(__xludf.DUMMYFUNCTION("""COMPUTED_VALUE"""),"First Times a Charm Cider")</f>
        <v>First Times a Charm Cider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IFERROR(__xludf.DUMMYFUNCTION("""COMPUTED_VALUE"""),43547.5493874305)</f>
        <v>43547.54939</v>
      </c>
      <c r="D674" s="23">
        <f>IFERROR(__xludf.DUMMYFUNCTION("""COMPUTED_VALUE"""),1.028)</f>
        <v>1.028</v>
      </c>
      <c r="E674" s="24">
        <f>IFERROR(__xludf.DUMMYFUNCTION("""COMPUTED_VALUE"""),66.0)</f>
        <v>66</v>
      </c>
      <c r="F674" s="27" t="str">
        <f>IFERROR(__xludf.DUMMYFUNCTION("""COMPUTED_VALUE"""),"BLACK")</f>
        <v>BLACK</v>
      </c>
      <c r="G674" s="28" t="str">
        <f>IFERROR(__xludf.DUMMYFUNCTION("""COMPUTED_VALUE"""),"First Times a Charm Cider")</f>
        <v>First Times a Charm Cider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IFERROR(__xludf.DUMMYFUNCTION("""COMPUTED_VALUE"""),43547.5389662268)</f>
        <v>43547.53897</v>
      </c>
      <c r="D675" s="23">
        <f>IFERROR(__xludf.DUMMYFUNCTION("""COMPUTED_VALUE"""),1.028)</f>
        <v>1.028</v>
      </c>
      <c r="E675" s="24">
        <f>IFERROR(__xludf.DUMMYFUNCTION("""COMPUTED_VALUE"""),66.0)</f>
        <v>66</v>
      </c>
      <c r="F675" s="27" t="str">
        <f>IFERROR(__xludf.DUMMYFUNCTION("""COMPUTED_VALUE"""),"BLACK")</f>
        <v>BLACK</v>
      </c>
      <c r="G675" s="28" t="str">
        <f>IFERROR(__xludf.DUMMYFUNCTION("""COMPUTED_VALUE"""),"First Times a Charm Cider")</f>
        <v>First Times a Charm Cider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IFERROR(__xludf.DUMMYFUNCTION("""COMPUTED_VALUE"""),43547.5285466666)</f>
        <v>43547.52855</v>
      </c>
      <c r="D676" s="23">
        <f>IFERROR(__xludf.DUMMYFUNCTION("""COMPUTED_VALUE"""),1.028)</f>
        <v>1.028</v>
      </c>
      <c r="E676" s="24">
        <f>IFERROR(__xludf.DUMMYFUNCTION("""COMPUTED_VALUE"""),66.0)</f>
        <v>66</v>
      </c>
      <c r="F676" s="27" t="str">
        <f>IFERROR(__xludf.DUMMYFUNCTION("""COMPUTED_VALUE"""),"BLACK")</f>
        <v>BLACK</v>
      </c>
      <c r="G676" s="28" t="str">
        <f>IFERROR(__xludf.DUMMYFUNCTION("""COMPUTED_VALUE"""),"First Times a Charm Cider")</f>
        <v>First Times a Charm Cider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IFERROR(__xludf.DUMMYFUNCTION("""COMPUTED_VALUE"""),43547.5181156365)</f>
        <v>43547.51812</v>
      </c>
      <c r="D677" s="23">
        <f>IFERROR(__xludf.DUMMYFUNCTION("""COMPUTED_VALUE"""),1.028)</f>
        <v>1.028</v>
      </c>
      <c r="E677" s="24">
        <f>IFERROR(__xludf.DUMMYFUNCTION("""COMPUTED_VALUE"""),66.0)</f>
        <v>66</v>
      </c>
      <c r="F677" s="27" t="str">
        <f>IFERROR(__xludf.DUMMYFUNCTION("""COMPUTED_VALUE"""),"BLACK")</f>
        <v>BLACK</v>
      </c>
      <c r="G677" s="28" t="str">
        <f>IFERROR(__xludf.DUMMYFUNCTION("""COMPUTED_VALUE"""),"First Times a Charm Cider")</f>
        <v>First Times a Charm Cider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IFERROR(__xludf.DUMMYFUNCTION("""COMPUTED_VALUE"""),43547.5076939236)</f>
        <v>43547.50769</v>
      </c>
      <c r="D678" s="23">
        <f>IFERROR(__xludf.DUMMYFUNCTION("""COMPUTED_VALUE"""),1.028)</f>
        <v>1.028</v>
      </c>
      <c r="E678" s="24">
        <f>IFERROR(__xludf.DUMMYFUNCTION("""COMPUTED_VALUE"""),66.0)</f>
        <v>66</v>
      </c>
      <c r="F678" s="27" t="str">
        <f>IFERROR(__xludf.DUMMYFUNCTION("""COMPUTED_VALUE"""),"BLACK")</f>
        <v>BLACK</v>
      </c>
      <c r="G678" s="28" t="str">
        <f>IFERROR(__xludf.DUMMYFUNCTION("""COMPUTED_VALUE"""),"First Times a Charm Cider")</f>
        <v>First Times a Charm Cider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IFERROR(__xludf.DUMMYFUNCTION("""COMPUTED_VALUE"""),43547.4972600926)</f>
        <v>43547.49726</v>
      </c>
      <c r="D679" s="23">
        <f>IFERROR(__xludf.DUMMYFUNCTION("""COMPUTED_VALUE"""),1.028)</f>
        <v>1.028</v>
      </c>
      <c r="E679" s="24">
        <f>IFERROR(__xludf.DUMMYFUNCTION("""COMPUTED_VALUE"""),66.0)</f>
        <v>66</v>
      </c>
      <c r="F679" s="27" t="str">
        <f>IFERROR(__xludf.DUMMYFUNCTION("""COMPUTED_VALUE"""),"BLACK")</f>
        <v>BLACK</v>
      </c>
      <c r="G679" s="28" t="str">
        <f>IFERROR(__xludf.DUMMYFUNCTION("""COMPUTED_VALUE"""),"First Times a Charm Cider")</f>
        <v>First Times a Charm Cider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IFERROR(__xludf.DUMMYFUNCTION("""COMPUTED_VALUE"""),43547.4868047106)</f>
        <v>43547.4868</v>
      </c>
      <c r="D680" s="23">
        <f>IFERROR(__xludf.DUMMYFUNCTION("""COMPUTED_VALUE"""),1.028)</f>
        <v>1.028</v>
      </c>
      <c r="E680" s="24">
        <f>IFERROR(__xludf.DUMMYFUNCTION("""COMPUTED_VALUE"""),66.0)</f>
        <v>66</v>
      </c>
      <c r="F680" s="27" t="str">
        <f>IFERROR(__xludf.DUMMYFUNCTION("""COMPUTED_VALUE"""),"BLACK")</f>
        <v>BLACK</v>
      </c>
      <c r="G680" s="28" t="str">
        <f>IFERROR(__xludf.DUMMYFUNCTION("""COMPUTED_VALUE"""),"First Times a Charm Cider")</f>
        <v>First Times a Charm Cider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IFERROR(__xludf.DUMMYFUNCTION("""COMPUTED_VALUE"""),43547.4763820949)</f>
        <v>43547.47638</v>
      </c>
      <c r="D681" s="23">
        <f>IFERROR(__xludf.DUMMYFUNCTION("""COMPUTED_VALUE"""),1.028)</f>
        <v>1.028</v>
      </c>
      <c r="E681" s="24">
        <f>IFERROR(__xludf.DUMMYFUNCTION("""COMPUTED_VALUE"""),66.0)</f>
        <v>66</v>
      </c>
      <c r="F681" s="27" t="str">
        <f>IFERROR(__xludf.DUMMYFUNCTION("""COMPUTED_VALUE"""),"BLACK")</f>
        <v>BLACK</v>
      </c>
      <c r="G681" s="28" t="str">
        <f>IFERROR(__xludf.DUMMYFUNCTION("""COMPUTED_VALUE"""),"First Times a Charm Cider")</f>
        <v>First Times a Charm Cider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IFERROR(__xludf.DUMMYFUNCTION("""COMPUTED_VALUE"""),43547.465961655)</f>
        <v>43547.46596</v>
      </c>
      <c r="D682" s="23">
        <f>IFERROR(__xludf.DUMMYFUNCTION("""COMPUTED_VALUE"""),1.028)</f>
        <v>1.028</v>
      </c>
      <c r="E682" s="24">
        <f>IFERROR(__xludf.DUMMYFUNCTION("""COMPUTED_VALUE"""),66.0)</f>
        <v>66</v>
      </c>
      <c r="F682" s="27" t="str">
        <f>IFERROR(__xludf.DUMMYFUNCTION("""COMPUTED_VALUE"""),"BLACK")</f>
        <v>BLACK</v>
      </c>
      <c r="G682" s="28" t="str">
        <f>IFERROR(__xludf.DUMMYFUNCTION("""COMPUTED_VALUE"""),"First Times a Charm Cider")</f>
        <v>First Times a Charm Cider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IFERROR(__xludf.DUMMYFUNCTION("""COMPUTED_VALUE"""),43547.4555173379)</f>
        <v>43547.45552</v>
      </c>
      <c r="D683" s="23">
        <f>IFERROR(__xludf.DUMMYFUNCTION("""COMPUTED_VALUE"""),1.028)</f>
        <v>1.028</v>
      </c>
      <c r="E683" s="24">
        <f>IFERROR(__xludf.DUMMYFUNCTION("""COMPUTED_VALUE"""),66.0)</f>
        <v>66</v>
      </c>
      <c r="F683" s="27" t="str">
        <f>IFERROR(__xludf.DUMMYFUNCTION("""COMPUTED_VALUE"""),"BLACK")</f>
        <v>BLACK</v>
      </c>
      <c r="G683" s="28" t="str">
        <f>IFERROR(__xludf.DUMMYFUNCTION("""COMPUTED_VALUE"""),"First Times a Charm Cider")</f>
        <v>First Times a Charm Cider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IFERROR(__xludf.DUMMYFUNCTION("""COMPUTED_VALUE"""),43547.445071331)</f>
        <v>43547.44507</v>
      </c>
      <c r="D684" s="23">
        <f>IFERROR(__xludf.DUMMYFUNCTION("""COMPUTED_VALUE"""),1.028)</f>
        <v>1.028</v>
      </c>
      <c r="E684" s="24">
        <f>IFERROR(__xludf.DUMMYFUNCTION("""COMPUTED_VALUE"""),66.0)</f>
        <v>66</v>
      </c>
      <c r="F684" s="27" t="str">
        <f>IFERROR(__xludf.DUMMYFUNCTION("""COMPUTED_VALUE"""),"BLACK")</f>
        <v>BLACK</v>
      </c>
      <c r="G684" s="28" t="str">
        <f>IFERROR(__xludf.DUMMYFUNCTION("""COMPUTED_VALUE"""),"First Times a Charm Cider")</f>
        <v>First Times a Charm Cider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IFERROR(__xludf.DUMMYFUNCTION("""COMPUTED_VALUE"""),43547.4346508333)</f>
        <v>43547.43465</v>
      </c>
      <c r="D685" s="23">
        <f>IFERROR(__xludf.DUMMYFUNCTION("""COMPUTED_VALUE"""),1.028)</f>
        <v>1.028</v>
      </c>
      <c r="E685" s="24">
        <f>IFERROR(__xludf.DUMMYFUNCTION("""COMPUTED_VALUE"""),66.0)</f>
        <v>66</v>
      </c>
      <c r="F685" s="27" t="str">
        <f>IFERROR(__xludf.DUMMYFUNCTION("""COMPUTED_VALUE"""),"BLACK")</f>
        <v>BLACK</v>
      </c>
      <c r="G685" s="28" t="str">
        <f>IFERROR(__xludf.DUMMYFUNCTION("""COMPUTED_VALUE"""),"First Times a Charm Cider")</f>
        <v>First Times a Charm Cider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IFERROR(__xludf.DUMMYFUNCTION("""COMPUTED_VALUE"""),43547.4242292476)</f>
        <v>43547.42423</v>
      </c>
      <c r="D686" s="23">
        <f>IFERROR(__xludf.DUMMYFUNCTION("""COMPUTED_VALUE"""),1.028)</f>
        <v>1.028</v>
      </c>
      <c r="E686" s="24">
        <f>IFERROR(__xludf.DUMMYFUNCTION("""COMPUTED_VALUE"""),66.0)</f>
        <v>66</v>
      </c>
      <c r="F686" s="27" t="str">
        <f>IFERROR(__xludf.DUMMYFUNCTION("""COMPUTED_VALUE"""),"BLACK")</f>
        <v>BLACK</v>
      </c>
      <c r="G686" s="28" t="str">
        <f>IFERROR(__xludf.DUMMYFUNCTION("""COMPUTED_VALUE"""),"First Times a Charm Cider")</f>
        <v>First Times a Charm Cider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IFERROR(__xludf.DUMMYFUNCTION("""COMPUTED_VALUE"""),43547.4138084143)</f>
        <v>43547.41381</v>
      </c>
      <c r="D687" s="23">
        <f>IFERROR(__xludf.DUMMYFUNCTION("""COMPUTED_VALUE"""),1.028)</f>
        <v>1.028</v>
      </c>
      <c r="E687" s="24">
        <f>IFERROR(__xludf.DUMMYFUNCTION("""COMPUTED_VALUE"""),66.0)</f>
        <v>66</v>
      </c>
      <c r="F687" s="27" t="str">
        <f>IFERROR(__xludf.DUMMYFUNCTION("""COMPUTED_VALUE"""),"BLACK")</f>
        <v>BLACK</v>
      </c>
      <c r="G687" s="28" t="str">
        <f>IFERROR(__xludf.DUMMYFUNCTION("""COMPUTED_VALUE"""),"First Times a Charm Cider")</f>
        <v>First Times a Charm Cider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IFERROR(__xludf.DUMMYFUNCTION("""COMPUTED_VALUE"""),43547.403365243)</f>
        <v>43547.40337</v>
      </c>
      <c r="D688" s="23">
        <f>IFERROR(__xludf.DUMMYFUNCTION("""COMPUTED_VALUE"""),1.028)</f>
        <v>1.028</v>
      </c>
      <c r="E688" s="24">
        <f>IFERROR(__xludf.DUMMYFUNCTION("""COMPUTED_VALUE"""),66.0)</f>
        <v>66</v>
      </c>
      <c r="F688" s="27" t="str">
        <f>IFERROR(__xludf.DUMMYFUNCTION("""COMPUTED_VALUE"""),"BLACK")</f>
        <v>BLACK</v>
      </c>
      <c r="G688" s="28" t="str">
        <f>IFERROR(__xludf.DUMMYFUNCTION("""COMPUTED_VALUE"""),"First Times a Charm Cider")</f>
        <v>First Times a Charm Cider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IFERROR(__xludf.DUMMYFUNCTION("""COMPUTED_VALUE"""),43547.3929323611)</f>
        <v>43547.39293</v>
      </c>
      <c r="D689" s="23">
        <f>IFERROR(__xludf.DUMMYFUNCTION("""COMPUTED_VALUE"""),1.028)</f>
        <v>1.028</v>
      </c>
      <c r="E689" s="24">
        <f>IFERROR(__xludf.DUMMYFUNCTION("""COMPUTED_VALUE"""),66.0)</f>
        <v>66</v>
      </c>
      <c r="F689" s="27" t="str">
        <f>IFERROR(__xludf.DUMMYFUNCTION("""COMPUTED_VALUE"""),"BLACK")</f>
        <v>BLACK</v>
      </c>
      <c r="G689" s="28" t="str">
        <f>IFERROR(__xludf.DUMMYFUNCTION("""COMPUTED_VALUE"""),"First Times a Charm Cider")</f>
        <v>First Times a Charm Cider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IFERROR(__xludf.DUMMYFUNCTION("""COMPUTED_VALUE"""),43547.382510949)</f>
        <v>43547.38251</v>
      </c>
      <c r="D690" s="23">
        <f>IFERROR(__xludf.DUMMYFUNCTION("""COMPUTED_VALUE"""),1.028)</f>
        <v>1.028</v>
      </c>
      <c r="E690" s="24">
        <f>IFERROR(__xludf.DUMMYFUNCTION("""COMPUTED_VALUE"""),66.0)</f>
        <v>66</v>
      </c>
      <c r="F690" s="27" t="str">
        <f>IFERROR(__xludf.DUMMYFUNCTION("""COMPUTED_VALUE"""),"BLACK")</f>
        <v>BLACK</v>
      </c>
      <c r="G690" s="28" t="str">
        <f>IFERROR(__xludf.DUMMYFUNCTION("""COMPUTED_VALUE"""),"First Times a Charm Cider")</f>
        <v>First Times a Charm Cider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IFERROR(__xludf.DUMMYFUNCTION("""COMPUTED_VALUE"""),43547.3720908796)</f>
        <v>43547.37209</v>
      </c>
      <c r="D691" s="23">
        <f>IFERROR(__xludf.DUMMYFUNCTION("""COMPUTED_VALUE"""),1.028)</f>
        <v>1.028</v>
      </c>
      <c r="E691" s="24">
        <f>IFERROR(__xludf.DUMMYFUNCTION("""COMPUTED_VALUE"""),66.0)</f>
        <v>66</v>
      </c>
      <c r="F691" s="27" t="str">
        <f>IFERROR(__xludf.DUMMYFUNCTION("""COMPUTED_VALUE"""),"BLACK")</f>
        <v>BLACK</v>
      </c>
      <c r="G691" s="28" t="str">
        <f>IFERROR(__xludf.DUMMYFUNCTION("""COMPUTED_VALUE"""),"First Times a Charm Cider")</f>
        <v>First Times a Charm Cider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IFERROR(__xludf.DUMMYFUNCTION("""COMPUTED_VALUE"""),43547.3616682175)</f>
        <v>43547.36167</v>
      </c>
      <c r="D692" s="23">
        <f>IFERROR(__xludf.DUMMYFUNCTION("""COMPUTED_VALUE"""),1.028)</f>
        <v>1.028</v>
      </c>
      <c r="E692" s="24">
        <f>IFERROR(__xludf.DUMMYFUNCTION("""COMPUTED_VALUE"""),66.0)</f>
        <v>66</v>
      </c>
      <c r="F692" s="27" t="str">
        <f>IFERROR(__xludf.DUMMYFUNCTION("""COMPUTED_VALUE"""),"BLACK")</f>
        <v>BLACK</v>
      </c>
      <c r="G692" s="28" t="str">
        <f>IFERROR(__xludf.DUMMYFUNCTION("""COMPUTED_VALUE"""),"First Times a Charm Cider")</f>
        <v>First Times a Charm Cider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IFERROR(__xludf.DUMMYFUNCTION("""COMPUTED_VALUE"""),43547.351225081)</f>
        <v>43547.35123</v>
      </c>
      <c r="D693" s="23">
        <f>IFERROR(__xludf.DUMMYFUNCTION("""COMPUTED_VALUE"""),1.028)</f>
        <v>1.028</v>
      </c>
      <c r="E693" s="24">
        <f>IFERROR(__xludf.DUMMYFUNCTION("""COMPUTED_VALUE"""),66.0)</f>
        <v>66</v>
      </c>
      <c r="F693" s="27" t="str">
        <f>IFERROR(__xludf.DUMMYFUNCTION("""COMPUTED_VALUE"""),"BLACK")</f>
        <v>BLACK</v>
      </c>
      <c r="G693" s="28" t="str">
        <f>IFERROR(__xludf.DUMMYFUNCTION("""COMPUTED_VALUE"""),"First Times a Charm Cider")</f>
        <v>First Times a Charm Cider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IFERROR(__xludf.DUMMYFUNCTION("""COMPUTED_VALUE"""),43547.3408027314)</f>
        <v>43547.3408</v>
      </c>
      <c r="D694" s="23">
        <f>IFERROR(__xludf.DUMMYFUNCTION("""COMPUTED_VALUE"""),1.028)</f>
        <v>1.028</v>
      </c>
      <c r="E694" s="24">
        <f>IFERROR(__xludf.DUMMYFUNCTION("""COMPUTED_VALUE"""),66.0)</f>
        <v>66</v>
      </c>
      <c r="F694" s="27" t="str">
        <f>IFERROR(__xludf.DUMMYFUNCTION("""COMPUTED_VALUE"""),"BLACK")</f>
        <v>BLACK</v>
      </c>
      <c r="G694" s="28" t="str">
        <f>IFERROR(__xludf.DUMMYFUNCTION("""COMPUTED_VALUE"""),"First Times a Charm Cider")</f>
        <v>First Times a Charm Cider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IFERROR(__xludf.DUMMYFUNCTION("""COMPUTED_VALUE"""),43547.3303698379)</f>
        <v>43547.33037</v>
      </c>
      <c r="D695" s="23">
        <f>IFERROR(__xludf.DUMMYFUNCTION("""COMPUTED_VALUE"""),1.028)</f>
        <v>1.028</v>
      </c>
      <c r="E695" s="24">
        <f>IFERROR(__xludf.DUMMYFUNCTION("""COMPUTED_VALUE"""),66.0)</f>
        <v>66</v>
      </c>
      <c r="F695" s="27" t="str">
        <f>IFERROR(__xludf.DUMMYFUNCTION("""COMPUTED_VALUE"""),"BLACK")</f>
        <v>BLACK</v>
      </c>
      <c r="G695" s="28" t="str">
        <f>IFERROR(__xludf.DUMMYFUNCTION("""COMPUTED_VALUE"""),"First Times a Charm Cider")</f>
        <v>First Times a Charm Cider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IFERROR(__xludf.DUMMYFUNCTION("""COMPUTED_VALUE"""),43547.319948993)</f>
        <v>43547.31995</v>
      </c>
      <c r="D696" s="23">
        <f>IFERROR(__xludf.DUMMYFUNCTION("""COMPUTED_VALUE"""),1.028)</f>
        <v>1.028</v>
      </c>
      <c r="E696" s="24">
        <f>IFERROR(__xludf.DUMMYFUNCTION("""COMPUTED_VALUE"""),66.0)</f>
        <v>66</v>
      </c>
      <c r="F696" s="27" t="str">
        <f>IFERROR(__xludf.DUMMYFUNCTION("""COMPUTED_VALUE"""),"BLACK")</f>
        <v>BLACK</v>
      </c>
      <c r="G696" s="28" t="str">
        <f>IFERROR(__xludf.DUMMYFUNCTION("""COMPUTED_VALUE"""),"First Times a Charm Cider")</f>
        <v>First Times a Charm Cider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IFERROR(__xludf.DUMMYFUNCTION("""COMPUTED_VALUE"""),43547.3095273263)</f>
        <v>43547.30953</v>
      </c>
      <c r="D697" s="23">
        <f>IFERROR(__xludf.DUMMYFUNCTION("""COMPUTED_VALUE"""),1.028)</f>
        <v>1.028</v>
      </c>
      <c r="E697" s="24">
        <f>IFERROR(__xludf.DUMMYFUNCTION("""COMPUTED_VALUE"""),66.0)</f>
        <v>66</v>
      </c>
      <c r="F697" s="27" t="str">
        <f>IFERROR(__xludf.DUMMYFUNCTION("""COMPUTED_VALUE"""),"BLACK")</f>
        <v>BLACK</v>
      </c>
      <c r="G697" s="28" t="str">
        <f>IFERROR(__xludf.DUMMYFUNCTION("""COMPUTED_VALUE"""),"First Times a Charm Cider")</f>
        <v>First Times a Charm Cider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IFERROR(__xludf.DUMMYFUNCTION("""COMPUTED_VALUE"""),43547.29910603)</f>
        <v>43547.29911</v>
      </c>
      <c r="D698" s="23">
        <f>IFERROR(__xludf.DUMMYFUNCTION("""COMPUTED_VALUE"""),1.028)</f>
        <v>1.028</v>
      </c>
      <c r="E698" s="24">
        <f>IFERROR(__xludf.DUMMYFUNCTION("""COMPUTED_VALUE"""),66.0)</f>
        <v>66</v>
      </c>
      <c r="F698" s="27" t="str">
        <f>IFERROR(__xludf.DUMMYFUNCTION("""COMPUTED_VALUE"""),"BLACK")</f>
        <v>BLACK</v>
      </c>
      <c r="G698" s="28" t="str">
        <f>IFERROR(__xludf.DUMMYFUNCTION("""COMPUTED_VALUE"""),"First Times a Charm Cider")</f>
        <v>First Times a Charm Cider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IFERROR(__xludf.DUMMYFUNCTION("""COMPUTED_VALUE"""),43547.2886740624)</f>
        <v>43547.28867</v>
      </c>
      <c r="D699" s="23">
        <f>IFERROR(__xludf.DUMMYFUNCTION("""COMPUTED_VALUE"""),1.028)</f>
        <v>1.028</v>
      </c>
      <c r="E699" s="24">
        <f>IFERROR(__xludf.DUMMYFUNCTION("""COMPUTED_VALUE"""),66.0)</f>
        <v>66</v>
      </c>
      <c r="F699" s="27" t="str">
        <f>IFERROR(__xludf.DUMMYFUNCTION("""COMPUTED_VALUE"""),"BLACK")</f>
        <v>BLACK</v>
      </c>
      <c r="G699" s="28" t="str">
        <f>IFERROR(__xludf.DUMMYFUNCTION("""COMPUTED_VALUE"""),"First Times a Charm Cider")</f>
        <v>First Times a Charm Cider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IFERROR(__xludf.DUMMYFUNCTION("""COMPUTED_VALUE"""),43547.2782515972)</f>
        <v>43547.27825</v>
      </c>
      <c r="D700" s="23">
        <f>IFERROR(__xludf.DUMMYFUNCTION("""COMPUTED_VALUE"""),1.028)</f>
        <v>1.028</v>
      </c>
      <c r="E700" s="24">
        <f>IFERROR(__xludf.DUMMYFUNCTION("""COMPUTED_VALUE"""),66.0)</f>
        <v>66</v>
      </c>
      <c r="F700" s="27" t="str">
        <f>IFERROR(__xludf.DUMMYFUNCTION("""COMPUTED_VALUE"""),"BLACK")</f>
        <v>BLACK</v>
      </c>
      <c r="G700" s="28" t="str">
        <f>IFERROR(__xludf.DUMMYFUNCTION("""COMPUTED_VALUE"""),"First Times a Charm Cider")</f>
        <v>First Times a Charm Cider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IFERROR(__xludf.DUMMYFUNCTION("""COMPUTED_VALUE"""),43547.267817743)</f>
        <v>43547.26782</v>
      </c>
      <c r="D701" s="23">
        <f>IFERROR(__xludf.DUMMYFUNCTION("""COMPUTED_VALUE"""),1.029)</f>
        <v>1.029</v>
      </c>
      <c r="E701" s="24">
        <f>IFERROR(__xludf.DUMMYFUNCTION("""COMPUTED_VALUE"""),66.0)</f>
        <v>66</v>
      </c>
      <c r="F701" s="27" t="str">
        <f>IFERROR(__xludf.DUMMYFUNCTION("""COMPUTED_VALUE"""),"BLACK")</f>
        <v>BLACK</v>
      </c>
      <c r="G701" s="28" t="str">
        <f>IFERROR(__xludf.DUMMYFUNCTION("""COMPUTED_VALUE"""),"First Times a Charm Cider")</f>
        <v>First Times a Charm Cider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IFERROR(__xludf.DUMMYFUNCTION("""COMPUTED_VALUE"""),43547.2573867013)</f>
        <v>43547.25739</v>
      </c>
      <c r="D702" s="23">
        <f>IFERROR(__xludf.DUMMYFUNCTION("""COMPUTED_VALUE"""),1.028)</f>
        <v>1.028</v>
      </c>
      <c r="E702" s="24">
        <f>IFERROR(__xludf.DUMMYFUNCTION("""COMPUTED_VALUE"""),66.0)</f>
        <v>66</v>
      </c>
      <c r="F702" s="27" t="str">
        <f>IFERROR(__xludf.DUMMYFUNCTION("""COMPUTED_VALUE"""),"BLACK")</f>
        <v>BLACK</v>
      </c>
      <c r="G702" s="28" t="str">
        <f>IFERROR(__xludf.DUMMYFUNCTION("""COMPUTED_VALUE"""),"First Times a Charm Cider")</f>
        <v>First Times a Charm Cider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IFERROR(__xludf.DUMMYFUNCTION("""COMPUTED_VALUE"""),43547.2469649074)</f>
        <v>43547.24696</v>
      </c>
      <c r="D703" s="23">
        <f>IFERROR(__xludf.DUMMYFUNCTION("""COMPUTED_VALUE"""),1.028)</f>
        <v>1.028</v>
      </c>
      <c r="E703" s="24">
        <f>IFERROR(__xludf.DUMMYFUNCTION("""COMPUTED_VALUE"""),66.0)</f>
        <v>66</v>
      </c>
      <c r="F703" s="27" t="str">
        <f>IFERROR(__xludf.DUMMYFUNCTION("""COMPUTED_VALUE"""),"BLACK")</f>
        <v>BLACK</v>
      </c>
      <c r="G703" s="28" t="str">
        <f>IFERROR(__xludf.DUMMYFUNCTION("""COMPUTED_VALUE"""),"First Times a Charm Cider")</f>
        <v>First Times a Charm Cider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IFERROR(__xludf.DUMMYFUNCTION("""COMPUTED_VALUE"""),43547.2365432523)</f>
        <v>43547.23654</v>
      </c>
      <c r="D704" s="23">
        <f>IFERROR(__xludf.DUMMYFUNCTION("""COMPUTED_VALUE"""),1.029)</f>
        <v>1.029</v>
      </c>
      <c r="E704" s="24">
        <f>IFERROR(__xludf.DUMMYFUNCTION("""COMPUTED_VALUE"""),66.0)</f>
        <v>66</v>
      </c>
      <c r="F704" s="27" t="str">
        <f>IFERROR(__xludf.DUMMYFUNCTION("""COMPUTED_VALUE"""),"BLACK")</f>
        <v>BLACK</v>
      </c>
      <c r="G704" s="28" t="str">
        <f>IFERROR(__xludf.DUMMYFUNCTION("""COMPUTED_VALUE"""),"First Times a Charm Cider")</f>
        <v>First Times a Charm Cider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IFERROR(__xludf.DUMMYFUNCTION("""COMPUTED_VALUE"""),43547.2261213541)</f>
        <v>43547.22612</v>
      </c>
      <c r="D705" s="23">
        <f>IFERROR(__xludf.DUMMYFUNCTION("""COMPUTED_VALUE"""),1.028)</f>
        <v>1.028</v>
      </c>
      <c r="E705" s="24">
        <f>IFERROR(__xludf.DUMMYFUNCTION("""COMPUTED_VALUE"""),66.0)</f>
        <v>66</v>
      </c>
      <c r="F705" s="27" t="str">
        <f>IFERROR(__xludf.DUMMYFUNCTION("""COMPUTED_VALUE"""),"BLACK")</f>
        <v>BLACK</v>
      </c>
      <c r="G705" s="28" t="str">
        <f>IFERROR(__xludf.DUMMYFUNCTION("""COMPUTED_VALUE"""),"First Times a Charm Cider")</f>
        <v>First Times a Charm Cider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IFERROR(__xludf.DUMMYFUNCTION("""COMPUTED_VALUE"""),43547.215700625)</f>
        <v>43547.2157</v>
      </c>
      <c r="D706" s="23">
        <f>IFERROR(__xludf.DUMMYFUNCTION("""COMPUTED_VALUE"""),1.028)</f>
        <v>1.028</v>
      </c>
      <c r="E706" s="24">
        <f>IFERROR(__xludf.DUMMYFUNCTION("""COMPUTED_VALUE"""),67.0)</f>
        <v>67</v>
      </c>
      <c r="F706" s="27" t="str">
        <f>IFERROR(__xludf.DUMMYFUNCTION("""COMPUTED_VALUE"""),"BLACK")</f>
        <v>BLACK</v>
      </c>
      <c r="G706" s="28" t="str">
        <f>IFERROR(__xludf.DUMMYFUNCTION("""COMPUTED_VALUE"""),"First Times a Charm Cider")</f>
        <v>First Times a Charm Cider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IFERROR(__xludf.DUMMYFUNCTION("""COMPUTED_VALUE"""),43547.2052686458)</f>
        <v>43547.20527</v>
      </c>
      <c r="D707" s="23">
        <f>IFERROR(__xludf.DUMMYFUNCTION("""COMPUTED_VALUE"""),1.028)</f>
        <v>1.028</v>
      </c>
      <c r="E707" s="24">
        <f>IFERROR(__xludf.DUMMYFUNCTION("""COMPUTED_VALUE"""),66.0)</f>
        <v>66</v>
      </c>
      <c r="F707" s="27" t="str">
        <f>IFERROR(__xludf.DUMMYFUNCTION("""COMPUTED_VALUE"""),"BLACK")</f>
        <v>BLACK</v>
      </c>
      <c r="G707" s="28" t="str">
        <f>IFERROR(__xludf.DUMMYFUNCTION("""COMPUTED_VALUE"""),"First Times a Charm Cider")</f>
        <v>First Times a Charm Cider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IFERROR(__xludf.DUMMYFUNCTION("""COMPUTED_VALUE"""),43547.1948469676)</f>
        <v>43547.19485</v>
      </c>
      <c r="D708" s="23">
        <f>IFERROR(__xludf.DUMMYFUNCTION("""COMPUTED_VALUE"""),1.028)</f>
        <v>1.028</v>
      </c>
      <c r="E708" s="24">
        <f>IFERROR(__xludf.DUMMYFUNCTION("""COMPUTED_VALUE"""),66.0)</f>
        <v>66</v>
      </c>
      <c r="F708" s="27" t="str">
        <f>IFERROR(__xludf.DUMMYFUNCTION("""COMPUTED_VALUE"""),"BLACK")</f>
        <v>BLACK</v>
      </c>
      <c r="G708" s="28" t="str">
        <f>IFERROR(__xludf.DUMMYFUNCTION("""COMPUTED_VALUE"""),"First Times a Charm Cider")</f>
        <v>First Times a Charm Cider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IFERROR(__xludf.DUMMYFUNCTION("""COMPUTED_VALUE"""),43547.1844245601)</f>
        <v>43547.18442</v>
      </c>
      <c r="D709" s="23">
        <f>IFERROR(__xludf.DUMMYFUNCTION("""COMPUTED_VALUE"""),1.029)</f>
        <v>1.029</v>
      </c>
      <c r="E709" s="24">
        <f>IFERROR(__xludf.DUMMYFUNCTION("""COMPUTED_VALUE"""),66.0)</f>
        <v>66</v>
      </c>
      <c r="F709" s="27" t="str">
        <f>IFERROR(__xludf.DUMMYFUNCTION("""COMPUTED_VALUE"""),"BLACK")</f>
        <v>BLACK</v>
      </c>
      <c r="G709" s="28" t="str">
        <f>IFERROR(__xludf.DUMMYFUNCTION("""COMPUTED_VALUE"""),"First Times a Charm Cider")</f>
        <v>First Times a Charm Cider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IFERROR(__xludf.DUMMYFUNCTION("""COMPUTED_VALUE"""),43547.1739940625)</f>
        <v>43547.17399</v>
      </c>
      <c r="D710" s="23">
        <f>IFERROR(__xludf.DUMMYFUNCTION("""COMPUTED_VALUE"""),1.029)</f>
        <v>1.029</v>
      </c>
      <c r="E710" s="24">
        <f>IFERROR(__xludf.DUMMYFUNCTION("""COMPUTED_VALUE"""),66.0)</f>
        <v>66</v>
      </c>
      <c r="F710" s="27" t="str">
        <f>IFERROR(__xludf.DUMMYFUNCTION("""COMPUTED_VALUE"""),"BLACK")</f>
        <v>BLACK</v>
      </c>
      <c r="G710" s="28" t="str">
        <f>IFERROR(__xludf.DUMMYFUNCTION("""COMPUTED_VALUE"""),"First Times a Charm Cider")</f>
        <v>First Times a Charm Cider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IFERROR(__xludf.DUMMYFUNCTION("""COMPUTED_VALUE"""),43547.1635616203)</f>
        <v>43547.16356</v>
      </c>
      <c r="D711" s="23">
        <f>IFERROR(__xludf.DUMMYFUNCTION("""COMPUTED_VALUE"""),1.029)</f>
        <v>1.029</v>
      </c>
      <c r="E711" s="24">
        <f>IFERROR(__xludf.DUMMYFUNCTION("""COMPUTED_VALUE"""),66.0)</f>
        <v>66</v>
      </c>
      <c r="F711" s="27" t="str">
        <f>IFERROR(__xludf.DUMMYFUNCTION("""COMPUTED_VALUE"""),"BLACK")</f>
        <v>BLACK</v>
      </c>
      <c r="G711" s="28" t="str">
        <f>IFERROR(__xludf.DUMMYFUNCTION("""COMPUTED_VALUE"""),"First Times a Charm Cider")</f>
        <v>First Times a Charm Cider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IFERROR(__xludf.DUMMYFUNCTION("""COMPUTED_VALUE"""),43547.1531419328)</f>
        <v>43547.15314</v>
      </c>
      <c r="D712" s="23">
        <f>IFERROR(__xludf.DUMMYFUNCTION("""COMPUTED_VALUE"""),1.028)</f>
        <v>1.028</v>
      </c>
      <c r="E712" s="24">
        <f>IFERROR(__xludf.DUMMYFUNCTION("""COMPUTED_VALUE"""),66.0)</f>
        <v>66</v>
      </c>
      <c r="F712" s="27" t="str">
        <f>IFERROR(__xludf.DUMMYFUNCTION("""COMPUTED_VALUE"""),"BLACK")</f>
        <v>BLACK</v>
      </c>
      <c r="G712" s="28" t="str">
        <f>IFERROR(__xludf.DUMMYFUNCTION("""COMPUTED_VALUE"""),"First Times a Charm Cider")</f>
        <v>First Times a Charm Cider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IFERROR(__xludf.DUMMYFUNCTION("""COMPUTED_VALUE"""),43547.1427210879)</f>
        <v>43547.14272</v>
      </c>
      <c r="D713" s="23">
        <f>IFERROR(__xludf.DUMMYFUNCTION("""COMPUTED_VALUE"""),1.029)</f>
        <v>1.029</v>
      </c>
      <c r="E713" s="24">
        <f>IFERROR(__xludf.DUMMYFUNCTION("""COMPUTED_VALUE"""),66.0)</f>
        <v>66</v>
      </c>
      <c r="F713" s="27" t="str">
        <f>IFERROR(__xludf.DUMMYFUNCTION("""COMPUTED_VALUE"""),"BLACK")</f>
        <v>BLACK</v>
      </c>
      <c r="G713" s="28" t="str">
        <f>IFERROR(__xludf.DUMMYFUNCTION("""COMPUTED_VALUE"""),"First Times a Charm Cider")</f>
        <v>First Times a Charm Cider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IFERROR(__xludf.DUMMYFUNCTION("""COMPUTED_VALUE"""),43547.132300405)</f>
        <v>43547.1323</v>
      </c>
      <c r="D714" s="23">
        <f>IFERROR(__xludf.DUMMYFUNCTION("""COMPUTED_VALUE"""),1.028)</f>
        <v>1.028</v>
      </c>
      <c r="E714" s="24">
        <f>IFERROR(__xludf.DUMMYFUNCTION("""COMPUTED_VALUE"""),66.0)</f>
        <v>66</v>
      </c>
      <c r="F714" s="27" t="str">
        <f>IFERROR(__xludf.DUMMYFUNCTION("""COMPUTED_VALUE"""),"BLACK")</f>
        <v>BLACK</v>
      </c>
      <c r="G714" s="28" t="str">
        <f>IFERROR(__xludf.DUMMYFUNCTION("""COMPUTED_VALUE"""),"First Times a Charm Cider")</f>
        <v>First Times a Charm Cider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IFERROR(__xludf.DUMMYFUNCTION("""COMPUTED_VALUE"""),43547.1218785879)</f>
        <v>43547.12188</v>
      </c>
      <c r="D715" s="23">
        <f>IFERROR(__xludf.DUMMYFUNCTION("""COMPUTED_VALUE"""),1.029)</f>
        <v>1.029</v>
      </c>
      <c r="E715" s="24">
        <f>IFERROR(__xludf.DUMMYFUNCTION("""COMPUTED_VALUE"""),66.0)</f>
        <v>66</v>
      </c>
      <c r="F715" s="27" t="str">
        <f>IFERROR(__xludf.DUMMYFUNCTION("""COMPUTED_VALUE"""),"BLACK")</f>
        <v>BLACK</v>
      </c>
      <c r="G715" s="28" t="str">
        <f>IFERROR(__xludf.DUMMYFUNCTION("""COMPUTED_VALUE"""),"First Times a Charm Cider")</f>
        <v>First Times a Charm Cider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IFERROR(__xludf.DUMMYFUNCTION("""COMPUTED_VALUE"""),43547.1114595717)</f>
        <v>43547.11146</v>
      </c>
      <c r="D716" s="23">
        <f>IFERROR(__xludf.DUMMYFUNCTION("""COMPUTED_VALUE"""),1.029)</f>
        <v>1.029</v>
      </c>
      <c r="E716" s="24">
        <f>IFERROR(__xludf.DUMMYFUNCTION("""COMPUTED_VALUE"""),66.0)</f>
        <v>66</v>
      </c>
      <c r="F716" s="27" t="str">
        <f>IFERROR(__xludf.DUMMYFUNCTION("""COMPUTED_VALUE"""),"BLACK")</f>
        <v>BLACK</v>
      </c>
      <c r="G716" s="28" t="str">
        <f>IFERROR(__xludf.DUMMYFUNCTION("""COMPUTED_VALUE"""),"First Times a Charm Cider")</f>
        <v>First Times a Charm Cider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IFERROR(__xludf.DUMMYFUNCTION("""COMPUTED_VALUE"""),43547.1010260995)</f>
        <v>43547.10103</v>
      </c>
      <c r="D717" s="23">
        <f>IFERROR(__xludf.DUMMYFUNCTION("""COMPUTED_VALUE"""),1.029)</f>
        <v>1.029</v>
      </c>
      <c r="E717" s="24">
        <f>IFERROR(__xludf.DUMMYFUNCTION("""COMPUTED_VALUE"""),66.0)</f>
        <v>66</v>
      </c>
      <c r="F717" s="27" t="str">
        <f>IFERROR(__xludf.DUMMYFUNCTION("""COMPUTED_VALUE"""),"BLACK")</f>
        <v>BLACK</v>
      </c>
      <c r="G717" s="28" t="str">
        <f>IFERROR(__xludf.DUMMYFUNCTION("""COMPUTED_VALUE"""),"First Times a Charm Cider")</f>
        <v>First Times a Charm Cider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IFERROR(__xludf.DUMMYFUNCTION("""COMPUTED_VALUE"""),43547.0906040625)</f>
        <v>43547.0906</v>
      </c>
      <c r="D718" s="23">
        <f>IFERROR(__xludf.DUMMYFUNCTION("""COMPUTED_VALUE"""),1.028)</f>
        <v>1.028</v>
      </c>
      <c r="E718" s="24">
        <f>IFERROR(__xludf.DUMMYFUNCTION("""COMPUTED_VALUE"""),66.0)</f>
        <v>66</v>
      </c>
      <c r="F718" s="27" t="str">
        <f>IFERROR(__xludf.DUMMYFUNCTION("""COMPUTED_VALUE"""),"BLACK")</f>
        <v>BLACK</v>
      </c>
      <c r="G718" s="28" t="str">
        <f>IFERROR(__xludf.DUMMYFUNCTION("""COMPUTED_VALUE"""),"First Times a Charm Cider")</f>
        <v>First Times a Charm Cider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IFERROR(__xludf.DUMMYFUNCTION("""COMPUTED_VALUE"""),43547.0801822685)</f>
        <v>43547.08018</v>
      </c>
      <c r="D719" s="23">
        <f>IFERROR(__xludf.DUMMYFUNCTION("""COMPUTED_VALUE"""),1.029)</f>
        <v>1.029</v>
      </c>
      <c r="E719" s="24">
        <f>IFERROR(__xludf.DUMMYFUNCTION("""COMPUTED_VALUE"""),66.0)</f>
        <v>66</v>
      </c>
      <c r="F719" s="27" t="str">
        <f>IFERROR(__xludf.DUMMYFUNCTION("""COMPUTED_VALUE"""),"BLACK")</f>
        <v>BLACK</v>
      </c>
      <c r="G719" s="28" t="str">
        <f>IFERROR(__xludf.DUMMYFUNCTION("""COMPUTED_VALUE"""),"First Times a Charm Cider")</f>
        <v>First Times a Charm Cider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IFERROR(__xludf.DUMMYFUNCTION("""COMPUTED_VALUE"""),43547.0697608333)</f>
        <v>43547.06976</v>
      </c>
      <c r="D720" s="23">
        <f>IFERROR(__xludf.DUMMYFUNCTION("""COMPUTED_VALUE"""),1.029)</f>
        <v>1.029</v>
      </c>
      <c r="E720" s="24">
        <f>IFERROR(__xludf.DUMMYFUNCTION("""COMPUTED_VALUE"""),66.0)</f>
        <v>66</v>
      </c>
      <c r="F720" s="27" t="str">
        <f>IFERROR(__xludf.DUMMYFUNCTION("""COMPUTED_VALUE"""),"BLACK")</f>
        <v>BLACK</v>
      </c>
      <c r="G720" s="28" t="str">
        <f>IFERROR(__xludf.DUMMYFUNCTION("""COMPUTED_VALUE"""),"First Times a Charm Cider")</f>
        <v>First Times a Charm Cider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IFERROR(__xludf.DUMMYFUNCTION("""COMPUTED_VALUE"""),43547.0593262731)</f>
        <v>43547.05933</v>
      </c>
      <c r="D721" s="23">
        <f>IFERROR(__xludf.DUMMYFUNCTION("""COMPUTED_VALUE"""),1.029)</f>
        <v>1.029</v>
      </c>
      <c r="E721" s="24">
        <f>IFERROR(__xludf.DUMMYFUNCTION("""COMPUTED_VALUE"""),66.0)</f>
        <v>66</v>
      </c>
      <c r="F721" s="27" t="str">
        <f>IFERROR(__xludf.DUMMYFUNCTION("""COMPUTED_VALUE"""),"BLACK")</f>
        <v>BLACK</v>
      </c>
      <c r="G721" s="28" t="str">
        <f>IFERROR(__xludf.DUMMYFUNCTION("""COMPUTED_VALUE"""),"First Times a Charm Cider")</f>
        <v>First Times a Charm Cider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IFERROR(__xludf.DUMMYFUNCTION("""COMPUTED_VALUE"""),43547.0489059374)</f>
        <v>43547.04891</v>
      </c>
      <c r="D722" s="23">
        <f>IFERROR(__xludf.DUMMYFUNCTION("""COMPUTED_VALUE"""),1.029)</f>
        <v>1.029</v>
      </c>
      <c r="E722" s="24">
        <f>IFERROR(__xludf.DUMMYFUNCTION("""COMPUTED_VALUE"""),66.0)</f>
        <v>66</v>
      </c>
      <c r="F722" s="27" t="str">
        <f>IFERROR(__xludf.DUMMYFUNCTION("""COMPUTED_VALUE"""),"BLACK")</f>
        <v>BLACK</v>
      </c>
      <c r="G722" s="28" t="str">
        <f>IFERROR(__xludf.DUMMYFUNCTION("""COMPUTED_VALUE"""),"First Times a Charm Cider")</f>
        <v>First Times a Charm Cider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IFERROR(__xludf.DUMMYFUNCTION("""COMPUTED_VALUE"""),43547.0384847338)</f>
        <v>43547.03848</v>
      </c>
      <c r="D723" s="23">
        <f>IFERROR(__xludf.DUMMYFUNCTION("""COMPUTED_VALUE"""),1.029)</f>
        <v>1.029</v>
      </c>
      <c r="E723" s="24">
        <f>IFERROR(__xludf.DUMMYFUNCTION("""COMPUTED_VALUE"""),66.0)</f>
        <v>66</v>
      </c>
      <c r="F723" s="27" t="str">
        <f>IFERROR(__xludf.DUMMYFUNCTION("""COMPUTED_VALUE"""),"BLACK")</f>
        <v>BLACK</v>
      </c>
      <c r="G723" s="28" t="str">
        <f>IFERROR(__xludf.DUMMYFUNCTION("""COMPUTED_VALUE"""),"First Times a Charm Cider")</f>
        <v>First Times a Charm Cider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IFERROR(__xludf.DUMMYFUNCTION("""COMPUTED_VALUE"""),43547.0280630324)</f>
        <v>43547.02806</v>
      </c>
      <c r="D724" s="23">
        <f>IFERROR(__xludf.DUMMYFUNCTION("""COMPUTED_VALUE"""),1.029)</f>
        <v>1.029</v>
      </c>
      <c r="E724" s="24">
        <f>IFERROR(__xludf.DUMMYFUNCTION("""COMPUTED_VALUE"""),66.0)</f>
        <v>66</v>
      </c>
      <c r="F724" s="27" t="str">
        <f>IFERROR(__xludf.DUMMYFUNCTION("""COMPUTED_VALUE"""),"BLACK")</f>
        <v>BLACK</v>
      </c>
      <c r="G724" s="28" t="str">
        <f>IFERROR(__xludf.DUMMYFUNCTION("""COMPUTED_VALUE"""),"First Times a Charm Cider")</f>
        <v>First Times a Charm Cider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IFERROR(__xludf.DUMMYFUNCTION("""COMPUTED_VALUE"""),43547.0176413657)</f>
        <v>43547.01764</v>
      </c>
      <c r="D725" s="23">
        <f>IFERROR(__xludf.DUMMYFUNCTION("""COMPUTED_VALUE"""),1.029)</f>
        <v>1.029</v>
      </c>
      <c r="E725" s="24">
        <f>IFERROR(__xludf.DUMMYFUNCTION("""COMPUTED_VALUE"""),66.0)</f>
        <v>66</v>
      </c>
      <c r="F725" s="27" t="str">
        <f>IFERROR(__xludf.DUMMYFUNCTION("""COMPUTED_VALUE"""),"BLACK")</f>
        <v>BLACK</v>
      </c>
      <c r="G725" s="28" t="str">
        <f>IFERROR(__xludf.DUMMYFUNCTION("""COMPUTED_VALUE"""),"First Times a Charm Cider")</f>
        <v>First Times a Charm Cider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IFERROR(__xludf.DUMMYFUNCTION("""COMPUTED_VALUE"""),43547.0072090856)</f>
        <v>43547.00721</v>
      </c>
      <c r="D726" s="23">
        <f>IFERROR(__xludf.DUMMYFUNCTION("""COMPUTED_VALUE"""),1.029)</f>
        <v>1.029</v>
      </c>
      <c r="E726" s="24">
        <f>IFERROR(__xludf.DUMMYFUNCTION("""COMPUTED_VALUE"""),66.0)</f>
        <v>66</v>
      </c>
      <c r="F726" s="27" t="str">
        <f>IFERROR(__xludf.DUMMYFUNCTION("""COMPUTED_VALUE"""),"BLACK")</f>
        <v>BLACK</v>
      </c>
      <c r="G726" s="28" t="str">
        <f>IFERROR(__xludf.DUMMYFUNCTION("""COMPUTED_VALUE"""),"First Times a Charm Cider")</f>
        <v>First Times a Charm Cider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IFERROR(__xludf.DUMMYFUNCTION("""COMPUTED_VALUE"""),43546.9967881481)</f>
        <v>43546.99679</v>
      </c>
      <c r="D727" s="23">
        <f>IFERROR(__xludf.DUMMYFUNCTION("""COMPUTED_VALUE"""),1.029)</f>
        <v>1.029</v>
      </c>
      <c r="E727" s="24">
        <f>IFERROR(__xludf.DUMMYFUNCTION("""COMPUTED_VALUE"""),66.0)</f>
        <v>66</v>
      </c>
      <c r="F727" s="27" t="str">
        <f>IFERROR(__xludf.DUMMYFUNCTION("""COMPUTED_VALUE"""),"BLACK")</f>
        <v>BLACK</v>
      </c>
      <c r="G727" s="28" t="str">
        <f>IFERROR(__xludf.DUMMYFUNCTION("""COMPUTED_VALUE"""),"First Times a Charm Cider")</f>
        <v>First Times a Charm Cider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IFERROR(__xludf.DUMMYFUNCTION("""COMPUTED_VALUE"""),43546.9863652546)</f>
        <v>43546.98637</v>
      </c>
      <c r="D728" s="23">
        <f>IFERROR(__xludf.DUMMYFUNCTION("""COMPUTED_VALUE"""),1.029)</f>
        <v>1.029</v>
      </c>
      <c r="E728" s="24">
        <f>IFERROR(__xludf.DUMMYFUNCTION("""COMPUTED_VALUE"""),66.0)</f>
        <v>66</v>
      </c>
      <c r="F728" s="27" t="str">
        <f>IFERROR(__xludf.DUMMYFUNCTION("""COMPUTED_VALUE"""),"BLACK")</f>
        <v>BLACK</v>
      </c>
      <c r="G728" s="28" t="str">
        <f>IFERROR(__xludf.DUMMYFUNCTION("""COMPUTED_VALUE"""),"First Times a Charm Cider")</f>
        <v>First Times a Charm Cider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IFERROR(__xludf.DUMMYFUNCTION("""COMPUTED_VALUE"""),43546.9759437962)</f>
        <v>43546.97594</v>
      </c>
      <c r="D729" s="23">
        <f>IFERROR(__xludf.DUMMYFUNCTION("""COMPUTED_VALUE"""),1.029)</f>
        <v>1.029</v>
      </c>
      <c r="E729" s="24">
        <f>IFERROR(__xludf.DUMMYFUNCTION("""COMPUTED_VALUE"""),66.0)</f>
        <v>66</v>
      </c>
      <c r="F729" s="27" t="str">
        <f>IFERROR(__xludf.DUMMYFUNCTION("""COMPUTED_VALUE"""),"BLACK")</f>
        <v>BLACK</v>
      </c>
      <c r="G729" s="28" t="str">
        <f>IFERROR(__xludf.DUMMYFUNCTION("""COMPUTED_VALUE"""),"First Times a Charm Cider")</f>
        <v>First Times a Charm Cider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IFERROR(__xludf.DUMMYFUNCTION("""COMPUTED_VALUE"""),43546.9654991898)</f>
        <v>43546.9655</v>
      </c>
      <c r="D730" s="23">
        <f>IFERROR(__xludf.DUMMYFUNCTION("""COMPUTED_VALUE"""),1.029)</f>
        <v>1.029</v>
      </c>
      <c r="E730" s="24">
        <f>IFERROR(__xludf.DUMMYFUNCTION("""COMPUTED_VALUE"""),66.0)</f>
        <v>66</v>
      </c>
      <c r="F730" s="27" t="str">
        <f>IFERROR(__xludf.DUMMYFUNCTION("""COMPUTED_VALUE"""),"BLACK")</f>
        <v>BLACK</v>
      </c>
      <c r="G730" s="28" t="str">
        <f>IFERROR(__xludf.DUMMYFUNCTION("""COMPUTED_VALUE"""),"First Times a Charm Cider")</f>
        <v>First Times a Charm Cider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IFERROR(__xludf.DUMMYFUNCTION("""COMPUTED_VALUE"""),43546.9550781944)</f>
        <v>43546.95508</v>
      </c>
      <c r="D731" s="23">
        <f>IFERROR(__xludf.DUMMYFUNCTION("""COMPUTED_VALUE"""),1.029)</f>
        <v>1.029</v>
      </c>
      <c r="E731" s="24">
        <f>IFERROR(__xludf.DUMMYFUNCTION("""COMPUTED_VALUE"""),66.0)</f>
        <v>66</v>
      </c>
      <c r="F731" s="27" t="str">
        <f>IFERROR(__xludf.DUMMYFUNCTION("""COMPUTED_VALUE"""),"BLACK")</f>
        <v>BLACK</v>
      </c>
      <c r="G731" s="28" t="str">
        <f>IFERROR(__xludf.DUMMYFUNCTION("""COMPUTED_VALUE"""),"First Times a Charm Cider")</f>
        <v>First Times a Charm Cider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IFERROR(__xludf.DUMMYFUNCTION("""COMPUTED_VALUE"""),43546.9446580902)</f>
        <v>43546.94466</v>
      </c>
      <c r="D732" s="23">
        <f>IFERROR(__xludf.DUMMYFUNCTION("""COMPUTED_VALUE"""),1.029)</f>
        <v>1.029</v>
      </c>
      <c r="E732" s="24">
        <f>IFERROR(__xludf.DUMMYFUNCTION("""COMPUTED_VALUE"""),66.0)</f>
        <v>66</v>
      </c>
      <c r="F732" s="27" t="str">
        <f>IFERROR(__xludf.DUMMYFUNCTION("""COMPUTED_VALUE"""),"BLACK")</f>
        <v>BLACK</v>
      </c>
      <c r="G732" s="28" t="str">
        <f>IFERROR(__xludf.DUMMYFUNCTION("""COMPUTED_VALUE"""),"First Times a Charm Cider")</f>
        <v>First Times a Charm Cider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IFERROR(__xludf.DUMMYFUNCTION("""COMPUTED_VALUE"""),43546.934224537)</f>
        <v>43546.93422</v>
      </c>
      <c r="D733" s="23">
        <f>IFERROR(__xludf.DUMMYFUNCTION("""COMPUTED_VALUE"""),1.029)</f>
        <v>1.029</v>
      </c>
      <c r="E733" s="24">
        <f>IFERROR(__xludf.DUMMYFUNCTION("""COMPUTED_VALUE"""),66.0)</f>
        <v>66</v>
      </c>
      <c r="F733" s="27" t="str">
        <f>IFERROR(__xludf.DUMMYFUNCTION("""COMPUTED_VALUE"""),"BLACK")</f>
        <v>BLACK</v>
      </c>
      <c r="G733" s="28" t="str">
        <f>IFERROR(__xludf.DUMMYFUNCTION("""COMPUTED_VALUE"""),"First Times a Charm Cider")</f>
        <v>First Times a Charm Cider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IFERROR(__xludf.DUMMYFUNCTION("""COMPUTED_VALUE"""),43546.9238038888)</f>
        <v>43546.9238</v>
      </c>
      <c r="D734" s="23">
        <f>IFERROR(__xludf.DUMMYFUNCTION("""COMPUTED_VALUE"""),1.029)</f>
        <v>1.029</v>
      </c>
      <c r="E734" s="24">
        <f>IFERROR(__xludf.DUMMYFUNCTION("""COMPUTED_VALUE"""),66.0)</f>
        <v>66</v>
      </c>
      <c r="F734" s="27" t="str">
        <f>IFERROR(__xludf.DUMMYFUNCTION("""COMPUTED_VALUE"""),"BLACK")</f>
        <v>BLACK</v>
      </c>
      <c r="G734" s="28" t="str">
        <f>IFERROR(__xludf.DUMMYFUNCTION("""COMPUTED_VALUE"""),"First Times a Charm Cider")</f>
        <v>First Times a Charm Cider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IFERROR(__xludf.DUMMYFUNCTION("""COMPUTED_VALUE"""),43546.9133836226)</f>
        <v>43546.91338</v>
      </c>
      <c r="D735" s="23">
        <f>IFERROR(__xludf.DUMMYFUNCTION("""COMPUTED_VALUE"""),1.029)</f>
        <v>1.029</v>
      </c>
      <c r="E735" s="24">
        <f>IFERROR(__xludf.DUMMYFUNCTION("""COMPUTED_VALUE"""),66.0)</f>
        <v>66</v>
      </c>
      <c r="F735" s="27" t="str">
        <f>IFERROR(__xludf.DUMMYFUNCTION("""COMPUTED_VALUE"""),"BLACK")</f>
        <v>BLACK</v>
      </c>
      <c r="G735" s="28" t="str">
        <f>IFERROR(__xludf.DUMMYFUNCTION("""COMPUTED_VALUE"""),"First Times a Charm Cider")</f>
        <v>First Times a Charm Cider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IFERROR(__xludf.DUMMYFUNCTION("""COMPUTED_VALUE"""),43546.9029618402)</f>
        <v>43546.90296</v>
      </c>
      <c r="D736" s="23">
        <f>IFERROR(__xludf.DUMMYFUNCTION("""COMPUTED_VALUE"""),1.029)</f>
        <v>1.029</v>
      </c>
      <c r="E736" s="24">
        <f>IFERROR(__xludf.DUMMYFUNCTION("""COMPUTED_VALUE"""),66.0)</f>
        <v>66</v>
      </c>
      <c r="F736" s="27" t="str">
        <f>IFERROR(__xludf.DUMMYFUNCTION("""COMPUTED_VALUE"""),"BLACK")</f>
        <v>BLACK</v>
      </c>
      <c r="G736" s="28" t="str">
        <f>IFERROR(__xludf.DUMMYFUNCTION("""COMPUTED_VALUE"""),"First Times a Charm Cider")</f>
        <v>First Times a Charm Cider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IFERROR(__xludf.DUMMYFUNCTION("""COMPUTED_VALUE"""),43546.8925418171)</f>
        <v>43546.89254</v>
      </c>
      <c r="D737" s="23">
        <f>IFERROR(__xludf.DUMMYFUNCTION("""COMPUTED_VALUE"""),1.029)</f>
        <v>1.029</v>
      </c>
      <c r="E737" s="24">
        <f>IFERROR(__xludf.DUMMYFUNCTION("""COMPUTED_VALUE"""),66.0)</f>
        <v>66</v>
      </c>
      <c r="F737" s="27" t="str">
        <f>IFERROR(__xludf.DUMMYFUNCTION("""COMPUTED_VALUE"""),"BLACK")</f>
        <v>BLACK</v>
      </c>
      <c r="G737" s="28" t="str">
        <f>IFERROR(__xludf.DUMMYFUNCTION("""COMPUTED_VALUE"""),"First Times a Charm Cider")</f>
        <v>First Times a Charm Cider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IFERROR(__xludf.DUMMYFUNCTION("""COMPUTED_VALUE"""),43546.8821198379)</f>
        <v>43546.88212</v>
      </c>
      <c r="D738" s="23">
        <f>IFERROR(__xludf.DUMMYFUNCTION("""COMPUTED_VALUE"""),1.029)</f>
        <v>1.029</v>
      </c>
      <c r="E738" s="24">
        <f>IFERROR(__xludf.DUMMYFUNCTION("""COMPUTED_VALUE"""),66.0)</f>
        <v>66</v>
      </c>
      <c r="F738" s="27" t="str">
        <f>IFERROR(__xludf.DUMMYFUNCTION("""COMPUTED_VALUE"""),"BLACK")</f>
        <v>BLACK</v>
      </c>
      <c r="G738" s="28" t="str">
        <f>IFERROR(__xludf.DUMMYFUNCTION("""COMPUTED_VALUE"""),"First Times a Charm Cider")</f>
        <v>First Times a Charm Cider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IFERROR(__xludf.DUMMYFUNCTION("""COMPUTED_VALUE"""),43546.8716757291)</f>
        <v>43546.87168</v>
      </c>
      <c r="D739" s="23">
        <f>IFERROR(__xludf.DUMMYFUNCTION("""COMPUTED_VALUE"""),1.029)</f>
        <v>1.029</v>
      </c>
      <c r="E739" s="24">
        <f>IFERROR(__xludf.DUMMYFUNCTION("""COMPUTED_VALUE"""),66.0)</f>
        <v>66</v>
      </c>
      <c r="F739" s="27" t="str">
        <f>IFERROR(__xludf.DUMMYFUNCTION("""COMPUTED_VALUE"""),"BLACK")</f>
        <v>BLACK</v>
      </c>
      <c r="G739" s="28" t="str">
        <f>IFERROR(__xludf.DUMMYFUNCTION("""COMPUTED_VALUE"""),"First Times a Charm Cider")</f>
        <v>First Times a Charm Cider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IFERROR(__xludf.DUMMYFUNCTION("""COMPUTED_VALUE"""),43546.8612407638)</f>
        <v>43546.86124</v>
      </c>
      <c r="D740" s="23">
        <f>IFERROR(__xludf.DUMMYFUNCTION("""COMPUTED_VALUE"""),1.029)</f>
        <v>1.029</v>
      </c>
      <c r="E740" s="24">
        <f>IFERROR(__xludf.DUMMYFUNCTION("""COMPUTED_VALUE"""),66.0)</f>
        <v>66</v>
      </c>
      <c r="F740" s="27" t="str">
        <f>IFERROR(__xludf.DUMMYFUNCTION("""COMPUTED_VALUE"""),"BLACK")</f>
        <v>BLACK</v>
      </c>
      <c r="G740" s="28" t="str">
        <f>IFERROR(__xludf.DUMMYFUNCTION("""COMPUTED_VALUE"""),"First Times a Charm Cider")</f>
        <v>First Times a Charm Cider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IFERROR(__xludf.DUMMYFUNCTION("""COMPUTED_VALUE"""),43546.8508092592)</f>
        <v>43546.85081</v>
      </c>
      <c r="D741" s="23">
        <f>IFERROR(__xludf.DUMMYFUNCTION("""COMPUTED_VALUE"""),1.029)</f>
        <v>1.029</v>
      </c>
      <c r="E741" s="24">
        <f>IFERROR(__xludf.DUMMYFUNCTION("""COMPUTED_VALUE"""),66.0)</f>
        <v>66</v>
      </c>
      <c r="F741" s="27" t="str">
        <f>IFERROR(__xludf.DUMMYFUNCTION("""COMPUTED_VALUE"""),"BLACK")</f>
        <v>BLACK</v>
      </c>
      <c r="G741" s="28" t="str">
        <f>IFERROR(__xludf.DUMMYFUNCTION("""COMPUTED_VALUE"""),"First Times a Charm Cider")</f>
        <v>First Times a Charm Cider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IFERROR(__xludf.DUMMYFUNCTION("""COMPUTED_VALUE"""),43546.8403647569)</f>
        <v>43546.84036</v>
      </c>
      <c r="D742" s="23">
        <f>IFERROR(__xludf.DUMMYFUNCTION("""COMPUTED_VALUE"""),1.029)</f>
        <v>1.029</v>
      </c>
      <c r="E742" s="24">
        <f>IFERROR(__xludf.DUMMYFUNCTION("""COMPUTED_VALUE"""),66.0)</f>
        <v>66</v>
      </c>
      <c r="F742" s="27" t="str">
        <f>IFERROR(__xludf.DUMMYFUNCTION("""COMPUTED_VALUE"""),"BLACK")</f>
        <v>BLACK</v>
      </c>
      <c r="G742" s="28" t="str">
        <f>IFERROR(__xludf.DUMMYFUNCTION("""COMPUTED_VALUE"""),"First Times a Charm Cider")</f>
        <v>First Times a Charm Cider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IFERROR(__xludf.DUMMYFUNCTION("""COMPUTED_VALUE"""),43546.8299439814)</f>
        <v>43546.82994</v>
      </c>
      <c r="D743" s="23">
        <f>IFERROR(__xludf.DUMMYFUNCTION("""COMPUTED_VALUE"""),1.029)</f>
        <v>1.029</v>
      </c>
      <c r="E743" s="24">
        <f>IFERROR(__xludf.DUMMYFUNCTION("""COMPUTED_VALUE"""),66.0)</f>
        <v>66</v>
      </c>
      <c r="F743" s="27" t="str">
        <f>IFERROR(__xludf.DUMMYFUNCTION("""COMPUTED_VALUE"""),"BLACK")</f>
        <v>BLACK</v>
      </c>
      <c r="G743" s="28" t="str">
        <f>IFERROR(__xludf.DUMMYFUNCTION("""COMPUTED_VALUE"""),"First Times a Charm Cider")</f>
        <v>First Times a Charm Cider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IFERROR(__xludf.DUMMYFUNCTION("""COMPUTED_VALUE"""),43546.8195246875)</f>
        <v>43546.81952</v>
      </c>
      <c r="D744" s="23">
        <f>IFERROR(__xludf.DUMMYFUNCTION("""COMPUTED_VALUE"""),1.029)</f>
        <v>1.029</v>
      </c>
      <c r="E744" s="24">
        <f>IFERROR(__xludf.DUMMYFUNCTION("""COMPUTED_VALUE"""),66.0)</f>
        <v>66</v>
      </c>
      <c r="F744" s="27" t="str">
        <f>IFERROR(__xludf.DUMMYFUNCTION("""COMPUTED_VALUE"""),"BLACK")</f>
        <v>BLACK</v>
      </c>
      <c r="G744" s="28" t="str">
        <f>IFERROR(__xludf.DUMMYFUNCTION("""COMPUTED_VALUE"""),"First Times a Charm Cider")</f>
        <v>First Times a Charm Cider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IFERROR(__xludf.DUMMYFUNCTION("""COMPUTED_VALUE"""),43546.8091044212)</f>
        <v>43546.8091</v>
      </c>
      <c r="D745" s="23">
        <f>IFERROR(__xludf.DUMMYFUNCTION("""COMPUTED_VALUE"""),1.029)</f>
        <v>1.029</v>
      </c>
      <c r="E745" s="24">
        <f>IFERROR(__xludf.DUMMYFUNCTION("""COMPUTED_VALUE"""),66.0)</f>
        <v>66</v>
      </c>
      <c r="F745" s="27" t="str">
        <f>IFERROR(__xludf.DUMMYFUNCTION("""COMPUTED_VALUE"""),"BLACK")</f>
        <v>BLACK</v>
      </c>
      <c r="G745" s="28" t="str">
        <f>IFERROR(__xludf.DUMMYFUNCTION("""COMPUTED_VALUE"""),"First Times a Charm Cider")</f>
        <v>First Times a Charm Cider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IFERROR(__xludf.DUMMYFUNCTION("""COMPUTED_VALUE"""),43546.7986822685)</f>
        <v>43546.79868</v>
      </c>
      <c r="D746" s="23">
        <f>IFERROR(__xludf.DUMMYFUNCTION("""COMPUTED_VALUE"""),1.029)</f>
        <v>1.029</v>
      </c>
      <c r="E746" s="24">
        <f>IFERROR(__xludf.DUMMYFUNCTION("""COMPUTED_VALUE"""),66.0)</f>
        <v>66</v>
      </c>
      <c r="F746" s="27" t="str">
        <f>IFERROR(__xludf.DUMMYFUNCTION("""COMPUTED_VALUE"""),"BLACK")</f>
        <v>BLACK</v>
      </c>
      <c r="G746" s="28" t="str">
        <f>IFERROR(__xludf.DUMMYFUNCTION("""COMPUTED_VALUE"""),"First Times a Charm Cider")</f>
        <v>First Times a Charm Cider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IFERROR(__xludf.DUMMYFUNCTION("""COMPUTED_VALUE"""),43546.7882605324)</f>
        <v>43546.78826</v>
      </c>
      <c r="D747" s="23">
        <f>IFERROR(__xludf.DUMMYFUNCTION("""COMPUTED_VALUE"""),1.029)</f>
        <v>1.029</v>
      </c>
      <c r="E747" s="24">
        <f>IFERROR(__xludf.DUMMYFUNCTION("""COMPUTED_VALUE"""),66.0)</f>
        <v>66</v>
      </c>
      <c r="F747" s="27" t="str">
        <f>IFERROR(__xludf.DUMMYFUNCTION("""COMPUTED_VALUE"""),"BLACK")</f>
        <v>BLACK</v>
      </c>
      <c r="G747" s="28" t="str">
        <f>IFERROR(__xludf.DUMMYFUNCTION("""COMPUTED_VALUE"""),"First Times a Charm Cider")</f>
        <v>First Times a Charm Cider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IFERROR(__xludf.DUMMYFUNCTION("""COMPUTED_VALUE"""),43546.7778290046)</f>
        <v>43546.77783</v>
      </c>
      <c r="D748" s="23">
        <f>IFERROR(__xludf.DUMMYFUNCTION("""COMPUTED_VALUE"""),1.029)</f>
        <v>1.029</v>
      </c>
      <c r="E748" s="24">
        <f>IFERROR(__xludf.DUMMYFUNCTION("""COMPUTED_VALUE"""),66.0)</f>
        <v>66</v>
      </c>
      <c r="F748" s="27" t="str">
        <f>IFERROR(__xludf.DUMMYFUNCTION("""COMPUTED_VALUE"""),"BLACK")</f>
        <v>BLACK</v>
      </c>
      <c r="G748" s="28" t="str">
        <f>IFERROR(__xludf.DUMMYFUNCTION("""COMPUTED_VALUE"""),"First Times a Charm Cider")</f>
        <v>First Times a Charm Cider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IFERROR(__xludf.DUMMYFUNCTION("""COMPUTED_VALUE"""),43546.7674082175)</f>
        <v>43546.76741</v>
      </c>
      <c r="D749" s="23">
        <f>IFERROR(__xludf.DUMMYFUNCTION("""COMPUTED_VALUE"""),1.029)</f>
        <v>1.029</v>
      </c>
      <c r="E749" s="24">
        <f>IFERROR(__xludf.DUMMYFUNCTION("""COMPUTED_VALUE"""),66.0)</f>
        <v>66</v>
      </c>
      <c r="F749" s="27" t="str">
        <f>IFERROR(__xludf.DUMMYFUNCTION("""COMPUTED_VALUE"""),"BLACK")</f>
        <v>BLACK</v>
      </c>
      <c r="G749" s="28" t="str">
        <f>IFERROR(__xludf.DUMMYFUNCTION("""COMPUTED_VALUE"""),"First Times a Charm Cider")</f>
        <v>First Times a Charm Cider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IFERROR(__xludf.DUMMYFUNCTION("""COMPUTED_VALUE"""),43546.7569884606)</f>
        <v>43546.75699</v>
      </c>
      <c r="D750" s="23">
        <f>IFERROR(__xludf.DUMMYFUNCTION("""COMPUTED_VALUE"""),1.029)</f>
        <v>1.029</v>
      </c>
      <c r="E750" s="24">
        <f>IFERROR(__xludf.DUMMYFUNCTION("""COMPUTED_VALUE"""),66.0)</f>
        <v>66</v>
      </c>
      <c r="F750" s="27" t="str">
        <f>IFERROR(__xludf.DUMMYFUNCTION("""COMPUTED_VALUE"""),"BLACK")</f>
        <v>BLACK</v>
      </c>
      <c r="G750" s="28" t="str">
        <f>IFERROR(__xludf.DUMMYFUNCTION("""COMPUTED_VALUE"""),"First Times a Charm Cider")</f>
        <v>First Times a Charm Cider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IFERROR(__xludf.DUMMYFUNCTION("""COMPUTED_VALUE"""),43546.7465673495)</f>
        <v>43546.74657</v>
      </c>
      <c r="D751" s="23">
        <f>IFERROR(__xludf.DUMMYFUNCTION("""COMPUTED_VALUE"""),1.029)</f>
        <v>1.029</v>
      </c>
      <c r="E751" s="24">
        <f>IFERROR(__xludf.DUMMYFUNCTION("""COMPUTED_VALUE"""),66.0)</f>
        <v>66</v>
      </c>
      <c r="F751" s="27" t="str">
        <f>IFERROR(__xludf.DUMMYFUNCTION("""COMPUTED_VALUE"""),"BLACK")</f>
        <v>BLACK</v>
      </c>
      <c r="G751" s="28" t="str">
        <f>IFERROR(__xludf.DUMMYFUNCTION("""COMPUTED_VALUE"""),"First Times a Charm Cider")</f>
        <v>First Times a Charm Cider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IFERROR(__xludf.DUMMYFUNCTION("""COMPUTED_VALUE"""),43546.736146875)</f>
        <v>43546.73615</v>
      </c>
      <c r="D752" s="23">
        <f>IFERROR(__xludf.DUMMYFUNCTION("""COMPUTED_VALUE"""),1.029)</f>
        <v>1.029</v>
      </c>
      <c r="E752" s="24">
        <f>IFERROR(__xludf.DUMMYFUNCTION("""COMPUTED_VALUE"""),66.0)</f>
        <v>66</v>
      </c>
      <c r="F752" s="27" t="str">
        <f>IFERROR(__xludf.DUMMYFUNCTION("""COMPUTED_VALUE"""),"BLACK")</f>
        <v>BLACK</v>
      </c>
      <c r="G752" s="28" t="str">
        <f>IFERROR(__xludf.DUMMYFUNCTION("""COMPUTED_VALUE"""),"First Times a Charm Cider")</f>
        <v>First Times a Charm Cider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IFERROR(__xludf.DUMMYFUNCTION("""COMPUTED_VALUE"""),43546.725726331)</f>
        <v>43546.72573</v>
      </c>
      <c r="D753" s="23">
        <f>IFERROR(__xludf.DUMMYFUNCTION("""COMPUTED_VALUE"""),1.029)</f>
        <v>1.029</v>
      </c>
      <c r="E753" s="24">
        <f>IFERROR(__xludf.DUMMYFUNCTION("""COMPUTED_VALUE"""),66.0)</f>
        <v>66</v>
      </c>
      <c r="F753" s="27" t="str">
        <f>IFERROR(__xludf.DUMMYFUNCTION("""COMPUTED_VALUE"""),"BLACK")</f>
        <v>BLACK</v>
      </c>
      <c r="G753" s="28" t="str">
        <f>IFERROR(__xludf.DUMMYFUNCTION("""COMPUTED_VALUE"""),"First Times a Charm Cider")</f>
        <v>First Times a Charm Cider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IFERROR(__xludf.DUMMYFUNCTION("""COMPUTED_VALUE"""),43546.7153047801)</f>
        <v>43546.7153</v>
      </c>
      <c r="D754" s="23">
        <f>IFERROR(__xludf.DUMMYFUNCTION("""COMPUTED_VALUE"""),1.029)</f>
        <v>1.029</v>
      </c>
      <c r="E754" s="24">
        <f>IFERROR(__xludf.DUMMYFUNCTION("""COMPUTED_VALUE"""),66.0)</f>
        <v>66</v>
      </c>
      <c r="F754" s="27" t="str">
        <f>IFERROR(__xludf.DUMMYFUNCTION("""COMPUTED_VALUE"""),"BLACK")</f>
        <v>BLACK</v>
      </c>
      <c r="G754" s="28" t="str">
        <f>IFERROR(__xludf.DUMMYFUNCTION("""COMPUTED_VALUE"""),"First Times a Charm Cider")</f>
        <v>First Times a Charm Cider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IFERROR(__xludf.DUMMYFUNCTION("""COMPUTED_VALUE"""),43546.7048813078)</f>
        <v>43546.70488</v>
      </c>
      <c r="D755" s="23">
        <f>IFERROR(__xludf.DUMMYFUNCTION("""COMPUTED_VALUE"""),1.029)</f>
        <v>1.029</v>
      </c>
      <c r="E755" s="24">
        <f>IFERROR(__xludf.DUMMYFUNCTION("""COMPUTED_VALUE"""),66.0)</f>
        <v>66</v>
      </c>
      <c r="F755" s="27" t="str">
        <f>IFERROR(__xludf.DUMMYFUNCTION("""COMPUTED_VALUE"""),"BLACK")</f>
        <v>BLACK</v>
      </c>
      <c r="G755" s="28" t="str">
        <f>IFERROR(__xludf.DUMMYFUNCTION("""COMPUTED_VALUE"""),"First Times a Charm Cider")</f>
        <v>First Times a Charm Cider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IFERROR(__xludf.DUMMYFUNCTION("""COMPUTED_VALUE"""),43546.694448287)</f>
        <v>43546.69445</v>
      </c>
      <c r="D756" s="23">
        <f>IFERROR(__xludf.DUMMYFUNCTION("""COMPUTED_VALUE"""),1.029)</f>
        <v>1.029</v>
      </c>
      <c r="E756" s="24">
        <f>IFERROR(__xludf.DUMMYFUNCTION("""COMPUTED_VALUE"""),66.0)</f>
        <v>66</v>
      </c>
      <c r="F756" s="27" t="str">
        <f>IFERROR(__xludf.DUMMYFUNCTION("""COMPUTED_VALUE"""),"BLACK")</f>
        <v>BLACK</v>
      </c>
      <c r="G756" s="28" t="str">
        <f>IFERROR(__xludf.DUMMYFUNCTION("""COMPUTED_VALUE"""),"First Times a Charm Cider")</f>
        <v>First Times a Charm Cider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IFERROR(__xludf.DUMMYFUNCTION("""COMPUTED_VALUE"""),43546.6840273263)</f>
        <v>43546.68403</v>
      </c>
      <c r="D757" s="23">
        <f>IFERROR(__xludf.DUMMYFUNCTION("""COMPUTED_VALUE"""),1.029)</f>
        <v>1.029</v>
      </c>
      <c r="E757" s="24">
        <f>IFERROR(__xludf.DUMMYFUNCTION("""COMPUTED_VALUE"""),66.0)</f>
        <v>66</v>
      </c>
      <c r="F757" s="27" t="str">
        <f>IFERROR(__xludf.DUMMYFUNCTION("""COMPUTED_VALUE"""),"BLACK")</f>
        <v>BLACK</v>
      </c>
      <c r="G757" s="28" t="str">
        <f>IFERROR(__xludf.DUMMYFUNCTION("""COMPUTED_VALUE"""),"First Times a Charm Cider")</f>
        <v>First Times a Charm Cider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IFERROR(__xludf.DUMMYFUNCTION("""COMPUTED_VALUE"""),43546.6736076967)</f>
        <v>43546.67361</v>
      </c>
      <c r="D758" s="23">
        <f>IFERROR(__xludf.DUMMYFUNCTION("""COMPUTED_VALUE"""),1.029)</f>
        <v>1.029</v>
      </c>
      <c r="E758" s="24">
        <f>IFERROR(__xludf.DUMMYFUNCTION("""COMPUTED_VALUE"""),66.0)</f>
        <v>66</v>
      </c>
      <c r="F758" s="27" t="str">
        <f>IFERROR(__xludf.DUMMYFUNCTION("""COMPUTED_VALUE"""),"BLACK")</f>
        <v>BLACK</v>
      </c>
      <c r="G758" s="28" t="str">
        <f>IFERROR(__xludf.DUMMYFUNCTION("""COMPUTED_VALUE"""),"First Times a Charm Cider")</f>
        <v>First Times a Charm Cider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IFERROR(__xludf.DUMMYFUNCTION("""COMPUTED_VALUE"""),43546.6631745486)</f>
        <v>43546.66317</v>
      </c>
      <c r="D759" s="23">
        <f>IFERROR(__xludf.DUMMYFUNCTION("""COMPUTED_VALUE"""),1.029)</f>
        <v>1.029</v>
      </c>
      <c r="E759" s="24">
        <f>IFERROR(__xludf.DUMMYFUNCTION("""COMPUTED_VALUE"""),66.0)</f>
        <v>66</v>
      </c>
      <c r="F759" s="27" t="str">
        <f>IFERROR(__xludf.DUMMYFUNCTION("""COMPUTED_VALUE"""),"BLACK")</f>
        <v>BLACK</v>
      </c>
      <c r="G759" s="28" t="str">
        <f>IFERROR(__xludf.DUMMYFUNCTION("""COMPUTED_VALUE"""),"First Times a Charm Cider")</f>
        <v>First Times a Charm Cider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IFERROR(__xludf.DUMMYFUNCTION("""COMPUTED_VALUE"""),43546.6527536689)</f>
        <v>43546.65275</v>
      </c>
      <c r="D760" s="23">
        <f>IFERROR(__xludf.DUMMYFUNCTION("""COMPUTED_VALUE"""),1.029)</f>
        <v>1.029</v>
      </c>
      <c r="E760" s="24">
        <f>IFERROR(__xludf.DUMMYFUNCTION("""COMPUTED_VALUE"""),66.0)</f>
        <v>66</v>
      </c>
      <c r="F760" s="27" t="str">
        <f>IFERROR(__xludf.DUMMYFUNCTION("""COMPUTED_VALUE"""),"BLACK")</f>
        <v>BLACK</v>
      </c>
      <c r="G760" s="28" t="str">
        <f>IFERROR(__xludf.DUMMYFUNCTION("""COMPUTED_VALUE"""),"First Times a Charm Cider")</f>
        <v>First Times a Charm Cider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IFERROR(__xludf.DUMMYFUNCTION("""COMPUTED_VALUE"""),43546.6423195254)</f>
        <v>43546.64232</v>
      </c>
      <c r="D761" s="23">
        <f>IFERROR(__xludf.DUMMYFUNCTION("""COMPUTED_VALUE"""),1.029)</f>
        <v>1.029</v>
      </c>
      <c r="E761" s="24">
        <f>IFERROR(__xludf.DUMMYFUNCTION("""COMPUTED_VALUE"""),66.0)</f>
        <v>66</v>
      </c>
      <c r="F761" s="27" t="str">
        <f>IFERROR(__xludf.DUMMYFUNCTION("""COMPUTED_VALUE"""),"BLACK")</f>
        <v>BLACK</v>
      </c>
      <c r="G761" s="28" t="str">
        <f>IFERROR(__xludf.DUMMYFUNCTION("""COMPUTED_VALUE"""),"First Times a Charm Cider")</f>
        <v>First Times a Charm Cider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IFERROR(__xludf.DUMMYFUNCTION("""COMPUTED_VALUE"""),43546.6318994444)</f>
        <v>43546.6319</v>
      </c>
      <c r="D762" s="23">
        <f>IFERROR(__xludf.DUMMYFUNCTION("""COMPUTED_VALUE"""),1.029)</f>
        <v>1.029</v>
      </c>
      <c r="E762" s="24">
        <f>IFERROR(__xludf.DUMMYFUNCTION("""COMPUTED_VALUE"""),66.0)</f>
        <v>66</v>
      </c>
      <c r="F762" s="27" t="str">
        <f>IFERROR(__xludf.DUMMYFUNCTION("""COMPUTED_VALUE"""),"BLACK")</f>
        <v>BLACK</v>
      </c>
      <c r="G762" s="28" t="str">
        <f>IFERROR(__xludf.DUMMYFUNCTION("""COMPUTED_VALUE"""),"First Times a Charm Cider")</f>
        <v>First Times a Charm Cider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IFERROR(__xludf.DUMMYFUNCTION("""COMPUTED_VALUE"""),43546.6214779282)</f>
        <v>43546.62148</v>
      </c>
      <c r="D763" s="23">
        <f>IFERROR(__xludf.DUMMYFUNCTION("""COMPUTED_VALUE"""),1.029)</f>
        <v>1.029</v>
      </c>
      <c r="E763" s="24">
        <f>IFERROR(__xludf.DUMMYFUNCTION("""COMPUTED_VALUE"""),66.0)</f>
        <v>66</v>
      </c>
      <c r="F763" s="27" t="str">
        <f>IFERROR(__xludf.DUMMYFUNCTION("""COMPUTED_VALUE"""),"BLACK")</f>
        <v>BLACK</v>
      </c>
      <c r="G763" s="28" t="str">
        <f>IFERROR(__xludf.DUMMYFUNCTION("""COMPUTED_VALUE"""),"First Times a Charm Cider")</f>
        <v>First Times a Charm Cider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IFERROR(__xludf.DUMMYFUNCTION("""COMPUTED_VALUE"""),43546.611056956)</f>
        <v>43546.61106</v>
      </c>
      <c r="D764" s="23">
        <f>IFERROR(__xludf.DUMMYFUNCTION("""COMPUTED_VALUE"""),1.029)</f>
        <v>1.029</v>
      </c>
      <c r="E764" s="24">
        <f>IFERROR(__xludf.DUMMYFUNCTION("""COMPUTED_VALUE"""),66.0)</f>
        <v>66</v>
      </c>
      <c r="F764" s="27" t="str">
        <f>IFERROR(__xludf.DUMMYFUNCTION("""COMPUTED_VALUE"""),"BLACK")</f>
        <v>BLACK</v>
      </c>
      <c r="G764" s="28" t="str">
        <f>IFERROR(__xludf.DUMMYFUNCTION("""COMPUTED_VALUE"""),"First Times a Charm Cider")</f>
        <v>First Times a Charm Cider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IFERROR(__xludf.DUMMYFUNCTION("""COMPUTED_VALUE"""),43546.6006355208)</f>
        <v>43546.60064</v>
      </c>
      <c r="D765" s="23">
        <f>IFERROR(__xludf.DUMMYFUNCTION("""COMPUTED_VALUE"""),1.029)</f>
        <v>1.029</v>
      </c>
      <c r="E765" s="24">
        <f>IFERROR(__xludf.DUMMYFUNCTION("""COMPUTED_VALUE"""),66.0)</f>
        <v>66</v>
      </c>
      <c r="F765" s="27" t="str">
        <f>IFERROR(__xludf.DUMMYFUNCTION("""COMPUTED_VALUE"""),"BLACK")</f>
        <v>BLACK</v>
      </c>
      <c r="G765" s="28" t="str">
        <f>IFERROR(__xludf.DUMMYFUNCTION("""COMPUTED_VALUE"""),"First Times a Charm Cider")</f>
        <v>First Times a Charm Cider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IFERROR(__xludf.DUMMYFUNCTION("""COMPUTED_VALUE"""),43546.5902155324)</f>
        <v>43546.59022</v>
      </c>
      <c r="D766" s="23">
        <f>IFERROR(__xludf.DUMMYFUNCTION("""COMPUTED_VALUE"""),1.029)</f>
        <v>1.029</v>
      </c>
      <c r="E766" s="24">
        <f>IFERROR(__xludf.DUMMYFUNCTION("""COMPUTED_VALUE"""),66.0)</f>
        <v>66</v>
      </c>
      <c r="F766" s="27" t="str">
        <f>IFERROR(__xludf.DUMMYFUNCTION("""COMPUTED_VALUE"""),"BLACK")</f>
        <v>BLACK</v>
      </c>
      <c r="G766" s="28" t="str">
        <f>IFERROR(__xludf.DUMMYFUNCTION("""COMPUTED_VALUE"""),"First Times a Charm Cider")</f>
        <v>First Times a Charm Cider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IFERROR(__xludf.DUMMYFUNCTION("""COMPUTED_VALUE"""),43546.5797943402)</f>
        <v>43546.57979</v>
      </c>
      <c r="D767" s="23">
        <f>IFERROR(__xludf.DUMMYFUNCTION("""COMPUTED_VALUE"""),1.029)</f>
        <v>1.029</v>
      </c>
      <c r="E767" s="24">
        <f>IFERROR(__xludf.DUMMYFUNCTION("""COMPUTED_VALUE"""),66.0)</f>
        <v>66</v>
      </c>
      <c r="F767" s="27" t="str">
        <f>IFERROR(__xludf.DUMMYFUNCTION("""COMPUTED_VALUE"""),"BLACK")</f>
        <v>BLACK</v>
      </c>
      <c r="G767" s="28" t="str">
        <f>IFERROR(__xludf.DUMMYFUNCTION("""COMPUTED_VALUE"""),"First Times a Charm Cider")</f>
        <v>First Times a Charm Cider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IFERROR(__xludf.DUMMYFUNCTION("""COMPUTED_VALUE"""),43546.5693492939)</f>
        <v>43546.56935</v>
      </c>
      <c r="D768" s="23">
        <f>IFERROR(__xludf.DUMMYFUNCTION("""COMPUTED_VALUE"""),1.029)</f>
        <v>1.029</v>
      </c>
      <c r="E768" s="24">
        <f>IFERROR(__xludf.DUMMYFUNCTION("""COMPUTED_VALUE"""),66.0)</f>
        <v>66</v>
      </c>
      <c r="F768" s="27" t="str">
        <f>IFERROR(__xludf.DUMMYFUNCTION("""COMPUTED_VALUE"""),"BLACK")</f>
        <v>BLACK</v>
      </c>
      <c r="G768" s="28" t="str">
        <f>IFERROR(__xludf.DUMMYFUNCTION("""COMPUTED_VALUE"""),"First Times a Charm Cider")</f>
        <v>First Times a Charm Cider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IFERROR(__xludf.DUMMYFUNCTION("""COMPUTED_VALUE"""),43546.5589268518)</f>
        <v>43546.55893</v>
      </c>
      <c r="D769" s="23">
        <f>IFERROR(__xludf.DUMMYFUNCTION("""COMPUTED_VALUE"""),1.029)</f>
        <v>1.029</v>
      </c>
      <c r="E769" s="24">
        <f>IFERROR(__xludf.DUMMYFUNCTION("""COMPUTED_VALUE"""),66.0)</f>
        <v>66</v>
      </c>
      <c r="F769" s="27" t="str">
        <f>IFERROR(__xludf.DUMMYFUNCTION("""COMPUTED_VALUE"""),"BLACK")</f>
        <v>BLACK</v>
      </c>
      <c r="G769" s="28" t="str">
        <f>IFERROR(__xludf.DUMMYFUNCTION("""COMPUTED_VALUE"""),"First Times a Charm Cider")</f>
        <v>First Times a Charm Cider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IFERROR(__xludf.DUMMYFUNCTION("""COMPUTED_VALUE"""),43546.5485057523)</f>
        <v>43546.54851</v>
      </c>
      <c r="D770" s="23">
        <f>IFERROR(__xludf.DUMMYFUNCTION("""COMPUTED_VALUE"""),1.029)</f>
        <v>1.029</v>
      </c>
      <c r="E770" s="24">
        <f>IFERROR(__xludf.DUMMYFUNCTION("""COMPUTED_VALUE"""),66.0)</f>
        <v>66</v>
      </c>
      <c r="F770" s="27" t="str">
        <f>IFERROR(__xludf.DUMMYFUNCTION("""COMPUTED_VALUE"""),"BLACK")</f>
        <v>BLACK</v>
      </c>
      <c r="G770" s="28" t="str">
        <f>IFERROR(__xludf.DUMMYFUNCTION("""COMPUTED_VALUE"""),"First Times a Charm Cider")</f>
        <v>First Times a Charm Cider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IFERROR(__xludf.DUMMYFUNCTION("""COMPUTED_VALUE"""),43546.5380610069)</f>
        <v>43546.53806</v>
      </c>
      <c r="D771" s="23">
        <f>IFERROR(__xludf.DUMMYFUNCTION("""COMPUTED_VALUE"""),1.029)</f>
        <v>1.029</v>
      </c>
      <c r="E771" s="24">
        <f>IFERROR(__xludf.DUMMYFUNCTION("""COMPUTED_VALUE"""),66.0)</f>
        <v>66</v>
      </c>
      <c r="F771" s="27" t="str">
        <f>IFERROR(__xludf.DUMMYFUNCTION("""COMPUTED_VALUE"""),"BLACK")</f>
        <v>BLACK</v>
      </c>
      <c r="G771" s="28" t="str">
        <f>IFERROR(__xludf.DUMMYFUNCTION("""COMPUTED_VALUE"""),"First Times a Charm Cider")</f>
        <v>First Times a Charm Cider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IFERROR(__xludf.DUMMYFUNCTION("""COMPUTED_VALUE"""),43546.5276410879)</f>
        <v>43546.52764</v>
      </c>
      <c r="D772" s="23">
        <f>IFERROR(__xludf.DUMMYFUNCTION("""COMPUTED_VALUE"""),1.029)</f>
        <v>1.029</v>
      </c>
      <c r="E772" s="24">
        <f>IFERROR(__xludf.DUMMYFUNCTION("""COMPUTED_VALUE"""),66.0)</f>
        <v>66</v>
      </c>
      <c r="F772" s="27" t="str">
        <f>IFERROR(__xludf.DUMMYFUNCTION("""COMPUTED_VALUE"""),"BLACK")</f>
        <v>BLACK</v>
      </c>
      <c r="G772" s="28" t="str">
        <f>IFERROR(__xludf.DUMMYFUNCTION("""COMPUTED_VALUE"""),"First Times a Charm Cider")</f>
        <v>First Times a Charm Cider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IFERROR(__xludf.DUMMYFUNCTION("""COMPUTED_VALUE"""),43546.5172198842)</f>
        <v>43546.51722</v>
      </c>
      <c r="D773" s="23">
        <f>IFERROR(__xludf.DUMMYFUNCTION("""COMPUTED_VALUE"""),1.029)</f>
        <v>1.029</v>
      </c>
      <c r="E773" s="24">
        <f>IFERROR(__xludf.DUMMYFUNCTION("""COMPUTED_VALUE"""),66.0)</f>
        <v>66</v>
      </c>
      <c r="F773" s="27" t="str">
        <f>IFERROR(__xludf.DUMMYFUNCTION("""COMPUTED_VALUE"""),"BLACK")</f>
        <v>BLACK</v>
      </c>
      <c r="G773" s="28" t="str">
        <f>IFERROR(__xludf.DUMMYFUNCTION("""COMPUTED_VALUE"""),"First Times a Charm Cider")</f>
        <v>First Times a Charm Cider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IFERROR(__xludf.DUMMYFUNCTION("""COMPUTED_VALUE"""),43546.5067851736)</f>
        <v>43546.50679</v>
      </c>
      <c r="D774" s="23">
        <f>IFERROR(__xludf.DUMMYFUNCTION("""COMPUTED_VALUE"""),1.029)</f>
        <v>1.029</v>
      </c>
      <c r="E774" s="24">
        <f>IFERROR(__xludf.DUMMYFUNCTION("""COMPUTED_VALUE"""),66.0)</f>
        <v>66</v>
      </c>
      <c r="F774" s="27" t="str">
        <f>IFERROR(__xludf.DUMMYFUNCTION("""COMPUTED_VALUE"""),"BLACK")</f>
        <v>BLACK</v>
      </c>
      <c r="G774" s="28" t="str">
        <f>IFERROR(__xludf.DUMMYFUNCTION("""COMPUTED_VALUE"""),"First Times a Charm Cider")</f>
        <v>First Times a Charm Cider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IFERROR(__xludf.DUMMYFUNCTION("""COMPUTED_VALUE"""),43546.4963635763)</f>
        <v>43546.49636</v>
      </c>
      <c r="D775" s="23">
        <f>IFERROR(__xludf.DUMMYFUNCTION("""COMPUTED_VALUE"""),1.029)</f>
        <v>1.029</v>
      </c>
      <c r="E775" s="24">
        <f>IFERROR(__xludf.DUMMYFUNCTION("""COMPUTED_VALUE"""),66.0)</f>
        <v>66</v>
      </c>
      <c r="F775" s="27" t="str">
        <f>IFERROR(__xludf.DUMMYFUNCTION("""COMPUTED_VALUE"""),"BLACK")</f>
        <v>BLACK</v>
      </c>
      <c r="G775" s="28" t="str">
        <f>IFERROR(__xludf.DUMMYFUNCTION("""COMPUTED_VALUE"""),"First Times a Charm Cider")</f>
        <v>First Times a Charm Cider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IFERROR(__xludf.DUMMYFUNCTION("""COMPUTED_VALUE"""),43546.485941493)</f>
        <v>43546.48594</v>
      </c>
      <c r="D776" s="23">
        <f>IFERROR(__xludf.DUMMYFUNCTION("""COMPUTED_VALUE"""),1.029)</f>
        <v>1.029</v>
      </c>
      <c r="E776" s="24">
        <f>IFERROR(__xludf.DUMMYFUNCTION("""COMPUTED_VALUE"""),66.0)</f>
        <v>66</v>
      </c>
      <c r="F776" s="27" t="str">
        <f>IFERROR(__xludf.DUMMYFUNCTION("""COMPUTED_VALUE"""),"BLACK")</f>
        <v>BLACK</v>
      </c>
      <c r="G776" s="28" t="str">
        <f>IFERROR(__xludf.DUMMYFUNCTION("""COMPUTED_VALUE"""),"First Times a Charm Cider")</f>
        <v>First Times a Charm Cider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IFERROR(__xludf.DUMMYFUNCTION("""COMPUTED_VALUE"""),43546.4755207754)</f>
        <v>43546.47552</v>
      </c>
      <c r="D777" s="23">
        <f>IFERROR(__xludf.DUMMYFUNCTION("""COMPUTED_VALUE"""),1.029)</f>
        <v>1.029</v>
      </c>
      <c r="E777" s="24">
        <f>IFERROR(__xludf.DUMMYFUNCTION("""COMPUTED_VALUE"""),66.0)</f>
        <v>66</v>
      </c>
      <c r="F777" s="27" t="str">
        <f>IFERROR(__xludf.DUMMYFUNCTION("""COMPUTED_VALUE"""),"BLACK")</f>
        <v>BLACK</v>
      </c>
      <c r="G777" s="28" t="str">
        <f>IFERROR(__xludf.DUMMYFUNCTION("""COMPUTED_VALUE"""),"First Times a Charm Cider")</f>
        <v>First Times a Charm Cider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IFERROR(__xludf.DUMMYFUNCTION("""COMPUTED_VALUE"""),43546.4651013425)</f>
        <v>43546.4651</v>
      </c>
      <c r="D778" s="23">
        <f>IFERROR(__xludf.DUMMYFUNCTION("""COMPUTED_VALUE"""),1.029)</f>
        <v>1.029</v>
      </c>
      <c r="E778" s="24">
        <f>IFERROR(__xludf.DUMMYFUNCTION("""COMPUTED_VALUE"""),66.0)</f>
        <v>66</v>
      </c>
      <c r="F778" s="27" t="str">
        <f>IFERROR(__xludf.DUMMYFUNCTION("""COMPUTED_VALUE"""),"BLACK")</f>
        <v>BLACK</v>
      </c>
      <c r="G778" s="28" t="str">
        <f>IFERROR(__xludf.DUMMYFUNCTION("""COMPUTED_VALUE"""),"First Times a Charm Cider")</f>
        <v>First Times a Charm Cider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IFERROR(__xludf.DUMMYFUNCTION("""COMPUTED_VALUE"""),43546.4546801273)</f>
        <v>43546.45468</v>
      </c>
      <c r="D779" s="23">
        <f>IFERROR(__xludf.DUMMYFUNCTION("""COMPUTED_VALUE"""),1.029)</f>
        <v>1.029</v>
      </c>
      <c r="E779" s="24">
        <f>IFERROR(__xludf.DUMMYFUNCTION("""COMPUTED_VALUE"""),66.0)</f>
        <v>66</v>
      </c>
      <c r="F779" s="27" t="str">
        <f>IFERROR(__xludf.DUMMYFUNCTION("""COMPUTED_VALUE"""),"BLACK")</f>
        <v>BLACK</v>
      </c>
      <c r="G779" s="28" t="str">
        <f>IFERROR(__xludf.DUMMYFUNCTION("""COMPUTED_VALUE"""),"First Times a Charm Cider")</f>
        <v>First Times a Charm Cider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IFERROR(__xludf.DUMMYFUNCTION("""COMPUTED_VALUE"""),43546.4442573958)</f>
        <v>43546.44426</v>
      </c>
      <c r="D780" s="23">
        <f>IFERROR(__xludf.DUMMYFUNCTION("""COMPUTED_VALUE"""),1.029)</f>
        <v>1.029</v>
      </c>
      <c r="E780" s="24">
        <f>IFERROR(__xludf.DUMMYFUNCTION("""COMPUTED_VALUE"""),66.0)</f>
        <v>66</v>
      </c>
      <c r="F780" s="27" t="str">
        <f>IFERROR(__xludf.DUMMYFUNCTION("""COMPUTED_VALUE"""),"BLACK")</f>
        <v>BLACK</v>
      </c>
      <c r="G780" s="28" t="str">
        <f>IFERROR(__xludf.DUMMYFUNCTION("""COMPUTED_VALUE"""),"First Times a Charm Cider")</f>
        <v>First Times a Charm Cider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IFERROR(__xludf.DUMMYFUNCTION("""COMPUTED_VALUE"""),43546.4338367708)</f>
        <v>43546.43384</v>
      </c>
      <c r="D781" s="23">
        <f>IFERROR(__xludf.DUMMYFUNCTION("""COMPUTED_VALUE"""),1.029)</f>
        <v>1.029</v>
      </c>
      <c r="E781" s="24">
        <f>IFERROR(__xludf.DUMMYFUNCTION("""COMPUTED_VALUE"""),66.0)</f>
        <v>66</v>
      </c>
      <c r="F781" s="27" t="str">
        <f>IFERROR(__xludf.DUMMYFUNCTION("""COMPUTED_VALUE"""),"BLACK")</f>
        <v>BLACK</v>
      </c>
      <c r="G781" s="28" t="str">
        <f>IFERROR(__xludf.DUMMYFUNCTION("""COMPUTED_VALUE"""),"First Times a Charm Cider")</f>
        <v>First Times a Charm Cider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IFERROR(__xludf.DUMMYFUNCTION("""COMPUTED_VALUE"""),43546.4233914351)</f>
        <v>43546.42339</v>
      </c>
      <c r="D782" s="23">
        <f>IFERROR(__xludf.DUMMYFUNCTION("""COMPUTED_VALUE"""),1.029)</f>
        <v>1.029</v>
      </c>
      <c r="E782" s="24">
        <f>IFERROR(__xludf.DUMMYFUNCTION("""COMPUTED_VALUE"""),66.0)</f>
        <v>66</v>
      </c>
      <c r="F782" s="27" t="str">
        <f>IFERROR(__xludf.DUMMYFUNCTION("""COMPUTED_VALUE"""),"BLACK")</f>
        <v>BLACK</v>
      </c>
      <c r="G782" s="28" t="str">
        <f>IFERROR(__xludf.DUMMYFUNCTION("""COMPUTED_VALUE"""),"First Times a Charm Cider")</f>
        <v>First Times a Charm Cider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IFERROR(__xludf.DUMMYFUNCTION("""COMPUTED_VALUE"""),43546.4129685763)</f>
        <v>43546.41297</v>
      </c>
      <c r="D783" s="23">
        <f>IFERROR(__xludf.DUMMYFUNCTION("""COMPUTED_VALUE"""),1.029)</f>
        <v>1.029</v>
      </c>
      <c r="E783" s="24">
        <f>IFERROR(__xludf.DUMMYFUNCTION("""COMPUTED_VALUE"""),66.0)</f>
        <v>66</v>
      </c>
      <c r="F783" s="27" t="str">
        <f>IFERROR(__xludf.DUMMYFUNCTION("""COMPUTED_VALUE"""),"BLACK")</f>
        <v>BLACK</v>
      </c>
      <c r="G783" s="28" t="str">
        <f>IFERROR(__xludf.DUMMYFUNCTION("""COMPUTED_VALUE"""),"First Times a Charm Cider")</f>
        <v>First Times a Charm Cider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IFERROR(__xludf.DUMMYFUNCTION("""COMPUTED_VALUE"""),43546.4025467708)</f>
        <v>43546.40255</v>
      </c>
      <c r="D784" s="23">
        <f>IFERROR(__xludf.DUMMYFUNCTION("""COMPUTED_VALUE"""),1.029)</f>
        <v>1.029</v>
      </c>
      <c r="E784" s="24">
        <f>IFERROR(__xludf.DUMMYFUNCTION("""COMPUTED_VALUE"""),66.0)</f>
        <v>66</v>
      </c>
      <c r="F784" s="27" t="str">
        <f>IFERROR(__xludf.DUMMYFUNCTION("""COMPUTED_VALUE"""),"BLACK")</f>
        <v>BLACK</v>
      </c>
      <c r="G784" s="28" t="str">
        <f>IFERROR(__xludf.DUMMYFUNCTION("""COMPUTED_VALUE"""),"First Times a Charm Cider")</f>
        <v>First Times a Charm Cider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IFERROR(__xludf.DUMMYFUNCTION("""COMPUTED_VALUE"""),43546.3921262847)</f>
        <v>43546.39213</v>
      </c>
      <c r="D785" s="23">
        <f>IFERROR(__xludf.DUMMYFUNCTION("""COMPUTED_VALUE"""),1.029)</f>
        <v>1.029</v>
      </c>
      <c r="E785" s="24">
        <f>IFERROR(__xludf.DUMMYFUNCTION("""COMPUTED_VALUE"""),66.0)</f>
        <v>66</v>
      </c>
      <c r="F785" s="27" t="str">
        <f>IFERROR(__xludf.DUMMYFUNCTION("""COMPUTED_VALUE"""),"BLACK")</f>
        <v>BLACK</v>
      </c>
      <c r="G785" s="28" t="str">
        <f>IFERROR(__xludf.DUMMYFUNCTION("""COMPUTED_VALUE"""),"First Times a Charm Cider")</f>
        <v>First Times a Charm Cider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IFERROR(__xludf.DUMMYFUNCTION("""COMPUTED_VALUE"""),43546.3817052314)</f>
        <v>43546.38171</v>
      </c>
      <c r="D786" s="23">
        <f>IFERROR(__xludf.DUMMYFUNCTION("""COMPUTED_VALUE"""),1.03)</f>
        <v>1.03</v>
      </c>
      <c r="E786" s="24">
        <f>IFERROR(__xludf.DUMMYFUNCTION("""COMPUTED_VALUE"""),66.0)</f>
        <v>66</v>
      </c>
      <c r="F786" s="27" t="str">
        <f>IFERROR(__xludf.DUMMYFUNCTION("""COMPUTED_VALUE"""),"BLACK")</f>
        <v>BLACK</v>
      </c>
      <c r="G786" s="28" t="str">
        <f>IFERROR(__xludf.DUMMYFUNCTION("""COMPUTED_VALUE"""),"First Times a Charm Cider")</f>
        <v>First Times a Charm Cider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IFERROR(__xludf.DUMMYFUNCTION("""COMPUTED_VALUE"""),43546.3712722106)</f>
        <v>43546.37127</v>
      </c>
      <c r="D787" s="23">
        <f>IFERROR(__xludf.DUMMYFUNCTION("""COMPUTED_VALUE"""),1.03)</f>
        <v>1.03</v>
      </c>
      <c r="E787" s="24">
        <f>IFERROR(__xludf.DUMMYFUNCTION("""COMPUTED_VALUE"""),66.0)</f>
        <v>66</v>
      </c>
      <c r="F787" s="27" t="str">
        <f>IFERROR(__xludf.DUMMYFUNCTION("""COMPUTED_VALUE"""),"BLACK")</f>
        <v>BLACK</v>
      </c>
      <c r="G787" s="28" t="str">
        <f>IFERROR(__xludf.DUMMYFUNCTION("""COMPUTED_VALUE"""),"First Times a Charm Cider")</f>
        <v>First Times a Charm Cider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IFERROR(__xludf.DUMMYFUNCTION("""COMPUTED_VALUE"""),43546.3608501041)</f>
        <v>43546.36085</v>
      </c>
      <c r="D788" s="23">
        <f>IFERROR(__xludf.DUMMYFUNCTION("""COMPUTED_VALUE"""),1.029)</f>
        <v>1.029</v>
      </c>
      <c r="E788" s="24">
        <f>IFERROR(__xludf.DUMMYFUNCTION("""COMPUTED_VALUE"""),66.0)</f>
        <v>66</v>
      </c>
      <c r="F788" s="27" t="str">
        <f>IFERROR(__xludf.DUMMYFUNCTION("""COMPUTED_VALUE"""),"BLACK")</f>
        <v>BLACK</v>
      </c>
      <c r="G788" s="28" t="str">
        <f>IFERROR(__xludf.DUMMYFUNCTION("""COMPUTED_VALUE"""),"First Times a Charm Cider")</f>
        <v>First Times a Charm Cider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IFERROR(__xludf.DUMMYFUNCTION("""COMPUTED_VALUE"""),43546.3504269675)</f>
        <v>43546.35043</v>
      </c>
      <c r="D789" s="23">
        <f>IFERROR(__xludf.DUMMYFUNCTION("""COMPUTED_VALUE"""),1.029)</f>
        <v>1.029</v>
      </c>
      <c r="E789" s="24">
        <f>IFERROR(__xludf.DUMMYFUNCTION("""COMPUTED_VALUE"""),66.0)</f>
        <v>66</v>
      </c>
      <c r="F789" s="27" t="str">
        <f>IFERROR(__xludf.DUMMYFUNCTION("""COMPUTED_VALUE"""),"BLACK")</f>
        <v>BLACK</v>
      </c>
      <c r="G789" s="28" t="str">
        <f>IFERROR(__xludf.DUMMYFUNCTION("""COMPUTED_VALUE"""),"First Times a Charm Cider")</f>
        <v>First Times a Charm Cider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IFERROR(__xludf.DUMMYFUNCTION("""COMPUTED_VALUE"""),43546.3400053009)</f>
        <v>43546.34001</v>
      </c>
      <c r="D790" s="23">
        <f>IFERROR(__xludf.DUMMYFUNCTION("""COMPUTED_VALUE"""),1.029)</f>
        <v>1.029</v>
      </c>
      <c r="E790" s="24">
        <f>IFERROR(__xludf.DUMMYFUNCTION("""COMPUTED_VALUE"""),66.0)</f>
        <v>66</v>
      </c>
      <c r="F790" s="27" t="str">
        <f>IFERROR(__xludf.DUMMYFUNCTION("""COMPUTED_VALUE"""),"BLACK")</f>
        <v>BLACK</v>
      </c>
      <c r="G790" s="28" t="str">
        <f>IFERROR(__xludf.DUMMYFUNCTION("""COMPUTED_VALUE"""),"First Times a Charm Cider")</f>
        <v>First Times a Charm Cider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IFERROR(__xludf.DUMMYFUNCTION("""COMPUTED_VALUE"""),43546.3295830208)</f>
        <v>43546.32958</v>
      </c>
      <c r="D791" s="23">
        <f>IFERROR(__xludf.DUMMYFUNCTION("""COMPUTED_VALUE"""),1.029)</f>
        <v>1.029</v>
      </c>
      <c r="E791" s="24">
        <f>IFERROR(__xludf.DUMMYFUNCTION("""COMPUTED_VALUE"""),66.0)</f>
        <v>66</v>
      </c>
      <c r="F791" s="27" t="str">
        <f>IFERROR(__xludf.DUMMYFUNCTION("""COMPUTED_VALUE"""),"BLACK")</f>
        <v>BLACK</v>
      </c>
      <c r="G791" s="28" t="str">
        <f>IFERROR(__xludf.DUMMYFUNCTION("""COMPUTED_VALUE"""),"First Times a Charm Cider")</f>
        <v>First Times a Charm Cider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IFERROR(__xludf.DUMMYFUNCTION("""COMPUTED_VALUE"""),43546.3191503703)</f>
        <v>43546.31915</v>
      </c>
      <c r="D792" s="23">
        <f>IFERROR(__xludf.DUMMYFUNCTION("""COMPUTED_VALUE"""),1.03)</f>
        <v>1.03</v>
      </c>
      <c r="E792" s="24">
        <f>IFERROR(__xludf.DUMMYFUNCTION("""COMPUTED_VALUE"""),66.0)</f>
        <v>66</v>
      </c>
      <c r="F792" s="27" t="str">
        <f>IFERROR(__xludf.DUMMYFUNCTION("""COMPUTED_VALUE"""),"BLACK")</f>
        <v>BLACK</v>
      </c>
      <c r="G792" s="28" t="str">
        <f>IFERROR(__xludf.DUMMYFUNCTION("""COMPUTED_VALUE"""),"First Times a Charm Cider")</f>
        <v>First Times a Charm Cider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IFERROR(__xludf.DUMMYFUNCTION("""COMPUTED_VALUE"""),43546.3087172453)</f>
        <v>43546.30872</v>
      </c>
      <c r="D793" s="23">
        <f>IFERROR(__xludf.DUMMYFUNCTION("""COMPUTED_VALUE"""),1.03)</f>
        <v>1.03</v>
      </c>
      <c r="E793" s="24">
        <f>IFERROR(__xludf.DUMMYFUNCTION("""COMPUTED_VALUE"""),66.0)</f>
        <v>66</v>
      </c>
      <c r="F793" s="27" t="str">
        <f>IFERROR(__xludf.DUMMYFUNCTION("""COMPUTED_VALUE"""),"BLACK")</f>
        <v>BLACK</v>
      </c>
      <c r="G793" s="28" t="str">
        <f>IFERROR(__xludf.DUMMYFUNCTION("""COMPUTED_VALUE"""),"First Times a Charm Cider")</f>
        <v>First Times a Charm Cider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IFERROR(__xludf.DUMMYFUNCTION("""COMPUTED_VALUE"""),43546.2982957176)</f>
        <v>43546.2983</v>
      </c>
      <c r="D794" s="23">
        <f>IFERROR(__xludf.DUMMYFUNCTION("""COMPUTED_VALUE"""),1.03)</f>
        <v>1.03</v>
      </c>
      <c r="E794" s="24">
        <f>IFERROR(__xludf.DUMMYFUNCTION("""COMPUTED_VALUE"""),66.0)</f>
        <v>66</v>
      </c>
      <c r="F794" s="27" t="str">
        <f>IFERROR(__xludf.DUMMYFUNCTION("""COMPUTED_VALUE"""),"BLACK")</f>
        <v>BLACK</v>
      </c>
      <c r="G794" s="28" t="str">
        <f>IFERROR(__xludf.DUMMYFUNCTION("""COMPUTED_VALUE"""),"First Times a Charm Cider")</f>
        <v>First Times a Charm Cider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IFERROR(__xludf.DUMMYFUNCTION("""COMPUTED_VALUE"""),43546.287873912)</f>
        <v>43546.28787</v>
      </c>
      <c r="D795" s="23">
        <f>IFERROR(__xludf.DUMMYFUNCTION("""COMPUTED_VALUE"""),1.029)</f>
        <v>1.029</v>
      </c>
      <c r="E795" s="24">
        <f>IFERROR(__xludf.DUMMYFUNCTION("""COMPUTED_VALUE"""),66.0)</f>
        <v>66</v>
      </c>
      <c r="F795" s="27" t="str">
        <f>IFERROR(__xludf.DUMMYFUNCTION("""COMPUTED_VALUE"""),"BLACK")</f>
        <v>BLACK</v>
      </c>
      <c r="G795" s="28" t="str">
        <f>IFERROR(__xludf.DUMMYFUNCTION("""COMPUTED_VALUE"""),"First Times a Charm Cider")</f>
        <v>First Times a Charm Cider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IFERROR(__xludf.DUMMYFUNCTION("""COMPUTED_VALUE"""),43546.2774531365)</f>
        <v>43546.27745</v>
      </c>
      <c r="D796" s="23">
        <f>IFERROR(__xludf.DUMMYFUNCTION("""COMPUTED_VALUE"""),1.03)</f>
        <v>1.03</v>
      </c>
      <c r="E796" s="24">
        <f>IFERROR(__xludf.DUMMYFUNCTION("""COMPUTED_VALUE"""),66.0)</f>
        <v>66</v>
      </c>
      <c r="F796" s="27" t="str">
        <f>IFERROR(__xludf.DUMMYFUNCTION("""COMPUTED_VALUE"""),"BLACK")</f>
        <v>BLACK</v>
      </c>
      <c r="G796" s="28" t="str">
        <f>IFERROR(__xludf.DUMMYFUNCTION("""COMPUTED_VALUE"""),"First Times a Charm Cider")</f>
        <v>First Times a Charm Cider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IFERROR(__xludf.DUMMYFUNCTION("""COMPUTED_VALUE"""),43546.2670327662)</f>
        <v>43546.26703</v>
      </c>
      <c r="D797" s="23">
        <f>IFERROR(__xludf.DUMMYFUNCTION("""COMPUTED_VALUE"""),1.03)</f>
        <v>1.03</v>
      </c>
      <c r="E797" s="24">
        <f>IFERROR(__xludf.DUMMYFUNCTION("""COMPUTED_VALUE"""),66.0)</f>
        <v>66</v>
      </c>
      <c r="F797" s="27" t="str">
        <f>IFERROR(__xludf.DUMMYFUNCTION("""COMPUTED_VALUE"""),"BLACK")</f>
        <v>BLACK</v>
      </c>
      <c r="G797" s="28" t="str">
        <f>IFERROR(__xludf.DUMMYFUNCTION("""COMPUTED_VALUE"""),"First Times a Charm Cider")</f>
        <v>First Times a Charm Cider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IFERROR(__xludf.DUMMYFUNCTION("""COMPUTED_VALUE"""),43546.2565993171)</f>
        <v>43546.2566</v>
      </c>
      <c r="D798" s="23">
        <f>IFERROR(__xludf.DUMMYFUNCTION("""COMPUTED_VALUE"""),1.03)</f>
        <v>1.03</v>
      </c>
      <c r="E798" s="24">
        <f>IFERROR(__xludf.DUMMYFUNCTION("""COMPUTED_VALUE"""),66.0)</f>
        <v>66</v>
      </c>
      <c r="F798" s="27" t="str">
        <f>IFERROR(__xludf.DUMMYFUNCTION("""COMPUTED_VALUE"""),"BLACK")</f>
        <v>BLACK</v>
      </c>
      <c r="G798" s="28" t="str">
        <f>IFERROR(__xludf.DUMMYFUNCTION("""COMPUTED_VALUE"""),"First Times a Charm Cider")</f>
        <v>First Times a Charm Cider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IFERROR(__xludf.DUMMYFUNCTION("""COMPUTED_VALUE"""),43546.2461765972)</f>
        <v>43546.24618</v>
      </c>
      <c r="D799" s="23">
        <f>IFERROR(__xludf.DUMMYFUNCTION("""COMPUTED_VALUE"""),1.029)</f>
        <v>1.029</v>
      </c>
      <c r="E799" s="24">
        <f>IFERROR(__xludf.DUMMYFUNCTION("""COMPUTED_VALUE"""),66.0)</f>
        <v>66</v>
      </c>
      <c r="F799" s="27" t="str">
        <f>IFERROR(__xludf.DUMMYFUNCTION("""COMPUTED_VALUE"""),"BLACK")</f>
        <v>BLACK</v>
      </c>
      <c r="G799" s="28" t="str">
        <f>IFERROR(__xludf.DUMMYFUNCTION("""COMPUTED_VALUE"""),"First Times a Charm Cider")</f>
        <v>First Times a Charm Cider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IFERROR(__xludf.DUMMYFUNCTION("""COMPUTED_VALUE"""),43546.2357453819)</f>
        <v>43546.23575</v>
      </c>
      <c r="D800" s="23">
        <f>IFERROR(__xludf.DUMMYFUNCTION("""COMPUTED_VALUE"""),1.03)</f>
        <v>1.03</v>
      </c>
      <c r="E800" s="24">
        <f>IFERROR(__xludf.DUMMYFUNCTION("""COMPUTED_VALUE"""),66.0)</f>
        <v>66</v>
      </c>
      <c r="F800" s="27" t="str">
        <f>IFERROR(__xludf.DUMMYFUNCTION("""COMPUTED_VALUE"""),"BLACK")</f>
        <v>BLACK</v>
      </c>
      <c r="G800" s="28" t="str">
        <f>IFERROR(__xludf.DUMMYFUNCTION("""COMPUTED_VALUE"""),"First Times a Charm Cider")</f>
        <v>First Times a Charm Cider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IFERROR(__xludf.DUMMYFUNCTION("""COMPUTED_VALUE"""),43546.2253133101)</f>
        <v>43546.22531</v>
      </c>
      <c r="D801" s="23">
        <f>IFERROR(__xludf.DUMMYFUNCTION("""COMPUTED_VALUE"""),1.03)</f>
        <v>1.03</v>
      </c>
      <c r="E801" s="24">
        <f>IFERROR(__xludf.DUMMYFUNCTION("""COMPUTED_VALUE"""),66.0)</f>
        <v>66</v>
      </c>
      <c r="F801" s="27" t="str">
        <f>IFERROR(__xludf.DUMMYFUNCTION("""COMPUTED_VALUE"""),"BLACK")</f>
        <v>BLACK</v>
      </c>
      <c r="G801" s="28" t="str">
        <f>IFERROR(__xludf.DUMMYFUNCTION("""COMPUTED_VALUE"""),"First Times a Charm Cider")</f>
        <v>First Times a Charm Cider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IFERROR(__xludf.DUMMYFUNCTION("""COMPUTED_VALUE"""),43546.2148931597)</f>
        <v>43546.21489</v>
      </c>
      <c r="D802" s="23">
        <f>IFERROR(__xludf.DUMMYFUNCTION("""COMPUTED_VALUE"""),1.03)</f>
        <v>1.03</v>
      </c>
      <c r="E802" s="24">
        <f>IFERROR(__xludf.DUMMYFUNCTION("""COMPUTED_VALUE"""),66.0)</f>
        <v>66</v>
      </c>
      <c r="F802" s="27" t="str">
        <f>IFERROR(__xludf.DUMMYFUNCTION("""COMPUTED_VALUE"""),"BLACK")</f>
        <v>BLACK</v>
      </c>
      <c r="G802" s="28" t="str">
        <f>IFERROR(__xludf.DUMMYFUNCTION("""COMPUTED_VALUE"""),"First Times a Charm Cider")</f>
        <v>First Times a Charm Cider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IFERROR(__xludf.DUMMYFUNCTION("""COMPUTED_VALUE"""),43546.2044377893)</f>
        <v>43546.20444</v>
      </c>
      <c r="D803" s="23">
        <f>IFERROR(__xludf.DUMMYFUNCTION("""COMPUTED_VALUE"""),1.03)</f>
        <v>1.03</v>
      </c>
      <c r="E803" s="24">
        <f>IFERROR(__xludf.DUMMYFUNCTION("""COMPUTED_VALUE"""),66.0)</f>
        <v>66</v>
      </c>
      <c r="F803" s="27" t="str">
        <f>IFERROR(__xludf.DUMMYFUNCTION("""COMPUTED_VALUE"""),"BLACK")</f>
        <v>BLACK</v>
      </c>
      <c r="G803" s="28" t="str">
        <f>IFERROR(__xludf.DUMMYFUNCTION("""COMPUTED_VALUE"""),"First Times a Charm Cider")</f>
        <v>First Times a Charm Cider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IFERROR(__xludf.DUMMYFUNCTION("""COMPUTED_VALUE"""),43546.1940174537)</f>
        <v>43546.19402</v>
      </c>
      <c r="D804" s="23">
        <f>IFERROR(__xludf.DUMMYFUNCTION("""COMPUTED_VALUE"""),1.03)</f>
        <v>1.03</v>
      </c>
      <c r="E804" s="24">
        <f>IFERROR(__xludf.DUMMYFUNCTION("""COMPUTED_VALUE"""),66.0)</f>
        <v>66</v>
      </c>
      <c r="F804" s="27" t="str">
        <f>IFERROR(__xludf.DUMMYFUNCTION("""COMPUTED_VALUE"""),"BLACK")</f>
        <v>BLACK</v>
      </c>
      <c r="G804" s="28" t="str">
        <f>IFERROR(__xludf.DUMMYFUNCTION("""COMPUTED_VALUE"""),"First Times a Charm Cider")</f>
        <v>First Times a Charm Cider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IFERROR(__xludf.DUMMYFUNCTION("""COMPUTED_VALUE"""),43546.1835955324)</f>
        <v>43546.1836</v>
      </c>
      <c r="D805" s="23">
        <f>IFERROR(__xludf.DUMMYFUNCTION("""COMPUTED_VALUE"""),1.03)</f>
        <v>1.03</v>
      </c>
      <c r="E805" s="24">
        <f>IFERROR(__xludf.DUMMYFUNCTION("""COMPUTED_VALUE"""),66.0)</f>
        <v>66</v>
      </c>
      <c r="F805" s="27" t="str">
        <f>IFERROR(__xludf.DUMMYFUNCTION("""COMPUTED_VALUE"""),"BLACK")</f>
        <v>BLACK</v>
      </c>
      <c r="G805" s="28" t="str">
        <f>IFERROR(__xludf.DUMMYFUNCTION("""COMPUTED_VALUE"""),"First Times a Charm Cider")</f>
        <v>First Times a Charm Cider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IFERROR(__xludf.DUMMYFUNCTION("""COMPUTED_VALUE"""),43546.1731754629)</f>
        <v>43546.17318</v>
      </c>
      <c r="D806" s="23">
        <f>IFERROR(__xludf.DUMMYFUNCTION("""COMPUTED_VALUE"""),1.03)</f>
        <v>1.03</v>
      </c>
      <c r="E806" s="24">
        <f>IFERROR(__xludf.DUMMYFUNCTION("""COMPUTED_VALUE"""),66.0)</f>
        <v>66</v>
      </c>
      <c r="F806" s="27" t="str">
        <f>IFERROR(__xludf.DUMMYFUNCTION("""COMPUTED_VALUE"""),"BLACK")</f>
        <v>BLACK</v>
      </c>
      <c r="G806" s="28" t="str">
        <f>IFERROR(__xludf.DUMMYFUNCTION("""COMPUTED_VALUE"""),"First Times a Charm Cider")</f>
        <v>First Times a Charm Cider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IFERROR(__xludf.DUMMYFUNCTION("""COMPUTED_VALUE"""),43546.1627545717)</f>
        <v>43546.16275</v>
      </c>
      <c r="D807" s="23">
        <f>IFERROR(__xludf.DUMMYFUNCTION("""COMPUTED_VALUE"""),1.03)</f>
        <v>1.03</v>
      </c>
      <c r="E807" s="24">
        <f>IFERROR(__xludf.DUMMYFUNCTION("""COMPUTED_VALUE"""),66.0)</f>
        <v>66</v>
      </c>
      <c r="F807" s="27" t="str">
        <f>IFERROR(__xludf.DUMMYFUNCTION("""COMPUTED_VALUE"""),"BLACK")</f>
        <v>BLACK</v>
      </c>
      <c r="G807" s="28" t="str">
        <f>IFERROR(__xludf.DUMMYFUNCTION("""COMPUTED_VALUE"""),"First Times a Charm Cider")</f>
        <v>First Times a Charm Cider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IFERROR(__xludf.DUMMYFUNCTION("""COMPUTED_VALUE"""),43546.1523325)</f>
        <v>43546.15233</v>
      </c>
      <c r="D808" s="23">
        <f>IFERROR(__xludf.DUMMYFUNCTION("""COMPUTED_VALUE"""),1.03)</f>
        <v>1.03</v>
      </c>
      <c r="E808" s="24">
        <f>IFERROR(__xludf.DUMMYFUNCTION("""COMPUTED_VALUE"""),66.0)</f>
        <v>66</v>
      </c>
      <c r="F808" s="27" t="str">
        <f>IFERROR(__xludf.DUMMYFUNCTION("""COMPUTED_VALUE"""),"BLACK")</f>
        <v>BLACK</v>
      </c>
      <c r="G808" s="28" t="str">
        <f>IFERROR(__xludf.DUMMYFUNCTION("""COMPUTED_VALUE"""),"First Times a Charm Cider")</f>
        <v>First Times a Charm Cider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IFERROR(__xludf.DUMMYFUNCTION("""COMPUTED_VALUE"""),43546.1419097916)</f>
        <v>43546.14191</v>
      </c>
      <c r="D809" s="23">
        <f>IFERROR(__xludf.DUMMYFUNCTION("""COMPUTED_VALUE"""),1.03)</f>
        <v>1.03</v>
      </c>
      <c r="E809" s="24">
        <f>IFERROR(__xludf.DUMMYFUNCTION("""COMPUTED_VALUE"""),66.0)</f>
        <v>66</v>
      </c>
      <c r="F809" s="27" t="str">
        <f>IFERROR(__xludf.DUMMYFUNCTION("""COMPUTED_VALUE"""),"BLACK")</f>
        <v>BLACK</v>
      </c>
      <c r="G809" s="28" t="str">
        <f>IFERROR(__xludf.DUMMYFUNCTION("""COMPUTED_VALUE"""),"First Times a Charm Cider")</f>
        <v>First Times a Charm Cider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IFERROR(__xludf.DUMMYFUNCTION("""COMPUTED_VALUE"""),43546.131476875)</f>
        <v>43546.13148</v>
      </c>
      <c r="D810" s="23">
        <f>IFERROR(__xludf.DUMMYFUNCTION("""COMPUTED_VALUE"""),1.03)</f>
        <v>1.03</v>
      </c>
      <c r="E810" s="24">
        <f>IFERROR(__xludf.DUMMYFUNCTION("""COMPUTED_VALUE"""),66.0)</f>
        <v>66</v>
      </c>
      <c r="F810" s="27" t="str">
        <f>IFERROR(__xludf.DUMMYFUNCTION("""COMPUTED_VALUE"""),"BLACK")</f>
        <v>BLACK</v>
      </c>
      <c r="G810" s="28" t="str">
        <f>IFERROR(__xludf.DUMMYFUNCTION("""COMPUTED_VALUE"""),"First Times a Charm Cider")</f>
        <v>First Times a Charm Cider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IFERROR(__xludf.DUMMYFUNCTION("""COMPUTED_VALUE"""),43546.1210548958)</f>
        <v>43546.12105</v>
      </c>
      <c r="D811" s="23">
        <f>IFERROR(__xludf.DUMMYFUNCTION("""COMPUTED_VALUE"""),1.03)</f>
        <v>1.03</v>
      </c>
      <c r="E811" s="24">
        <f>IFERROR(__xludf.DUMMYFUNCTION("""COMPUTED_VALUE"""),66.0)</f>
        <v>66</v>
      </c>
      <c r="F811" s="27" t="str">
        <f>IFERROR(__xludf.DUMMYFUNCTION("""COMPUTED_VALUE"""),"BLACK")</f>
        <v>BLACK</v>
      </c>
      <c r="G811" s="28" t="str">
        <f>IFERROR(__xludf.DUMMYFUNCTION("""COMPUTED_VALUE"""),"First Times a Charm Cider")</f>
        <v>First Times a Charm Cider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IFERROR(__xludf.DUMMYFUNCTION("""COMPUTED_VALUE"""),43546.1106233101)</f>
        <v>43546.11062</v>
      </c>
      <c r="D812" s="23">
        <f>IFERROR(__xludf.DUMMYFUNCTION("""COMPUTED_VALUE"""),1.03)</f>
        <v>1.03</v>
      </c>
      <c r="E812" s="24">
        <f>IFERROR(__xludf.DUMMYFUNCTION("""COMPUTED_VALUE"""),66.0)</f>
        <v>66</v>
      </c>
      <c r="F812" s="27" t="str">
        <f>IFERROR(__xludf.DUMMYFUNCTION("""COMPUTED_VALUE"""),"BLACK")</f>
        <v>BLACK</v>
      </c>
      <c r="G812" s="28" t="str">
        <f>IFERROR(__xludf.DUMMYFUNCTION("""COMPUTED_VALUE"""),"First Times a Charm Cider")</f>
        <v>First Times a Charm Cider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IFERROR(__xludf.DUMMYFUNCTION("""COMPUTED_VALUE"""),43546.1002031713)</f>
        <v>43546.1002</v>
      </c>
      <c r="D813" s="23">
        <f>IFERROR(__xludf.DUMMYFUNCTION("""COMPUTED_VALUE"""),1.03)</f>
        <v>1.03</v>
      </c>
      <c r="E813" s="24">
        <f>IFERROR(__xludf.DUMMYFUNCTION("""COMPUTED_VALUE"""),66.0)</f>
        <v>66</v>
      </c>
      <c r="F813" s="27" t="str">
        <f>IFERROR(__xludf.DUMMYFUNCTION("""COMPUTED_VALUE"""),"BLACK")</f>
        <v>BLACK</v>
      </c>
      <c r="G813" s="28" t="str">
        <f>IFERROR(__xludf.DUMMYFUNCTION("""COMPUTED_VALUE"""),"First Times a Charm Cider")</f>
        <v>First Times a Charm Cider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IFERROR(__xludf.DUMMYFUNCTION("""COMPUTED_VALUE"""),43546.089782905)</f>
        <v>43546.08978</v>
      </c>
      <c r="D814" s="23">
        <f>IFERROR(__xludf.DUMMYFUNCTION("""COMPUTED_VALUE"""),1.03)</f>
        <v>1.03</v>
      </c>
      <c r="E814" s="24">
        <f>IFERROR(__xludf.DUMMYFUNCTION("""COMPUTED_VALUE"""),66.0)</f>
        <v>66</v>
      </c>
      <c r="F814" s="27" t="str">
        <f>IFERROR(__xludf.DUMMYFUNCTION("""COMPUTED_VALUE"""),"BLACK")</f>
        <v>BLACK</v>
      </c>
      <c r="G814" s="28" t="str">
        <f>IFERROR(__xludf.DUMMYFUNCTION("""COMPUTED_VALUE"""),"First Times a Charm Cider")</f>
        <v>First Times a Charm Cider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IFERROR(__xludf.DUMMYFUNCTION("""COMPUTED_VALUE"""),43546.0793508564)</f>
        <v>43546.07935</v>
      </c>
      <c r="D815" s="23">
        <f>IFERROR(__xludf.DUMMYFUNCTION("""COMPUTED_VALUE"""),1.03)</f>
        <v>1.03</v>
      </c>
      <c r="E815" s="24">
        <f>IFERROR(__xludf.DUMMYFUNCTION("""COMPUTED_VALUE"""),66.0)</f>
        <v>66</v>
      </c>
      <c r="F815" s="27" t="str">
        <f>IFERROR(__xludf.DUMMYFUNCTION("""COMPUTED_VALUE"""),"BLACK")</f>
        <v>BLACK</v>
      </c>
      <c r="G815" s="28" t="str">
        <f>IFERROR(__xludf.DUMMYFUNCTION("""COMPUTED_VALUE"""),"First Times a Charm Cider")</f>
        <v>First Times a Charm Cider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IFERROR(__xludf.DUMMYFUNCTION("""COMPUTED_VALUE"""),43546.0689301736)</f>
        <v>43546.06893</v>
      </c>
      <c r="D816" s="23">
        <f>IFERROR(__xludf.DUMMYFUNCTION("""COMPUTED_VALUE"""),1.03)</f>
        <v>1.03</v>
      </c>
      <c r="E816" s="24">
        <f>IFERROR(__xludf.DUMMYFUNCTION("""COMPUTED_VALUE"""),66.0)</f>
        <v>66</v>
      </c>
      <c r="F816" s="27" t="str">
        <f>IFERROR(__xludf.DUMMYFUNCTION("""COMPUTED_VALUE"""),"BLACK")</f>
        <v>BLACK</v>
      </c>
      <c r="G816" s="28" t="str">
        <f>IFERROR(__xludf.DUMMYFUNCTION("""COMPUTED_VALUE"""),"First Times a Charm Cider")</f>
        <v>First Times a Charm Cider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IFERROR(__xludf.DUMMYFUNCTION("""COMPUTED_VALUE"""),43546.0584974421)</f>
        <v>43546.0585</v>
      </c>
      <c r="D817" s="23">
        <f>IFERROR(__xludf.DUMMYFUNCTION("""COMPUTED_VALUE"""),1.03)</f>
        <v>1.03</v>
      </c>
      <c r="E817" s="24">
        <f>IFERROR(__xludf.DUMMYFUNCTION("""COMPUTED_VALUE"""),66.0)</f>
        <v>66</v>
      </c>
      <c r="F817" s="27" t="str">
        <f>IFERROR(__xludf.DUMMYFUNCTION("""COMPUTED_VALUE"""),"BLACK")</f>
        <v>BLACK</v>
      </c>
      <c r="G817" s="28" t="str">
        <f>IFERROR(__xludf.DUMMYFUNCTION("""COMPUTED_VALUE"""),"First Times a Charm Cider")</f>
        <v>First Times a Charm Cider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IFERROR(__xludf.DUMMYFUNCTION("""COMPUTED_VALUE"""),43546.048052824)</f>
        <v>43546.04805</v>
      </c>
      <c r="D818" s="23">
        <f>IFERROR(__xludf.DUMMYFUNCTION("""COMPUTED_VALUE"""),1.03)</f>
        <v>1.03</v>
      </c>
      <c r="E818" s="24">
        <f>IFERROR(__xludf.DUMMYFUNCTION("""COMPUTED_VALUE"""),66.0)</f>
        <v>66</v>
      </c>
      <c r="F818" s="27" t="str">
        <f>IFERROR(__xludf.DUMMYFUNCTION("""COMPUTED_VALUE"""),"BLACK")</f>
        <v>BLACK</v>
      </c>
      <c r="G818" s="28" t="str">
        <f>IFERROR(__xludf.DUMMYFUNCTION("""COMPUTED_VALUE"""),"First Times a Charm Cider")</f>
        <v>First Times a Charm Cider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IFERROR(__xludf.DUMMYFUNCTION("""COMPUTED_VALUE"""),43546.0376202546)</f>
        <v>43546.03762</v>
      </c>
      <c r="D819" s="23">
        <f>IFERROR(__xludf.DUMMYFUNCTION("""COMPUTED_VALUE"""),1.03)</f>
        <v>1.03</v>
      </c>
      <c r="E819" s="24">
        <f>IFERROR(__xludf.DUMMYFUNCTION("""COMPUTED_VALUE"""),66.0)</f>
        <v>66</v>
      </c>
      <c r="F819" s="27" t="str">
        <f>IFERROR(__xludf.DUMMYFUNCTION("""COMPUTED_VALUE"""),"BLACK")</f>
        <v>BLACK</v>
      </c>
      <c r="G819" s="28" t="str">
        <f>IFERROR(__xludf.DUMMYFUNCTION("""COMPUTED_VALUE"""),"First Times a Charm Cider")</f>
        <v>First Times a Charm Cider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IFERROR(__xludf.DUMMYFUNCTION("""COMPUTED_VALUE"""),43546.0271994444)</f>
        <v>43546.0272</v>
      </c>
      <c r="D820" s="23">
        <f>IFERROR(__xludf.DUMMYFUNCTION("""COMPUTED_VALUE"""),1.03)</f>
        <v>1.03</v>
      </c>
      <c r="E820" s="24">
        <f>IFERROR(__xludf.DUMMYFUNCTION("""COMPUTED_VALUE"""),66.0)</f>
        <v>66</v>
      </c>
      <c r="F820" s="27" t="str">
        <f>IFERROR(__xludf.DUMMYFUNCTION("""COMPUTED_VALUE"""),"BLACK")</f>
        <v>BLACK</v>
      </c>
      <c r="G820" s="28" t="str">
        <f>IFERROR(__xludf.DUMMYFUNCTION("""COMPUTED_VALUE"""),"First Times a Charm Cider")</f>
        <v>First Times a Charm Cider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IFERROR(__xludf.DUMMYFUNCTION("""COMPUTED_VALUE"""),43546.0167766088)</f>
        <v>43546.01678</v>
      </c>
      <c r="D821" s="23">
        <f>IFERROR(__xludf.DUMMYFUNCTION("""COMPUTED_VALUE"""),1.03)</f>
        <v>1.03</v>
      </c>
      <c r="E821" s="24">
        <f>IFERROR(__xludf.DUMMYFUNCTION("""COMPUTED_VALUE"""),66.0)</f>
        <v>66</v>
      </c>
      <c r="F821" s="27" t="str">
        <f>IFERROR(__xludf.DUMMYFUNCTION("""COMPUTED_VALUE"""),"BLACK")</f>
        <v>BLACK</v>
      </c>
      <c r="G821" s="28" t="str">
        <f>IFERROR(__xludf.DUMMYFUNCTION("""COMPUTED_VALUE"""),"First Times a Charm Cider")</f>
        <v>First Times a Charm Cider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IFERROR(__xludf.DUMMYFUNCTION("""COMPUTED_VALUE"""),43546.0063558333)</f>
        <v>43546.00636</v>
      </c>
      <c r="D822" s="23">
        <f>IFERROR(__xludf.DUMMYFUNCTION("""COMPUTED_VALUE"""),1.03)</f>
        <v>1.03</v>
      </c>
      <c r="E822" s="24">
        <f>IFERROR(__xludf.DUMMYFUNCTION("""COMPUTED_VALUE"""),66.0)</f>
        <v>66</v>
      </c>
      <c r="F822" s="27" t="str">
        <f>IFERROR(__xludf.DUMMYFUNCTION("""COMPUTED_VALUE"""),"BLACK")</f>
        <v>BLACK</v>
      </c>
      <c r="G822" s="28" t="str">
        <f>IFERROR(__xludf.DUMMYFUNCTION("""COMPUTED_VALUE"""),"First Times a Charm Cider")</f>
        <v>First Times a Charm Cider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IFERROR(__xludf.DUMMYFUNCTION("""COMPUTED_VALUE"""),43545.9958773726)</f>
        <v>43545.99588</v>
      </c>
      <c r="D823" s="23">
        <f>IFERROR(__xludf.DUMMYFUNCTION("""COMPUTED_VALUE"""),1.03)</f>
        <v>1.03</v>
      </c>
      <c r="E823" s="24">
        <f>IFERROR(__xludf.DUMMYFUNCTION("""COMPUTED_VALUE"""),66.0)</f>
        <v>66</v>
      </c>
      <c r="F823" s="27" t="str">
        <f>IFERROR(__xludf.DUMMYFUNCTION("""COMPUTED_VALUE"""),"BLACK")</f>
        <v>BLACK</v>
      </c>
      <c r="G823" s="28" t="str">
        <f>IFERROR(__xludf.DUMMYFUNCTION("""COMPUTED_VALUE"""),"First Times a Charm Cider")</f>
        <v>First Times a Charm Cider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IFERROR(__xludf.DUMMYFUNCTION("""COMPUTED_VALUE"""),43545.9854460185)</f>
        <v>43545.98545</v>
      </c>
      <c r="D824" s="23">
        <f>IFERROR(__xludf.DUMMYFUNCTION("""COMPUTED_VALUE"""),1.03)</f>
        <v>1.03</v>
      </c>
      <c r="E824" s="24">
        <f>IFERROR(__xludf.DUMMYFUNCTION("""COMPUTED_VALUE"""),66.0)</f>
        <v>66</v>
      </c>
      <c r="F824" s="27" t="str">
        <f>IFERROR(__xludf.DUMMYFUNCTION("""COMPUTED_VALUE"""),"BLACK")</f>
        <v>BLACK</v>
      </c>
      <c r="G824" s="28" t="str">
        <f>IFERROR(__xludf.DUMMYFUNCTION("""COMPUTED_VALUE"""),"First Times a Charm Cider")</f>
        <v>First Times a Charm Cider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IFERROR(__xludf.DUMMYFUNCTION("""COMPUTED_VALUE"""),43545.9749675115)</f>
        <v>43545.97497</v>
      </c>
      <c r="D825" s="23">
        <f>IFERROR(__xludf.DUMMYFUNCTION("""COMPUTED_VALUE"""),1.03)</f>
        <v>1.03</v>
      </c>
      <c r="E825" s="24">
        <f>IFERROR(__xludf.DUMMYFUNCTION("""COMPUTED_VALUE"""),66.0)</f>
        <v>66</v>
      </c>
      <c r="F825" s="27" t="str">
        <f>IFERROR(__xludf.DUMMYFUNCTION("""COMPUTED_VALUE"""),"BLACK")</f>
        <v>BLACK</v>
      </c>
      <c r="G825" s="28" t="str">
        <f>IFERROR(__xludf.DUMMYFUNCTION("""COMPUTED_VALUE"""),"First Times a Charm Cider")</f>
        <v>First Times a Charm Cider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IFERROR(__xludf.DUMMYFUNCTION("""COMPUTED_VALUE"""),43545.9645213078)</f>
        <v>43545.96452</v>
      </c>
      <c r="D826" s="23">
        <f>IFERROR(__xludf.DUMMYFUNCTION("""COMPUTED_VALUE"""),1.03)</f>
        <v>1.03</v>
      </c>
      <c r="E826" s="24">
        <f>IFERROR(__xludf.DUMMYFUNCTION("""COMPUTED_VALUE"""),66.0)</f>
        <v>66</v>
      </c>
      <c r="F826" s="27" t="str">
        <f>IFERROR(__xludf.DUMMYFUNCTION("""COMPUTED_VALUE"""),"BLACK")</f>
        <v>BLACK</v>
      </c>
      <c r="G826" s="28" t="str">
        <f>IFERROR(__xludf.DUMMYFUNCTION("""COMPUTED_VALUE"""),"First Times a Charm Cider")</f>
        <v>First Times a Charm Cider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IFERROR(__xludf.DUMMYFUNCTION("""COMPUTED_VALUE"""),43545.9541008217)</f>
        <v>43545.9541</v>
      </c>
      <c r="D827" s="23">
        <f>IFERROR(__xludf.DUMMYFUNCTION("""COMPUTED_VALUE"""),1.03)</f>
        <v>1.03</v>
      </c>
      <c r="E827" s="24">
        <f>IFERROR(__xludf.DUMMYFUNCTION("""COMPUTED_VALUE"""),66.0)</f>
        <v>66</v>
      </c>
      <c r="F827" s="27" t="str">
        <f>IFERROR(__xludf.DUMMYFUNCTION("""COMPUTED_VALUE"""),"BLACK")</f>
        <v>BLACK</v>
      </c>
      <c r="G827" s="28" t="str">
        <f>IFERROR(__xludf.DUMMYFUNCTION("""COMPUTED_VALUE"""),"First Times a Charm Cider")</f>
        <v>First Times a Charm Cider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IFERROR(__xludf.DUMMYFUNCTION("""COMPUTED_VALUE"""),43545.9436682407)</f>
        <v>43545.94367</v>
      </c>
      <c r="D828" s="23">
        <f>IFERROR(__xludf.DUMMYFUNCTION("""COMPUTED_VALUE"""),1.03)</f>
        <v>1.03</v>
      </c>
      <c r="E828" s="24">
        <f>IFERROR(__xludf.DUMMYFUNCTION("""COMPUTED_VALUE"""),66.0)</f>
        <v>66</v>
      </c>
      <c r="F828" s="27" t="str">
        <f>IFERROR(__xludf.DUMMYFUNCTION("""COMPUTED_VALUE"""),"BLACK")</f>
        <v>BLACK</v>
      </c>
      <c r="G828" s="28" t="str">
        <f>IFERROR(__xludf.DUMMYFUNCTION("""COMPUTED_VALUE"""),"First Times a Charm Cider")</f>
        <v>First Times a Charm Cider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IFERROR(__xludf.DUMMYFUNCTION("""COMPUTED_VALUE"""),43545.9332232291)</f>
        <v>43545.93322</v>
      </c>
      <c r="D829" s="23">
        <f>IFERROR(__xludf.DUMMYFUNCTION("""COMPUTED_VALUE"""),1.03)</f>
        <v>1.03</v>
      </c>
      <c r="E829" s="24">
        <f>IFERROR(__xludf.DUMMYFUNCTION("""COMPUTED_VALUE"""),66.0)</f>
        <v>66</v>
      </c>
      <c r="F829" s="27" t="str">
        <f>IFERROR(__xludf.DUMMYFUNCTION("""COMPUTED_VALUE"""),"BLACK")</f>
        <v>BLACK</v>
      </c>
      <c r="G829" s="28" t="str">
        <f>IFERROR(__xludf.DUMMYFUNCTION("""COMPUTED_VALUE"""),"First Times a Charm Cider")</f>
        <v>First Times a Charm Cider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IFERROR(__xludf.DUMMYFUNCTION("""COMPUTED_VALUE"""),43545.9227443634)</f>
        <v>43545.92274</v>
      </c>
      <c r="D830" s="23">
        <f>IFERROR(__xludf.DUMMYFUNCTION("""COMPUTED_VALUE"""),1.03)</f>
        <v>1.03</v>
      </c>
      <c r="E830" s="24">
        <f>IFERROR(__xludf.DUMMYFUNCTION("""COMPUTED_VALUE"""),66.0)</f>
        <v>66</v>
      </c>
      <c r="F830" s="27" t="str">
        <f>IFERROR(__xludf.DUMMYFUNCTION("""COMPUTED_VALUE"""),"BLACK")</f>
        <v>BLACK</v>
      </c>
      <c r="G830" s="28" t="str">
        <f>IFERROR(__xludf.DUMMYFUNCTION("""COMPUTED_VALUE"""),"First Times a Charm Cider")</f>
        <v>First Times a Charm Cider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IFERROR(__xludf.DUMMYFUNCTION("""COMPUTED_VALUE"""),43545.9123226388)</f>
        <v>43545.91232</v>
      </c>
      <c r="D831" s="23">
        <f>IFERROR(__xludf.DUMMYFUNCTION("""COMPUTED_VALUE"""),1.03)</f>
        <v>1.03</v>
      </c>
      <c r="E831" s="24">
        <f>IFERROR(__xludf.DUMMYFUNCTION("""COMPUTED_VALUE"""),66.0)</f>
        <v>66</v>
      </c>
      <c r="F831" s="27" t="str">
        <f>IFERROR(__xludf.DUMMYFUNCTION("""COMPUTED_VALUE"""),"BLACK")</f>
        <v>BLACK</v>
      </c>
      <c r="G831" s="28" t="str">
        <f>IFERROR(__xludf.DUMMYFUNCTION("""COMPUTED_VALUE"""),"First Times a Charm Cider")</f>
        <v>First Times a Charm Cider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IFERROR(__xludf.DUMMYFUNCTION("""COMPUTED_VALUE"""),43545.9019000463)</f>
        <v>43545.9019</v>
      </c>
      <c r="D832" s="23">
        <f>IFERROR(__xludf.DUMMYFUNCTION("""COMPUTED_VALUE"""),1.03)</f>
        <v>1.03</v>
      </c>
      <c r="E832" s="24">
        <f>IFERROR(__xludf.DUMMYFUNCTION("""COMPUTED_VALUE"""),66.0)</f>
        <v>66</v>
      </c>
      <c r="F832" s="27" t="str">
        <f>IFERROR(__xludf.DUMMYFUNCTION("""COMPUTED_VALUE"""),"BLACK")</f>
        <v>BLACK</v>
      </c>
      <c r="G832" s="28" t="str">
        <f>IFERROR(__xludf.DUMMYFUNCTION("""COMPUTED_VALUE"""),"First Times a Charm Cider")</f>
        <v>First Times a Charm Cider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IFERROR(__xludf.DUMMYFUNCTION("""COMPUTED_VALUE"""),43545.8914660532)</f>
        <v>43545.89147</v>
      </c>
      <c r="D833" s="23">
        <f>IFERROR(__xludf.DUMMYFUNCTION("""COMPUTED_VALUE"""),1.03)</f>
        <v>1.03</v>
      </c>
      <c r="E833" s="24">
        <f>IFERROR(__xludf.DUMMYFUNCTION("""COMPUTED_VALUE"""),66.0)</f>
        <v>66</v>
      </c>
      <c r="F833" s="27" t="str">
        <f>IFERROR(__xludf.DUMMYFUNCTION("""COMPUTED_VALUE"""),"BLACK")</f>
        <v>BLACK</v>
      </c>
      <c r="G833" s="28" t="str">
        <f>IFERROR(__xludf.DUMMYFUNCTION("""COMPUTED_VALUE"""),"First Times a Charm Cider")</f>
        <v>First Times a Charm Cider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IFERROR(__xludf.DUMMYFUNCTION("""COMPUTED_VALUE"""),43545.8810218055)</f>
        <v>43545.88102</v>
      </c>
      <c r="D834" s="23">
        <f>IFERROR(__xludf.DUMMYFUNCTION("""COMPUTED_VALUE"""),1.03)</f>
        <v>1.03</v>
      </c>
      <c r="E834" s="24">
        <f>IFERROR(__xludf.DUMMYFUNCTION("""COMPUTED_VALUE"""),66.0)</f>
        <v>66</v>
      </c>
      <c r="F834" s="27" t="str">
        <f>IFERROR(__xludf.DUMMYFUNCTION("""COMPUTED_VALUE"""),"BLACK")</f>
        <v>BLACK</v>
      </c>
      <c r="G834" s="28" t="str">
        <f>IFERROR(__xludf.DUMMYFUNCTION("""COMPUTED_VALUE"""),"First Times a Charm Cider")</f>
        <v>First Times a Charm Cider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IFERROR(__xludf.DUMMYFUNCTION("""COMPUTED_VALUE"""),43545.8705416782)</f>
        <v>43545.87054</v>
      </c>
      <c r="D835" s="23">
        <f>IFERROR(__xludf.DUMMYFUNCTION("""COMPUTED_VALUE"""),1.03)</f>
        <v>1.03</v>
      </c>
      <c r="E835" s="24">
        <f>IFERROR(__xludf.DUMMYFUNCTION("""COMPUTED_VALUE"""),66.0)</f>
        <v>66</v>
      </c>
      <c r="F835" s="27" t="str">
        <f>IFERROR(__xludf.DUMMYFUNCTION("""COMPUTED_VALUE"""),"BLACK")</f>
        <v>BLACK</v>
      </c>
      <c r="G835" s="28" t="str">
        <f>IFERROR(__xludf.DUMMYFUNCTION("""COMPUTED_VALUE"""),"First Times a Charm Cider")</f>
        <v>First Times a Charm Cider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IFERROR(__xludf.DUMMYFUNCTION("""COMPUTED_VALUE"""),43545.8600987731)</f>
        <v>43545.8601</v>
      </c>
      <c r="D836" s="23">
        <f>IFERROR(__xludf.DUMMYFUNCTION("""COMPUTED_VALUE"""),1.03)</f>
        <v>1.03</v>
      </c>
      <c r="E836" s="24">
        <f>IFERROR(__xludf.DUMMYFUNCTION("""COMPUTED_VALUE"""),66.0)</f>
        <v>66</v>
      </c>
      <c r="F836" s="27" t="str">
        <f>IFERROR(__xludf.DUMMYFUNCTION("""COMPUTED_VALUE"""),"BLACK")</f>
        <v>BLACK</v>
      </c>
      <c r="G836" s="28" t="str">
        <f>IFERROR(__xludf.DUMMYFUNCTION("""COMPUTED_VALUE"""),"First Times a Charm Cider")</f>
        <v>First Times a Charm Cider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IFERROR(__xludf.DUMMYFUNCTION("""COMPUTED_VALUE"""),43545.8496767708)</f>
        <v>43545.84968</v>
      </c>
      <c r="D837" s="23">
        <f>IFERROR(__xludf.DUMMYFUNCTION("""COMPUTED_VALUE"""),1.03)</f>
        <v>1.03</v>
      </c>
      <c r="E837" s="24">
        <f>IFERROR(__xludf.DUMMYFUNCTION("""COMPUTED_VALUE"""),66.0)</f>
        <v>66</v>
      </c>
      <c r="F837" s="27" t="str">
        <f>IFERROR(__xludf.DUMMYFUNCTION("""COMPUTED_VALUE"""),"BLACK")</f>
        <v>BLACK</v>
      </c>
      <c r="G837" s="28" t="str">
        <f>IFERROR(__xludf.DUMMYFUNCTION("""COMPUTED_VALUE"""),"First Times a Charm Cider")</f>
        <v>First Times a Charm Cider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IFERROR(__xludf.DUMMYFUNCTION("""COMPUTED_VALUE"""),43545.8392560532)</f>
        <v>43545.83926</v>
      </c>
      <c r="D838" s="23">
        <f>IFERROR(__xludf.DUMMYFUNCTION("""COMPUTED_VALUE"""),1.03)</f>
        <v>1.03</v>
      </c>
      <c r="E838" s="24">
        <f>IFERROR(__xludf.DUMMYFUNCTION("""COMPUTED_VALUE"""),66.0)</f>
        <v>66</v>
      </c>
      <c r="F838" s="27" t="str">
        <f>IFERROR(__xludf.DUMMYFUNCTION("""COMPUTED_VALUE"""),"BLACK")</f>
        <v>BLACK</v>
      </c>
      <c r="G838" s="28" t="str">
        <f>IFERROR(__xludf.DUMMYFUNCTION("""COMPUTED_VALUE"""),"First Times a Charm Cider")</f>
        <v>First Times a Charm Cider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IFERROR(__xludf.DUMMYFUNCTION("""COMPUTED_VALUE"""),43545.8288119791)</f>
        <v>43545.82881</v>
      </c>
      <c r="D839" s="23">
        <f>IFERROR(__xludf.DUMMYFUNCTION("""COMPUTED_VALUE"""),1.03)</f>
        <v>1.03</v>
      </c>
      <c r="E839" s="24">
        <f>IFERROR(__xludf.DUMMYFUNCTION("""COMPUTED_VALUE"""),66.0)</f>
        <v>66</v>
      </c>
      <c r="F839" s="27" t="str">
        <f>IFERROR(__xludf.DUMMYFUNCTION("""COMPUTED_VALUE"""),"BLACK")</f>
        <v>BLACK</v>
      </c>
      <c r="G839" s="28" t="str">
        <f>IFERROR(__xludf.DUMMYFUNCTION("""COMPUTED_VALUE"""),"First Times a Charm Cider")</f>
        <v>First Times a Charm Cider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IFERROR(__xludf.DUMMYFUNCTION("""COMPUTED_VALUE"""),43545.8183320254)</f>
        <v>43545.81833</v>
      </c>
      <c r="D840" s="23">
        <f>IFERROR(__xludf.DUMMYFUNCTION("""COMPUTED_VALUE"""),1.03)</f>
        <v>1.03</v>
      </c>
      <c r="E840" s="24">
        <f>IFERROR(__xludf.DUMMYFUNCTION("""COMPUTED_VALUE"""),66.0)</f>
        <v>66</v>
      </c>
      <c r="F840" s="27" t="str">
        <f>IFERROR(__xludf.DUMMYFUNCTION("""COMPUTED_VALUE"""),"BLACK")</f>
        <v>BLACK</v>
      </c>
      <c r="G840" s="28" t="str">
        <f>IFERROR(__xludf.DUMMYFUNCTION("""COMPUTED_VALUE"""),"First Times a Charm Cider")</f>
        <v>First Times a Charm Cider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IFERROR(__xludf.DUMMYFUNCTION("""COMPUTED_VALUE"""),43545.8079124768)</f>
        <v>43545.80791</v>
      </c>
      <c r="D841" s="23">
        <f>IFERROR(__xludf.DUMMYFUNCTION("""COMPUTED_VALUE"""),1.03)</f>
        <v>1.03</v>
      </c>
      <c r="E841" s="24">
        <f>IFERROR(__xludf.DUMMYFUNCTION("""COMPUTED_VALUE"""),66.0)</f>
        <v>66</v>
      </c>
      <c r="F841" s="27" t="str">
        <f>IFERROR(__xludf.DUMMYFUNCTION("""COMPUTED_VALUE"""),"BLACK")</f>
        <v>BLACK</v>
      </c>
      <c r="G841" s="28" t="str">
        <f>IFERROR(__xludf.DUMMYFUNCTION("""COMPUTED_VALUE"""),"First Times a Charm Cider")</f>
        <v>First Times a Charm Cider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IFERROR(__xludf.DUMMYFUNCTION("""COMPUTED_VALUE"""),43545.7974793055)</f>
        <v>43545.79748</v>
      </c>
      <c r="D842" s="23">
        <f>IFERROR(__xludf.DUMMYFUNCTION("""COMPUTED_VALUE"""),1.03)</f>
        <v>1.03</v>
      </c>
      <c r="E842" s="24">
        <f>IFERROR(__xludf.DUMMYFUNCTION("""COMPUTED_VALUE"""),66.0)</f>
        <v>66</v>
      </c>
      <c r="F842" s="27" t="str">
        <f>IFERROR(__xludf.DUMMYFUNCTION("""COMPUTED_VALUE"""),"BLACK")</f>
        <v>BLACK</v>
      </c>
      <c r="G842" s="28" t="str">
        <f>IFERROR(__xludf.DUMMYFUNCTION("""COMPUTED_VALUE"""),"First Times a Charm Cider")</f>
        <v>First Times a Charm Cider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IFERROR(__xludf.DUMMYFUNCTION("""COMPUTED_VALUE"""),43545.7870466782)</f>
        <v>43545.78705</v>
      </c>
      <c r="D843" s="23">
        <f>IFERROR(__xludf.DUMMYFUNCTION("""COMPUTED_VALUE"""),1.03)</f>
        <v>1.03</v>
      </c>
      <c r="E843" s="24">
        <f>IFERROR(__xludf.DUMMYFUNCTION("""COMPUTED_VALUE"""),66.0)</f>
        <v>66</v>
      </c>
      <c r="F843" s="27" t="str">
        <f>IFERROR(__xludf.DUMMYFUNCTION("""COMPUTED_VALUE"""),"BLACK")</f>
        <v>BLACK</v>
      </c>
      <c r="G843" s="28" t="str">
        <f>IFERROR(__xludf.DUMMYFUNCTION("""COMPUTED_VALUE"""),"First Times a Charm Cider")</f>
        <v>First Times a Charm Cider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IFERROR(__xludf.DUMMYFUNCTION("""COMPUTED_VALUE"""),43545.776613831)</f>
        <v>43545.77661</v>
      </c>
      <c r="D844" s="23">
        <f>IFERROR(__xludf.DUMMYFUNCTION("""COMPUTED_VALUE"""),1.03)</f>
        <v>1.03</v>
      </c>
      <c r="E844" s="24">
        <f>IFERROR(__xludf.DUMMYFUNCTION("""COMPUTED_VALUE"""),66.0)</f>
        <v>66</v>
      </c>
      <c r="F844" s="27" t="str">
        <f>IFERROR(__xludf.DUMMYFUNCTION("""COMPUTED_VALUE"""),"BLACK")</f>
        <v>BLACK</v>
      </c>
      <c r="G844" s="28" t="str">
        <f>IFERROR(__xludf.DUMMYFUNCTION("""COMPUTED_VALUE"""),"First Times a Charm Cider")</f>
        <v>First Times a Charm Cider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IFERROR(__xludf.DUMMYFUNCTION("""COMPUTED_VALUE"""),43545.7661910995)</f>
        <v>43545.76619</v>
      </c>
      <c r="D845" s="23">
        <f>IFERROR(__xludf.DUMMYFUNCTION("""COMPUTED_VALUE"""),1.03)</f>
        <v>1.03</v>
      </c>
      <c r="E845" s="24">
        <f>IFERROR(__xludf.DUMMYFUNCTION("""COMPUTED_VALUE"""),66.0)</f>
        <v>66</v>
      </c>
      <c r="F845" s="27" t="str">
        <f>IFERROR(__xludf.DUMMYFUNCTION("""COMPUTED_VALUE"""),"BLACK")</f>
        <v>BLACK</v>
      </c>
      <c r="G845" s="28" t="str">
        <f>IFERROR(__xludf.DUMMYFUNCTION("""COMPUTED_VALUE"""),"First Times a Charm Cider")</f>
        <v>First Times a Charm Cider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IFERROR(__xludf.DUMMYFUNCTION("""COMPUTED_VALUE"""),43545.7557686921)</f>
        <v>43545.75577</v>
      </c>
      <c r="D846" s="23">
        <f>IFERROR(__xludf.DUMMYFUNCTION("""COMPUTED_VALUE"""),1.03)</f>
        <v>1.03</v>
      </c>
      <c r="E846" s="24">
        <f>IFERROR(__xludf.DUMMYFUNCTION("""COMPUTED_VALUE"""),66.0)</f>
        <v>66</v>
      </c>
      <c r="F846" s="27" t="str">
        <f>IFERROR(__xludf.DUMMYFUNCTION("""COMPUTED_VALUE"""),"BLACK")</f>
        <v>BLACK</v>
      </c>
      <c r="G846" s="28" t="str">
        <f>IFERROR(__xludf.DUMMYFUNCTION("""COMPUTED_VALUE"""),"First Times a Charm Cider")</f>
        <v>First Times a Charm Cider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IFERROR(__xludf.DUMMYFUNCTION("""COMPUTED_VALUE"""),43545.7453494097)</f>
        <v>43545.74535</v>
      </c>
      <c r="D847" s="23">
        <f>IFERROR(__xludf.DUMMYFUNCTION("""COMPUTED_VALUE"""),1.03)</f>
        <v>1.03</v>
      </c>
      <c r="E847" s="24">
        <f>IFERROR(__xludf.DUMMYFUNCTION("""COMPUTED_VALUE"""),66.0)</f>
        <v>66</v>
      </c>
      <c r="F847" s="27" t="str">
        <f>IFERROR(__xludf.DUMMYFUNCTION("""COMPUTED_VALUE"""),"BLACK")</f>
        <v>BLACK</v>
      </c>
      <c r="G847" s="28" t="str">
        <f>IFERROR(__xludf.DUMMYFUNCTION("""COMPUTED_VALUE"""),"First Times a Charm Cider")</f>
        <v>First Times a Charm Cider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IFERROR(__xludf.DUMMYFUNCTION("""COMPUTED_VALUE"""),43545.7348950347)</f>
        <v>43545.7349</v>
      </c>
      <c r="D848" s="23">
        <f>IFERROR(__xludf.DUMMYFUNCTION("""COMPUTED_VALUE"""),1.03)</f>
        <v>1.03</v>
      </c>
      <c r="E848" s="24">
        <f>IFERROR(__xludf.DUMMYFUNCTION("""COMPUTED_VALUE"""),66.0)</f>
        <v>66</v>
      </c>
      <c r="F848" s="27" t="str">
        <f>IFERROR(__xludf.DUMMYFUNCTION("""COMPUTED_VALUE"""),"BLACK")</f>
        <v>BLACK</v>
      </c>
      <c r="G848" s="28" t="str">
        <f>IFERROR(__xludf.DUMMYFUNCTION("""COMPUTED_VALUE"""),"First Times a Charm Cider")</f>
        <v>First Times a Charm Cider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IFERROR(__xludf.DUMMYFUNCTION("""COMPUTED_VALUE"""),43545.72445)</f>
        <v>43545.72445</v>
      </c>
      <c r="D849" s="23">
        <f>IFERROR(__xludf.DUMMYFUNCTION("""COMPUTED_VALUE"""),1.03)</f>
        <v>1.03</v>
      </c>
      <c r="E849" s="24">
        <f>IFERROR(__xludf.DUMMYFUNCTION("""COMPUTED_VALUE"""),66.0)</f>
        <v>66</v>
      </c>
      <c r="F849" s="27" t="str">
        <f>IFERROR(__xludf.DUMMYFUNCTION("""COMPUTED_VALUE"""),"BLACK")</f>
        <v>BLACK</v>
      </c>
      <c r="G849" s="28" t="str">
        <f>IFERROR(__xludf.DUMMYFUNCTION("""COMPUTED_VALUE"""),"First Times a Charm Cider")</f>
        <v>First Times a Charm Cider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IFERROR(__xludf.DUMMYFUNCTION("""COMPUTED_VALUE"""),43545.714007199)</f>
        <v>43545.71401</v>
      </c>
      <c r="D850" s="23">
        <f>IFERROR(__xludf.DUMMYFUNCTION("""COMPUTED_VALUE"""),1.03)</f>
        <v>1.03</v>
      </c>
      <c r="E850" s="24">
        <f>IFERROR(__xludf.DUMMYFUNCTION("""COMPUTED_VALUE"""),66.0)</f>
        <v>66</v>
      </c>
      <c r="F850" s="27" t="str">
        <f>IFERROR(__xludf.DUMMYFUNCTION("""COMPUTED_VALUE"""),"BLACK")</f>
        <v>BLACK</v>
      </c>
      <c r="G850" s="28" t="str">
        <f>IFERROR(__xludf.DUMMYFUNCTION("""COMPUTED_VALUE"""),"First Times a Charm Cider")</f>
        <v>First Times a Charm Cider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IFERROR(__xludf.DUMMYFUNCTION("""COMPUTED_VALUE"""),43545.7035743055)</f>
        <v>43545.70357</v>
      </c>
      <c r="D851" s="23">
        <f>IFERROR(__xludf.DUMMYFUNCTION("""COMPUTED_VALUE"""),1.03)</f>
        <v>1.03</v>
      </c>
      <c r="E851" s="24">
        <f>IFERROR(__xludf.DUMMYFUNCTION("""COMPUTED_VALUE"""),66.0)</f>
        <v>66</v>
      </c>
      <c r="F851" s="27" t="str">
        <f>IFERROR(__xludf.DUMMYFUNCTION("""COMPUTED_VALUE"""),"BLACK")</f>
        <v>BLACK</v>
      </c>
      <c r="G851" s="28" t="str">
        <f>IFERROR(__xludf.DUMMYFUNCTION("""COMPUTED_VALUE"""),"First Times a Charm Cider")</f>
        <v>First Times a Charm Cider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IFERROR(__xludf.DUMMYFUNCTION("""COMPUTED_VALUE"""),43545.6931518981)</f>
        <v>43545.69315</v>
      </c>
      <c r="D852" s="23">
        <f>IFERROR(__xludf.DUMMYFUNCTION("""COMPUTED_VALUE"""),1.03)</f>
        <v>1.03</v>
      </c>
      <c r="E852" s="24">
        <f>IFERROR(__xludf.DUMMYFUNCTION("""COMPUTED_VALUE"""),66.0)</f>
        <v>66</v>
      </c>
      <c r="F852" s="27" t="str">
        <f>IFERROR(__xludf.DUMMYFUNCTION("""COMPUTED_VALUE"""),"BLACK")</f>
        <v>BLACK</v>
      </c>
      <c r="G852" s="28" t="str">
        <f>IFERROR(__xludf.DUMMYFUNCTION("""COMPUTED_VALUE"""),"First Times a Charm Cider")</f>
        <v>First Times a Charm Cider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IFERROR(__xludf.DUMMYFUNCTION("""COMPUTED_VALUE"""),43545.6827086342)</f>
        <v>43545.68271</v>
      </c>
      <c r="D853" s="23">
        <f>IFERROR(__xludf.DUMMYFUNCTION("""COMPUTED_VALUE"""),1.03)</f>
        <v>1.03</v>
      </c>
      <c r="E853" s="24">
        <f>IFERROR(__xludf.DUMMYFUNCTION("""COMPUTED_VALUE"""),66.0)</f>
        <v>66</v>
      </c>
      <c r="F853" s="27" t="str">
        <f>IFERROR(__xludf.DUMMYFUNCTION("""COMPUTED_VALUE"""),"BLACK")</f>
        <v>BLACK</v>
      </c>
      <c r="G853" s="28" t="str">
        <f>IFERROR(__xludf.DUMMYFUNCTION("""COMPUTED_VALUE"""),"First Times a Charm Cider")</f>
        <v>First Times a Charm Cider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IFERROR(__xludf.DUMMYFUNCTION("""COMPUTED_VALUE"""),43545.6722877662)</f>
        <v>43545.67229</v>
      </c>
      <c r="D854" s="23">
        <f>IFERROR(__xludf.DUMMYFUNCTION("""COMPUTED_VALUE"""),1.03)</f>
        <v>1.03</v>
      </c>
      <c r="E854" s="24">
        <f>IFERROR(__xludf.DUMMYFUNCTION("""COMPUTED_VALUE"""),66.0)</f>
        <v>66</v>
      </c>
      <c r="F854" s="27" t="str">
        <f>IFERROR(__xludf.DUMMYFUNCTION("""COMPUTED_VALUE"""),"BLACK")</f>
        <v>BLACK</v>
      </c>
      <c r="G854" s="28" t="str">
        <f>IFERROR(__xludf.DUMMYFUNCTION("""COMPUTED_VALUE"""),"First Times a Charm Cider")</f>
        <v>First Times a Charm Cider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IFERROR(__xludf.DUMMYFUNCTION("""COMPUTED_VALUE"""),43545.6617981944)</f>
        <v>43545.6618</v>
      </c>
      <c r="D855" s="23">
        <f>IFERROR(__xludf.DUMMYFUNCTION("""COMPUTED_VALUE"""),1.03)</f>
        <v>1.03</v>
      </c>
      <c r="E855" s="24">
        <f>IFERROR(__xludf.DUMMYFUNCTION("""COMPUTED_VALUE"""),66.0)</f>
        <v>66</v>
      </c>
      <c r="F855" s="27" t="str">
        <f>IFERROR(__xludf.DUMMYFUNCTION("""COMPUTED_VALUE"""),"BLACK")</f>
        <v>BLACK</v>
      </c>
      <c r="G855" s="28" t="str">
        <f>IFERROR(__xludf.DUMMYFUNCTION("""COMPUTED_VALUE"""),"First Times a Charm Cider")</f>
        <v>First Times a Charm Cider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IFERROR(__xludf.DUMMYFUNCTION("""COMPUTED_VALUE"""),43545.6513401967)</f>
        <v>43545.65134</v>
      </c>
      <c r="D856" s="23">
        <f>IFERROR(__xludf.DUMMYFUNCTION("""COMPUTED_VALUE"""),1.03)</f>
        <v>1.03</v>
      </c>
      <c r="E856" s="24">
        <f>IFERROR(__xludf.DUMMYFUNCTION("""COMPUTED_VALUE"""),66.0)</f>
        <v>66</v>
      </c>
      <c r="F856" s="27" t="str">
        <f>IFERROR(__xludf.DUMMYFUNCTION("""COMPUTED_VALUE"""),"BLACK")</f>
        <v>BLACK</v>
      </c>
      <c r="G856" s="28" t="str">
        <f>IFERROR(__xludf.DUMMYFUNCTION("""COMPUTED_VALUE"""),"First Times a Charm Cider")</f>
        <v>First Times a Charm Cider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IFERROR(__xludf.DUMMYFUNCTION("""COMPUTED_VALUE"""),43545.6409076041)</f>
        <v>43545.64091</v>
      </c>
      <c r="D857" s="23">
        <f>IFERROR(__xludf.DUMMYFUNCTION("""COMPUTED_VALUE"""),1.03)</f>
        <v>1.03</v>
      </c>
      <c r="E857" s="24">
        <f>IFERROR(__xludf.DUMMYFUNCTION("""COMPUTED_VALUE"""),66.0)</f>
        <v>66</v>
      </c>
      <c r="F857" s="27" t="str">
        <f>IFERROR(__xludf.DUMMYFUNCTION("""COMPUTED_VALUE"""),"BLACK")</f>
        <v>BLACK</v>
      </c>
      <c r="G857" s="28" t="str">
        <f>IFERROR(__xludf.DUMMYFUNCTION("""COMPUTED_VALUE"""),"First Times a Charm Cider")</f>
        <v>First Times a Charm Cider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IFERROR(__xludf.DUMMYFUNCTION("""COMPUTED_VALUE"""),43545.6304873842)</f>
        <v>43545.63049</v>
      </c>
      <c r="D858" s="23">
        <f>IFERROR(__xludf.DUMMYFUNCTION("""COMPUTED_VALUE"""),1.03)</f>
        <v>1.03</v>
      </c>
      <c r="E858" s="24">
        <f>IFERROR(__xludf.DUMMYFUNCTION("""COMPUTED_VALUE"""),66.0)</f>
        <v>66</v>
      </c>
      <c r="F858" s="27" t="str">
        <f>IFERROR(__xludf.DUMMYFUNCTION("""COMPUTED_VALUE"""),"BLACK")</f>
        <v>BLACK</v>
      </c>
      <c r="G858" s="28" t="str">
        <f>IFERROR(__xludf.DUMMYFUNCTION("""COMPUTED_VALUE"""),"First Times a Charm Cider")</f>
        <v>First Times a Charm Cider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IFERROR(__xludf.DUMMYFUNCTION("""COMPUTED_VALUE"""),43545.6200321064)</f>
        <v>43545.62003</v>
      </c>
      <c r="D859" s="23">
        <f>IFERROR(__xludf.DUMMYFUNCTION("""COMPUTED_VALUE"""),1.03)</f>
        <v>1.03</v>
      </c>
      <c r="E859" s="24">
        <f>IFERROR(__xludf.DUMMYFUNCTION("""COMPUTED_VALUE"""),66.0)</f>
        <v>66</v>
      </c>
      <c r="F859" s="27" t="str">
        <f>IFERROR(__xludf.DUMMYFUNCTION("""COMPUTED_VALUE"""),"BLACK")</f>
        <v>BLACK</v>
      </c>
      <c r="G859" s="28" t="str">
        <f>IFERROR(__xludf.DUMMYFUNCTION("""COMPUTED_VALUE"""),"First Times a Charm Cider")</f>
        <v>First Times a Charm Cider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IFERROR(__xludf.DUMMYFUNCTION("""COMPUTED_VALUE"""),43545.6096105787)</f>
        <v>43545.60961</v>
      </c>
      <c r="D860" s="23">
        <f>IFERROR(__xludf.DUMMYFUNCTION("""COMPUTED_VALUE"""),1.03)</f>
        <v>1.03</v>
      </c>
      <c r="E860" s="24">
        <f>IFERROR(__xludf.DUMMYFUNCTION("""COMPUTED_VALUE"""),66.0)</f>
        <v>66</v>
      </c>
      <c r="F860" s="27" t="str">
        <f>IFERROR(__xludf.DUMMYFUNCTION("""COMPUTED_VALUE"""),"BLACK")</f>
        <v>BLACK</v>
      </c>
      <c r="G860" s="28" t="str">
        <f>IFERROR(__xludf.DUMMYFUNCTION("""COMPUTED_VALUE"""),"First Times a Charm Cider")</f>
        <v>First Times a Charm Cider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IFERROR(__xludf.DUMMYFUNCTION("""COMPUTED_VALUE"""),43545.5991899537)</f>
        <v>43545.59919</v>
      </c>
      <c r="D861" s="23">
        <f>IFERROR(__xludf.DUMMYFUNCTION("""COMPUTED_VALUE"""),1.03)</f>
        <v>1.03</v>
      </c>
      <c r="E861" s="24">
        <f>IFERROR(__xludf.DUMMYFUNCTION("""COMPUTED_VALUE"""),66.0)</f>
        <v>66</v>
      </c>
      <c r="F861" s="27" t="str">
        <f>IFERROR(__xludf.DUMMYFUNCTION("""COMPUTED_VALUE"""),"BLACK")</f>
        <v>BLACK</v>
      </c>
      <c r="G861" s="28" t="str">
        <f>IFERROR(__xludf.DUMMYFUNCTION("""COMPUTED_VALUE"""),"First Times a Charm Cider")</f>
        <v>First Times a Charm Cider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IFERROR(__xludf.DUMMYFUNCTION("""COMPUTED_VALUE"""),43545.5887679398)</f>
        <v>43545.58877</v>
      </c>
      <c r="D862" s="23">
        <f>IFERROR(__xludf.DUMMYFUNCTION("""COMPUTED_VALUE"""),1.03)</f>
        <v>1.03</v>
      </c>
      <c r="E862" s="24">
        <f>IFERROR(__xludf.DUMMYFUNCTION("""COMPUTED_VALUE"""),66.0)</f>
        <v>66</v>
      </c>
      <c r="F862" s="27" t="str">
        <f>IFERROR(__xludf.DUMMYFUNCTION("""COMPUTED_VALUE"""),"BLACK")</f>
        <v>BLACK</v>
      </c>
      <c r="G862" s="28" t="str">
        <f>IFERROR(__xludf.DUMMYFUNCTION("""COMPUTED_VALUE"""),"First Times a Charm Cider")</f>
        <v>First Times a Charm Cider</v>
      </c>
      <c r="H862" s="27" t="str">
        <f>IFERROR(__xludf.DUMMYFUNCTION("""COMPUTED_VALUE"""),"")</f>
        <v/>
      </c>
    </row>
    <row r="863">
      <c r="A863" s="17"/>
      <c r="B863" s="23"/>
      <c r="C863" s="17">
        <f>IFERROR(__xludf.DUMMYFUNCTION("""COMPUTED_VALUE"""),43545.5783239699)</f>
        <v>43545.57832</v>
      </c>
      <c r="D863" s="23">
        <f>IFERROR(__xludf.DUMMYFUNCTION("""COMPUTED_VALUE"""),1.03)</f>
        <v>1.03</v>
      </c>
      <c r="E863" s="24">
        <f>IFERROR(__xludf.DUMMYFUNCTION("""COMPUTED_VALUE"""),66.0)</f>
        <v>66</v>
      </c>
      <c r="F863" s="27" t="str">
        <f>IFERROR(__xludf.DUMMYFUNCTION("""COMPUTED_VALUE"""),"BLACK")</f>
        <v>BLACK</v>
      </c>
      <c r="G863" s="28" t="str">
        <f>IFERROR(__xludf.DUMMYFUNCTION("""COMPUTED_VALUE"""),"First Times a Charm Cider")</f>
        <v>First Times a Charm Cider</v>
      </c>
      <c r="H863" s="27" t="str">
        <f>IFERROR(__xludf.DUMMYFUNCTION("""COMPUTED_VALUE"""),"")</f>
        <v/>
      </c>
    </row>
    <row r="864">
      <c r="A864" s="17"/>
      <c r="B864" s="23"/>
      <c r="C864" s="17">
        <f>IFERROR(__xludf.DUMMYFUNCTION("""COMPUTED_VALUE"""),43545.5679025347)</f>
        <v>43545.5679</v>
      </c>
      <c r="D864" s="23">
        <f>IFERROR(__xludf.DUMMYFUNCTION("""COMPUTED_VALUE"""),1.03)</f>
        <v>1.03</v>
      </c>
      <c r="E864" s="24">
        <f>IFERROR(__xludf.DUMMYFUNCTION("""COMPUTED_VALUE"""),66.0)</f>
        <v>66</v>
      </c>
      <c r="F864" s="27" t="str">
        <f>IFERROR(__xludf.DUMMYFUNCTION("""COMPUTED_VALUE"""),"BLACK")</f>
        <v>BLACK</v>
      </c>
      <c r="G864" s="28" t="str">
        <f>IFERROR(__xludf.DUMMYFUNCTION("""COMPUTED_VALUE"""),"First Times a Charm Cider")</f>
        <v>First Times a Charm Cider</v>
      </c>
      <c r="H864" s="27" t="str">
        <f>IFERROR(__xludf.DUMMYFUNCTION("""COMPUTED_VALUE"""),"")</f>
        <v/>
      </c>
    </row>
    <row r="865">
      <c r="A865" s="17"/>
      <c r="B865" s="23"/>
      <c r="C865" s="17">
        <f>IFERROR(__xludf.DUMMYFUNCTION("""COMPUTED_VALUE"""),43545.5574806134)</f>
        <v>43545.55748</v>
      </c>
      <c r="D865" s="23">
        <f>IFERROR(__xludf.DUMMYFUNCTION("""COMPUTED_VALUE"""),1.03)</f>
        <v>1.03</v>
      </c>
      <c r="E865" s="24">
        <f>IFERROR(__xludf.DUMMYFUNCTION("""COMPUTED_VALUE"""),66.0)</f>
        <v>66</v>
      </c>
      <c r="F865" s="27" t="str">
        <f>IFERROR(__xludf.DUMMYFUNCTION("""COMPUTED_VALUE"""),"BLACK")</f>
        <v>BLACK</v>
      </c>
      <c r="G865" s="28" t="str">
        <f>IFERROR(__xludf.DUMMYFUNCTION("""COMPUTED_VALUE"""),"First Times a Charm Cider")</f>
        <v>First Times a Charm Cider</v>
      </c>
      <c r="H865" s="27" t="str">
        <f>IFERROR(__xludf.DUMMYFUNCTION("""COMPUTED_VALUE"""),"")</f>
        <v/>
      </c>
    </row>
    <row r="866">
      <c r="A866" s="17"/>
      <c r="B866" s="23"/>
      <c r="C866" s="17">
        <f>IFERROR(__xludf.DUMMYFUNCTION("""COMPUTED_VALUE"""),43545.5470484027)</f>
        <v>43545.54705</v>
      </c>
      <c r="D866" s="23">
        <f>IFERROR(__xludf.DUMMYFUNCTION("""COMPUTED_VALUE"""),1.03)</f>
        <v>1.03</v>
      </c>
      <c r="E866" s="24">
        <f>IFERROR(__xludf.DUMMYFUNCTION("""COMPUTED_VALUE"""),66.0)</f>
        <v>66</v>
      </c>
      <c r="F866" s="27" t="str">
        <f>IFERROR(__xludf.DUMMYFUNCTION("""COMPUTED_VALUE"""),"BLACK")</f>
        <v>BLACK</v>
      </c>
      <c r="G866" s="28" t="str">
        <f>IFERROR(__xludf.DUMMYFUNCTION("""COMPUTED_VALUE"""),"First Times a Charm Cider")</f>
        <v>First Times a Charm Cider</v>
      </c>
      <c r="H866" s="27" t="str">
        <f>IFERROR(__xludf.DUMMYFUNCTION("""COMPUTED_VALUE"""),"")</f>
        <v/>
      </c>
    </row>
    <row r="867">
      <c r="A867" s="17"/>
      <c r="B867" s="23"/>
      <c r="C867" s="17">
        <f>IFERROR(__xludf.DUMMYFUNCTION("""COMPUTED_VALUE"""),43545.5366145949)</f>
        <v>43545.53661</v>
      </c>
      <c r="D867" s="23">
        <f>IFERROR(__xludf.DUMMYFUNCTION("""COMPUTED_VALUE"""),1.03)</f>
        <v>1.03</v>
      </c>
      <c r="E867" s="24">
        <f>IFERROR(__xludf.DUMMYFUNCTION("""COMPUTED_VALUE"""),66.0)</f>
        <v>66</v>
      </c>
      <c r="F867" s="27" t="str">
        <f>IFERROR(__xludf.DUMMYFUNCTION("""COMPUTED_VALUE"""),"BLACK")</f>
        <v>BLACK</v>
      </c>
      <c r="G867" s="28" t="str">
        <f>IFERROR(__xludf.DUMMYFUNCTION("""COMPUTED_VALUE"""),"First Times a Charm Cider")</f>
        <v>First Times a Charm Cider</v>
      </c>
      <c r="H867" s="27" t="str">
        <f>IFERROR(__xludf.DUMMYFUNCTION("""COMPUTED_VALUE"""),"")</f>
        <v/>
      </c>
    </row>
    <row r="868">
      <c r="A868" s="17"/>
      <c r="B868" s="23"/>
      <c r="C868" s="17">
        <f>IFERROR(__xludf.DUMMYFUNCTION("""COMPUTED_VALUE"""),43545.5261911805)</f>
        <v>43545.52619</v>
      </c>
      <c r="D868" s="23">
        <f>IFERROR(__xludf.DUMMYFUNCTION("""COMPUTED_VALUE"""),1.03)</f>
        <v>1.03</v>
      </c>
      <c r="E868" s="24">
        <f>IFERROR(__xludf.DUMMYFUNCTION("""COMPUTED_VALUE"""),66.0)</f>
        <v>66</v>
      </c>
      <c r="F868" s="27" t="str">
        <f>IFERROR(__xludf.DUMMYFUNCTION("""COMPUTED_VALUE"""),"BLACK")</f>
        <v>BLACK</v>
      </c>
      <c r="G868" s="28" t="str">
        <f>IFERROR(__xludf.DUMMYFUNCTION("""COMPUTED_VALUE"""),"First Times a Charm Cider")</f>
        <v>First Times a Charm Cider</v>
      </c>
      <c r="H868" s="27" t="str">
        <f>IFERROR(__xludf.DUMMYFUNCTION("""COMPUTED_VALUE"""),"")</f>
        <v/>
      </c>
    </row>
    <row r="869">
      <c r="A869" s="17"/>
      <c r="B869" s="23"/>
      <c r="C869" s="17">
        <f>IFERROR(__xludf.DUMMYFUNCTION("""COMPUTED_VALUE"""),43545.5157702777)</f>
        <v>43545.51577</v>
      </c>
      <c r="D869" s="23">
        <f>IFERROR(__xludf.DUMMYFUNCTION("""COMPUTED_VALUE"""),1.031)</f>
        <v>1.031</v>
      </c>
      <c r="E869" s="24">
        <f>IFERROR(__xludf.DUMMYFUNCTION("""COMPUTED_VALUE"""),66.0)</f>
        <v>66</v>
      </c>
      <c r="F869" s="27" t="str">
        <f>IFERROR(__xludf.DUMMYFUNCTION("""COMPUTED_VALUE"""),"BLACK")</f>
        <v>BLACK</v>
      </c>
      <c r="G869" s="28" t="str">
        <f>IFERROR(__xludf.DUMMYFUNCTION("""COMPUTED_VALUE"""),"First Times a Charm Cider")</f>
        <v>First Times a Charm Cider</v>
      </c>
      <c r="H869" s="27" t="str">
        <f>IFERROR(__xludf.DUMMYFUNCTION("""COMPUTED_VALUE"""),"")</f>
        <v/>
      </c>
    </row>
    <row r="870">
      <c r="A870" s="17"/>
      <c r="B870" s="23"/>
      <c r="C870" s="17">
        <f>IFERROR(__xludf.DUMMYFUNCTION("""COMPUTED_VALUE"""),43545.505349618)</f>
        <v>43545.50535</v>
      </c>
      <c r="D870" s="23">
        <f>IFERROR(__xludf.DUMMYFUNCTION("""COMPUTED_VALUE"""),1.03)</f>
        <v>1.03</v>
      </c>
      <c r="E870" s="24">
        <f>IFERROR(__xludf.DUMMYFUNCTION("""COMPUTED_VALUE"""),66.0)</f>
        <v>66</v>
      </c>
      <c r="F870" s="27" t="str">
        <f>IFERROR(__xludf.DUMMYFUNCTION("""COMPUTED_VALUE"""),"BLACK")</f>
        <v>BLACK</v>
      </c>
      <c r="G870" s="28" t="str">
        <f>IFERROR(__xludf.DUMMYFUNCTION("""COMPUTED_VALUE"""),"First Times a Charm Cider")</f>
        <v>First Times a Charm Cider</v>
      </c>
      <c r="H870" s="27" t="str">
        <f>IFERROR(__xludf.DUMMYFUNCTION("""COMPUTED_VALUE"""),"")</f>
        <v/>
      </c>
    </row>
    <row r="871">
      <c r="A871" s="17"/>
      <c r="B871" s="23"/>
      <c r="C871" s="17">
        <f>IFERROR(__xludf.DUMMYFUNCTION("""COMPUTED_VALUE"""),43545.494928449)</f>
        <v>43545.49493</v>
      </c>
      <c r="D871" s="23">
        <f>IFERROR(__xludf.DUMMYFUNCTION("""COMPUTED_VALUE"""),1.03)</f>
        <v>1.03</v>
      </c>
      <c r="E871" s="24">
        <f>IFERROR(__xludf.DUMMYFUNCTION("""COMPUTED_VALUE"""),66.0)</f>
        <v>66</v>
      </c>
      <c r="F871" s="27" t="str">
        <f>IFERROR(__xludf.DUMMYFUNCTION("""COMPUTED_VALUE"""),"BLACK")</f>
        <v>BLACK</v>
      </c>
      <c r="G871" s="28" t="str">
        <f>IFERROR(__xludf.DUMMYFUNCTION("""COMPUTED_VALUE"""),"First Times a Charm Cider")</f>
        <v>First Times a Charm Cider</v>
      </c>
      <c r="H871" s="27" t="str">
        <f>IFERROR(__xludf.DUMMYFUNCTION("""COMPUTED_VALUE"""),"")</f>
        <v/>
      </c>
    </row>
    <row r="872">
      <c r="A872" s="17"/>
      <c r="B872" s="23"/>
      <c r="C872" s="17">
        <f>IFERROR(__xludf.DUMMYFUNCTION("""COMPUTED_VALUE"""),43545.4845056597)</f>
        <v>43545.48451</v>
      </c>
      <c r="D872" s="23">
        <f>IFERROR(__xludf.DUMMYFUNCTION("""COMPUTED_VALUE"""),1.03)</f>
        <v>1.03</v>
      </c>
      <c r="E872" s="24">
        <f>IFERROR(__xludf.DUMMYFUNCTION("""COMPUTED_VALUE"""),66.0)</f>
        <v>66</v>
      </c>
      <c r="F872" s="27" t="str">
        <f>IFERROR(__xludf.DUMMYFUNCTION("""COMPUTED_VALUE"""),"BLACK")</f>
        <v>BLACK</v>
      </c>
      <c r="G872" s="28" t="str">
        <f>IFERROR(__xludf.DUMMYFUNCTION("""COMPUTED_VALUE"""),"First Times a Charm Cider")</f>
        <v>First Times a Charm Cider</v>
      </c>
      <c r="H872" s="27" t="str">
        <f>IFERROR(__xludf.DUMMYFUNCTION("""COMPUTED_VALUE"""),"")</f>
        <v/>
      </c>
    </row>
    <row r="873">
      <c r="A873" s="17"/>
      <c r="B873" s="23"/>
      <c r="C873" s="17">
        <f>IFERROR(__xludf.DUMMYFUNCTION("""COMPUTED_VALUE"""),43545.4740844212)</f>
        <v>43545.47408</v>
      </c>
      <c r="D873" s="23">
        <f>IFERROR(__xludf.DUMMYFUNCTION("""COMPUTED_VALUE"""),1.03)</f>
        <v>1.03</v>
      </c>
      <c r="E873" s="24">
        <f>IFERROR(__xludf.DUMMYFUNCTION("""COMPUTED_VALUE"""),66.0)</f>
        <v>66</v>
      </c>
      <c r="F873" s="27" t="str">
        <f>IFERROR(__xludf.DUMMYFUNCTION("""COMPUTED_VALUE"""),"BLACK")</f>
        <v>BLACK</v>
      </c>
      <c r="G873" s="28" t="str">
        <f>IFERROR(__xludf.DUMMYFUNCTION("""COMPUTED_VALUE"""),"First Times a Charm Cider")</f>
        <v>First Times a Charm Cider</v>
      </c>
      <c r="H873" s="27" t="str">
        <f>IFERROR(__xludf.DUMMYFUNCTION("""COMPUTED_VALUE"""),"")</f>
        <v/>
      </c>
    </row>
    <row r="874">
      <c r="A874" s="17"/>
      <c r="B874" s="23"/>
      <c r="C874" s="17">
        <f>IFERROR(__xludf.DUMMYFUNCTION("""COMPUTED_VALUE"""),43545.4636628472)</f>
        <v>43545.46366</v>
      </c>
      <c r="D874" s="23">
        <f>IFERROR(__xludf.DUMMYFUNCTION("""COMPUTED_VALUE"""),1.031)</f>
        <v>1.031</v>
      </c>
      <c r="E874" s="24">
        <f>IFERROR(__xludf.DUMMYFUNCTION("""COMPUTED_VALUE"""),66.0)</f>
        <v>66</v>
      </c>
      <c r="F874" s="27" t="str">
        <f>IFERROR(__xludf.DUMMYFUNCTION("""COMPUTED_VALUE"""),"BLACK")</f>
        <v>BLACK</v>
      </c>
      <c r="G874" s="28" t="str">
        <f>IFERROR(__xludf.DUMMYFUNCTION("""COMPUTED_VALUE"""),"First Times a Charm Cider")</f>
        <v>First Times a Charm Cider</v>
      </c>
      <c r="H874" s="27" t="str">
        <f>IFERROR(__xludf.DUMMYFUNCTION("""COMPUTED_VALUE"""),"")</f>
        <v/>
      </c>
    </row>
    <row r="875">
      <c r="A875" s="17"/>
      <c r="B875" s="23"/>
      <c r="C875" s="17">
        <f>IFERROR(__xludf.DUMMYFUNCTION("""COMPUTED_VALUE"""),43545.4532180671)</f>
        <v>43545.45322</v>
      </c>
      <c r="D875" s="23">
        <f>IFERROR(__xludf.DUMMYFUNCTION("""COMPUTED_VALUE"""),1.03)</f>
        <v>1.03</v>
      </c>
      <c r="E875" s="24">
        <f>IFERROR(__xludf.DUMMYFUNCTION("""COMPUTED_VALUE"""),66.0)</f>
        <v>66</v>
      </c>
      <c r="F875" s="27" t="str">
        <f>IFERROR(__xludf.DUMMYFUNCTION("""COMPUTED_VALUE"""),"BLACK")</f>
        <v>BLACK</v>
      </c>
      <c r="G875" s="28" t="str">
        <f>IFERROR(__xludf.DUMMYFUNCTION("""COMPUTED_VALUE"""),"First Times a Charm Cider")</f>
        <v>First Times a Charm Cider</v>
      </c>
      <c r="H875" s="27" t="str">
        <f>IFERROR(__xludf.DUMMYFUNCTION("""COMPUTED_VALUE"""),"")</f>
        <v/>
      </c>
    </row>
    <row r="876">
      <c r="A876" s="17"/>
      <c r="B876" s="23"/>
      <c r="C876" s="17">
        <f>IFERROR(__xludf.DUMMYFUNCTION("""COMPUTED_VALUE"""),43545.4427724768)</f>
        <v>43545.44277</v>
      </c>
      <c r="D876" s="23">
        <f>IFERROR(__xludf.DUMMYFUNCTION("""COMPUTED_VALUE"""),1.03)</f>
        <v>1.03</v>
      </c>
      <c r="E876" s="24">
        <f>IFERROR(__xludf.DUMMYFUNCTION("""COMPUTED_VALUE"""),66.0)</f>
        <v>66</v>
      </c>
      <c r="F876" s="27" t="str">
        <f>IFERROR(__xludf.DUMMYFUNCTION("""COMPUTED_VALUE"""),"BLACK")</f>
        <v>BLACK</v>
      </c>
      <c r="G876" s="28" t="str">
        <f>IFERROR(__xludf.DUMMYFUNCTION("""COMPUTED_VALUE"""),"First Times a Charm Cider")</f>
        <v>First Times a Charm Cider</v>
      </c>
      <c r="H876" s="27" t="str">
        <f>IFERROR(__xludf.DUMMYFUNCTION("""COMPUTED_VALUE"""),"")</f>
        <v/>
      </c>
    </row>
    <row r="877">
      <c r="A877" s="17"/>
      <c r="B877" s="23"/>
      <c r="C877" s="17">
        <f>IFERROR(__xludf.DUMMYFUNCTION("""COMPUTED_VALUE"""),43545.4323511805)</f>
        <v>43545.43235</v>
      </c>
      <c r="D877" s="23">
        <f>IFERROR(__xludf.DUMMYFUNCTION("""COMPUTED_VALUE"""),1.03)</f>
        <v>1.03</v>
      </c>
      <c r="E877" s="24">
        <f>IFERROR(__xludf.DUMMYFUNCTION("""COMPUTED_VALUE"""),66.0)</f>
        <v>66</v>
      </c>
      <c r="F877" s="27" t="str">
        <f>IFERROR(__xludf.DUMMYFUNCTION("""COMPUTED_VALUE"""),"BLACK")</f>
        <v>BLACK</v>
      </c>
      <c r="G877" s="28" t="str">
        <f>IFERROR(__xludf.DUMMYFUNCTION("""COMPUTED_VALUE"""),"First Times a Charm Cider")</f>
        <v>First Times a Charm Cider</v>
      </c>
      <c r="H877" s="27" t="str">
        <f>IFERROR(__xludf.DUMMYFUNCTION("""COMPUTED_VALUE"""),"")</f>
        <v/>
      </c>
    </row>
    <row r="878">
      <c r="A878" s="17"/>
      <c r="B878" s="23"/>
      <c r="C878" s="17">
        <f>IFERROR(__xludf.DUMMYFUNCTION("""COMPUTED_VALUE"""),43545.4219295254)</f>
        <v>43545.42193</v>
      </c>
      <c r="D878" s="23">
        <f>IFERROR(__xludf.DUMMYFUNCTION("""COMPUTED_VALUE"""),1.03)</f>
        <v>1.03</v>
      </c>
      <c r="E878" s="24">
        <f>IFERROR(__xludf.DUMMYFUNCTION("""COMPUTED_VALUE"""),66.0)</f>
        <v>66</v>
      </c>
      <c r="F878" s="27" t="str">
        <f>IFERROR(__xludf.DUMMYFUNCTION("""COMPUTED_VALUE"""),"BLACK")</f>
        <v>BLACK</v>
      </c>
      <c r="G878" s="28" t="str">
        <f>IFERROR(__xludf.DUMMYFUNCTION("""COMPUTED_VALUE"""),"First Times a Charm Cider")</f>
        <v>First Times a Charm Cider</v>
      </c>
      <c r="H878" s="27" t="str">
        <f>IFERROR(__xludf.DUMMYFUNCTION("""COMPUTED_VALUE"""),"")</f>
        <v/>
      </c>
    </row>
    <row r="879">
      <c r="A879" s="17"/>
      <c r="B879" s="23"/>
      <c r="C879" s="17">
        <f>IFERROR(__xludf.DUMMYFUNCTION("""COMPUTED_VALUE"""),43545.4115106134)</f>
        <v>43545.41151</v>
      </c>
      <c r="D879" s="23">
        <f>IFERROR(__xludf.DUMMYFUNCTION("""COMPUTED_VALUE"""),1.03)</f>
        <v>1.03</v>
      </c>
      <c r="E879" s="24">
        <f>IFERROR(__xludf.DUMMYFUNCTION("""COMPUTED_VALUE"""),66.0)</f>
        <v>66</v>
      </c>
      <c r="F879" s="27" t="str">
        <f>IFERROR(__xludf.DUMMYFUNCTION("""COMPUTED_VALUE"""),"BLACK")</f>
        <v>BLACK</v>
      </c>
      <c r="G879" s="28" t="str">
        <f>IFERROR(__xludf.DUMMYFUNCTION("""COMPUTED_VALUE"""),"First Times a Charm Cider")</f>
        <v>First Times a Charm Cider</v>
      </c>
      <c r="H879" s="27" t="str">
        <f>IFERROR(__xludf.DUMMYFUNCTION("""COMPUTED_VALUE"""),"")</f>
        <v/>
      </c>
    </row>
    <row r="880">
      <c r="A880" s="17"/>
      <c r="B880" s="23"/>
      <c r="C880" s="17">
        <f>IFERROR(__xludf.DUMMYFUNCTION("""COMPUTED_VALUE"""),43545.4010903935)</f>
        <v>43545.40109</v>
      </c>
      <c r="D880" s="23">
        <f>IFERROR(__xludf.DUMMYFUNCTION("""COMPUTED_VALUE"""),1.03)</f>
        <v>1.03</v>
      </c>
      <c r="E880" s="24">
        <f>IFERROR(__xludf.DUMMYFUNCTION("""COMPUTED_VALUE"""),66.0)</f>
        <v>66</v>
      </c>
      <c r="F880" s="27" t="str">
        <f>IFERROR(__xludf.DUMMYFUNCTION("""COMPUTED_VALUE"""),"BLACK")</f>
        <v>BLACK</v>
      </c>
      <c r="G880" s="28" t="str">
        <f>IFERROR(__xludf.DUMMYFUNCTION("""COMPUTED_VALUE"""),"First Times a Charm Cider")</f>
        <v>First Times a Charm Cider</v>
      </c>
      <c r="H880" s="27" t="str">
        <f>IFERROR(__xludf.DUMMYFUNCTION("""COMPUTED_VALUE"""),"")</f>
        <v/>
      </c>
    </row>
    <row r="881">
      <c r="A881" s="17"/>
      <c r="B881" s="23"/>
      <c r="C881" s="17">
        <f>IFERROR(__xludf.DUMMYFUNCTION("""COMPUTED_VALUE"""),43545.3906589004)</f>
        <v>43545.39066</v>
      </c>
      <c r="D881" s="23">
        <f>IFERROR(__xludf.DUMMYFUNCTION("""COMPUTED_VALUE"""),1.03)</f>
        <v>1.03</v>
      </c>
      <c r="E881" s="24">
        <f>IFERROR(__xludf.DUMMYFUNCTION("""COMPUTED_VALUE"""),66.0)</f>
        <v>66</v>
      </c>
      <c r="F881" s="27" t="str">
        <f>IFERROR(__xludf.DUMMYFUNCTION("""COMPUTED_VALUE"""),"BLACK")</f>
        <v>BLACK</v>
      </c>
      <c r="G881" s="28" t="str">
        <f>IFERROR(__xludf.DUMMYFUNCTION("""COMPUTED_VALUE"""),"First Times a Charm Cider")</f>
        <v>First Times a Charm Cider</v>
      </c>
      <c r="H881" s="27" t="str">
        <f>IFERROR(__xludf.DUMMYFUNCTION("""COMPUTED_VALUE"""),"")</f>
        <v/>
      </c>
    </row>
    <row r="882">
      <c r="A882" s="17"/>
      <c r="B882" s="23"/>
      <c r="C882" s="17">
        <f>IFERROR(__xludf.DUMMYFUNCTION("""COMPUTED_VALUE"""),43545.3802377199)</f>
        <v>43545.38024</v>
      </c>
      <c r="D882" s="23">
        <f>IFERROR(__xludf.DUMMYFUNCTION("""COMPUTED_VALUE"""),1.03)</f>
        <v>1.03</v>
      </c>
      <c r="E882" s="24">
        <f>IFERROR(__xludf.DUMMYFUNCTION("""COMPUTED_VALUE"""),66.0)</f>
        <v>66</v>
      </c>
      <c r="F882" s="27" t="str">
        <f>IFERROR(__xludf.DUMMYFUNCTION("""COMPUTED_VALUE"""),"BLACK")</f>
        <v>BLACK</v>
      </c>
      <c r="G882" s="28" t="str">
        <f>IFERROR(__xludf.DUMMYFUNCTION("""COMPUTED_VALUE"""),"First Times a Charm Cider")</f>
        <v>First Times a Charm Cider</v>
      </c>
      <c r="H882" s="27" t="str">
        <f>IFERROR(__xludf.DUMMYFUNCTION("""COMPUTED_VALUE"""),"")</f>
        <v/>
      </c>
    </row>
    <row r="883">
      <c r="A883" s="17"/>
      <c r="B883" s="23"/>
      <c r="C883" s="17">
        <f>IFERROR(__xludf.DUMMYFUNCTION("""COMPUTED_VALUE"""),43545.3697928472)</f>
        <v>43545.36979</v>
      </c>
      <c r="D883" s="23">
        <f>IFERROR(__xludf.DUMMYFUNCTION("""COMPUTED_VALUE"""),1.03)</f>
        <v>1.03</v>
      </c>
      <c r="E883" s="24">
        <f>IFERROR(__xludf.DUMMYFUNCTION("""COMPUTED_VALUE"""),66.0)</f>
        <v>66</v>
      </c>
      <c r="F883" s="27" t="str">
        <f>IFERROR(__xludf.DUMMYFUNCTION("""COMPUTED_VALUE"""),"BLACK")</f>
        <v>BLACK</v>
      </c>
      <c r="G883" s="28" t="str">
        <f>IFERROR(__xludf.DUMMYFUNCTION("""COMPUTED_VALUE"""),"First Times a Charm Cider")</f>
        <v>First Times a Charm Cider</v>
      </c>
      <c r="H883" s="27" t="str">
        <f>IFERROR(__xludf.DUMMYFUNCTION("""COMPUTED_VALUE"""),"")</f>
        <v/>
      </c>
    </row>
    <row r="884">
      <c r="A884" s="17"/>
      <c r="B884" s="23"/>
      <c r="C884" s="17">
        <f>IFERROR(__xludf.DUMMYFUNCTION("""COMPUTED_VALUE"""),43545.359371493)</f>
        <v>43545.35937</v>
      </c>
      <c r="D884" s="23">
        <f>IFERROR(__xludf.DUMMYFUNCTION("""COMPUTED_VALUE"""),1.031)</f>
        <v>1.031</v>
      </c>
      <c r="E884" s="24">
        <f>IFERROR(__xludf.DUMMYFUNCTION("""COMPUTED_VALUE"""),66.0)</f>
        <v>66</v>
      </c>
      <c r="F884" s="27" t="str">
        <f>IFERROR(__xludf.DUMMYFUNCTION("""COMPUTED_VALUE"""),"BLACK")</f>
        <v>BLACK</v>
      </c>
      <c r="G884" s="28" t="str">
        <f>IFERROR(__xludf.DUMMYFUNCTION("""COMPUTED_VALUE"""),"First Times a Charm Cider")</f>
        <v>First Times a Charm Cider</v>
      </c>
      <c r="H884" s="27" t="str">
        <f>IFERROR(__xludf.DUMMYFUNCTION("""COMPUTED_VALUE"""),"")</f>
        <v/>
      </c>
    </row>
    <row r="885">
      <c r="A885" s="17"/>
      <c r="B885" s="23"/>
      <c r="C885" s="17">
        <f>IFERROR(__xludf.DUMMYFUNCTION("""COMPUTED_VALUE"""),43545.3489493981)</f>
        <v>43545.34895</v>
      </c>
      <c r="D885" s="23">
        <f>IFERROR(__xludf.DUMMYFUNCTION("""COMPUTED_VALUE"""),1.03)</f>
        <v>1.03</v>
      </c>
      <c r="E885" s="24">
        <f>IFERROR(__xludf.DUMMYFUNCTION("""COMPUTED_VALUE"""),66.0)</f>
        <v>66</v>
      </c>
      <c r="F885" s="27" t="str">
        <f>IFERROR(__xludf.DUMMYFUNCTION("""COMPUTED_VALUE"""),"BLACK")</f>
        <v>BLACK</v>
      </c>
      <c r="G885" s="28" t="str">
        <f>IFERROR(__xludf.DUMMYFUNCTION("""COMPUTED_VALUE"""),"First Times a Charm Cider")</f>
        <v>First Times a Charm Cider</v>
      </c>
      <c r="H885" s="27" t="str">
        <f>IFERROR(__xludf.DUMMYFUNCTION("""COMPUTED_VALUE"""),"")</f>
        <v/>
      </c>
    </row>
    <row r="886">
      <c r="A886" s="17"/>
      <c r="B886" s="23"/>
      <c r="C886" s="17">
        <f>IFERROR(__xludf.DUMMYFUNCTION("""COMPUTED_VALUE"""),43545.3385270833)</f>
        <v>43545.33853</v>
      </c>
      <c r="D886" s="23">
        <f>IFERROR(__xludf.DUMMYFUNCTION("""COMPUTED_VALUE"""),1.031)</f>
        <v>1.031</v>
      </c>
      <c r="E886" s="24">
        <f>IFERROR(__xludf.DUMMYFUNCTION("""COMPUTED_VALUE"""),66.0)</f>
        <v>66</v>
      </c>
      <c r="F886" s="27" t="str">
        <f>IFERROR(__xludf.DUMMYFUNCTION("""COMPUTED_VALUE"""),"BLACK")</f>
        <v>BLACK</v>
      </c>
      <c r="G886" s="28" t="str">
        <f>IFERROR(__xludf.DUMMYFUNCTION("""COMPUTED_VALUE"""),"First Times a Charm Cider")</f>
        <v>First Times a Charm Cider</v>
      </c>
      <c r="H886" s="27" t="str">
        <f>IFERROR(__xludf.DUMMYFUNCTION("""COMPUTED_VALUE"""),"")</f>
        <v/>
      </c>
    </row>
    <row r="887">
      <c r="A887" s="17"/>
      <c r="B887" s="23"/>
      <c r="C887" s="17">
        <f>IFERROR(__xludf.DUMMYFUNCTION("""COMPUTED_VALUE"""),43545.3281060995)</f>
        <v>43545.32811</v>
      </c>
      <c r="D887" s="23">
        <f>IFERROR(__xludf.DUMMYFUNCTION("""COMPUTED_VALUE"""),1.031)</f>
        <v>1.031</v>
      </c>
      <c r="E887" s="24">
        <f>IFERROR(__xludf.DUMMYFUNCTION("""COMPUTED_VALUE"""),66.0)</f>
        <v>66</v>
      </c>
      <c r="F887" s="27" t="str">
        <f>IFERROR(__xludf.DUMMYFUNCTION("""COMPUTED_VALUE"""),"BLACK")</f>
        <v>BLACK</v>
      </c>
      <c r="G887" s="28" t="str">
        <f>IFERROR(__xludf.DUMMYFUNCTION("""COMPUTED_VALUE"""),"First Times a Charm Cider")</f>
        <v>First Times a Charm Cider</v>
      </c>
      <c r="H887" s="27" t="str">
        <f>IFERROR(__xludf.DUMMYFUNCTION("""COMPUTED_VALUE"""),"")</f>
        <v/>
      </c>
    </row>
    <row r="888">
      <c r="A888" s="17"/>
      <c r="B888" s="23"/>
      <c r="C888" s="17">
        <f>IFERROR(__xludf.DUMMYFUNCTION("""COMPUTED_VALUE"""),43545.3176738773)</f>
        <v>43545.31767</v>
      </c>
      <c r="D888" s="23">
        <f>IFERROR(__xludf.DUMMYFUNCTION("""COMPUTED_VALUE"""),1.031)</f>
        <v>1.031</v>
      </c>
      <c r="E888" s="24">
        <f>IFERROR(__xludf.DUMMYFUNCTION("""COMPUTED_VALUE"""),66.0)</f>
        <v>66</v>
      </c>
      <c r="F888" s="27" t="str">
        <f>IFERROR(__xludf.DUMMYFUNCTION("""COMPUTED_VALUE"""),"BLACK")</f>
        <v>BLACK</v>
      </c>
      <c r="G888" s="28" t="str">
        <f>IFERROR(__xludf.DUMMYFUNCTION("""COMPUTED_VALUE"""),"First Times a Charm Cider")</f>
        <v>First Times a Charm Cider</v>
      </c>
      <c r="H888" s="27" t="str">
        <f>IFERROR(__xludf.DUMMYFUNCTION("""COMPUTED_VALUE"""),"")</f>
        <v/>
      </c>
    </row>
    <row r="889">
      <c r="A889" s="17"/>
      <c r="B889" s="23"/>
      <c r="C889" s="17">
        <f>IFERROR(__xludf.DUMMYFUNCTION("""COMPUTED_VALUE"""),43545.3072390856)</f>
        <v>43545.30724</v>
      </c>
      <c r="D889" s="23">
        <f>IFERROR(__xludf.DUMMYFUNCTION("""COMPUTED_VALUE"""),1.031)</f>
        <v>1.031</v>
      </c>
      <c r="E889" s="24">
        <f>IFERROR(__xludf.DUMMYFUNCTION("""COMPUTED_VALUE"""),66.0)</f>
        <v>66</v>
      </c>
      <c r="F889" s="27" t="str">
        <f>IFERROR(__xludf.DUMMYFUNCTION("""COMPUTED_VALUE"""),"BLACK")</f>
        <v>BLACK</v>
      </c>
      <c r="G889" s="28" t="str">
        <f>IFERROR(__xludf.DUMMYFUNCTION("""COMPUTED_VALUE"""),"First Times a Charm Cider")</f>
        <v>First Times a Charm Cider</v>
      </c>
      <c r="H889" s="27" t="str">
        <f>IFERROR(__xludf.DUMMYFUNCTION("""COMPUTED_VALUE"""),"")</f>
        <v/>
      </c>
    </row>
    <row r="890">
      <c r="A890" s="17"/>
      <c r="B890" s="23"/>
      <c r="C890" s="17">
        <f>IFERROR(__xludf.DUMMYFUNCTION("""COMPUTED_VALUE"""),43545.2968173726)</f>
        <v>43545.29682</v>
      </c>
      <c r="D890" s="23">
        <f>IFERROR(__xludf.DUMMYFUNCTION("""COMPUTED_VALUE"""),1.031)</f>
        <v>1.031</v>
      </c>
      <c r="E890" s="24">
        <f>IFERROR(__xludf.DUMMYFUNCTION("""COMPUTED_VALUE"""),66.0)</f>
        <v>66</v>
      </c>
      <c r="F890" s="27" t="str">
        <f>IFERROR(__xludf.DUMMYFUNCTION("""COMPUTED_VALUE"""),"BLACK")</f>
        <v>BLACK</v>
      </c>
      <c r="G890" s="28" t="str">
        <f>IFERROR(__xludf.DUMMYFUNCTION("""COMPUTED_VALUE"""),"First Times a Charm Cider")</f>
        <v>First Times a Charm Cider</v>
      </c>
      <c r="H890" s="27" t="str">
        <f>IFERROR(__xludf.DUMMYFUNCTION("""COMPUTED_VALUE"""),"")</f>
        <v/>
      </c>
    </row>
    <row r="891">
      <c r="A891" s="17"/>
      <c r="B891" s="23"/>
      <c r="C891" s="17">
        <f>IFERROR(__xludf.DUMMYFUNCTION("""COMPUTED_VALUE"""),43545.2863967939)</f>
        <v>43545.2864</v>
      </c>
      <c r="D891" s="23">
        <f>IFERROR(__xludf.DUMMYFUNCTION("""COMPUTED_VALUE"""),1.031)</f>
        <v>1.031</v>
      </c>
      <c r="E891" s="24">
        <f>IFERROR(__xludf.DUMMYFUNCTION("""COMPUTED_VALUE"""),66.0)</f>
        <v>66</v>
      </c>
      <c r="F891" s="27" t="str">
        <f>IFERROR(__xludf.DUMMYFUNCTION("""COMPUTED_VALUE"""),"BLACK")</f>
        <v>BLACK</v>
      </c>
      <c r="G891" s="28" t="str">
        <f>IFERROR(__xludf.DUMMYFUNCTION("""COMPUTED_VALUE"""),"First Times a Charm Cider")</f>
        <v>First Times a Charm Cider</v>
      </c>
      <c r="H891" s="27" t="str">
        <f>IFERROR(__xludf.DUMMYFUNCTION("""COMPUTED_VALUE"""),"")</f>
        <v/>
      </c>
    </row>
    <row r="892">
      <c r="A892" s="17"/>
      <c r="B892" s="23"/>
      <c r="C892" s="17">
        <f>IFERROR(__xludf.DUMMYFUNCTION("""COMPUTED_VALUE"""),43545.2759408912)</f>
        <v>43545.27594</v>
      </c>
      <c r="D892" s="23">
        <f>IFERROR(__xludf.DUMMYFUNCTION("""COMPUTED_VALUE"""),1.031)</f>
        <v>1.031</v>
      </c>
      <c r="E892" s="24">
        <f>IFERROR(__xludf.DUMMYFUNCTION("""COMPUTED_VALUE"""),66.0)</f>
        <v>66</v>
      </c>
      <c r="F892" s="27" t="str">
        <f>IFERROR(__xludf.DUMMYFUNCTION("""COMPUTED_VALUE"""),"BLACK")</f>
        <v>BLACK</v>
      </c>
      <c r="G892" s="28" t="str">
        <f>IFERROR(__xludf.DUMMYFUNCTION("""COMPUTED_VALUE"""),"First Times a Charm Cider")</f>
        <v>First Times a Charm Cider</v>
      </c>
      <c r="H892" s="27" t="str">
        <f>IFERROR(__xludf.DUMMYFUNCTION("""COMPUTED_VALUE"""),"")</f>
        <v/>
      </c>
    </row>
    <row r="893">
      <c r="A893" s="17"/>
      <c r="B893" s="23"/>
      <c r="C893" s="17">
        <f>IFERROR(__xludf.DUMMYFUNCTION("""COMPUTED_VALUE"""),43545.2655202199)</f>
        <v>43545.26552</v>
      </c>
      <c r="D893" s="23">
        <f>IFERROR(__xludf.DUMMYFUNCTION("""COMPUTED_VALUE"""),1.031)</f>
        <v>1.031</v>
      </c>
      <c r="E893" s="24">
        <f>IFERROR(__xludf.DUMMYFUNCTION("""COMPUTED_VALUE"""),66.0)</f>
        <v>66</v>
      </c>
      <c r="F893" s="27" t="str">
        <f>IFERROR(__xludf.DUMMYFUNCTION("""COMPUTED_VALUE"""),"BLACK")</f>
        <v>BLACK</v>
      </c>
      <c r="G893" s="28" t="str">
        <f>IFERROR(__xludf.DUMMYFUNCTION("""COMPUTED_VALUE"""),"First Times a Charm Cider")</f>
        <v>First Times a Charm Cider</v>
      </c>
      <c r="H893" s="27" t="str">
        <f>IFERROR(__xludf.DUMMYFUNCTION("""COMPUTED_VALUE"""),"")</f>
        <v/>
      </c>
    </row>
    <row r="894">
      <c r="A894" s="17"/>
      <c r="B894" s="23"/>
      <c r="C894" s="17">
        <f>IFERROR(__xludf.DUMMYFUNCTION("""COMPUTED_VALUE"""),43545.2550764467)</f>
        <v>43545.25508</v>
      </c>
      <c r="D894" s="23">
        <f>IFERROR(__xludf.DUMMYFUNCTION("""COMPUTED_VALUE"""),1.031)</f>
        <v>1.031</v>
      </c>
      <c r="E894" s="24">
        <f>IFERROR(__xludf.DUMMYFUNCTION("""COMPUTED_VALUE"""),66.0)</f>
        <v>66</v>
      </c>
      <c r="F894" s="27" t="str">
        <f>IFERROR(__xludf.DUMMYFUNCTION("""COMPUTED_VALUE"""),"BLACK")</f>
        <v>BLACK</v>
      </c>
      <c r="G894" s="28" t="str">
        <f>IFERROR(__xludf.DUMMYFUNCTION("""COMPUTED_VALUE"""),"First Times a Charm Cider")</f>
        <v>First Times a Charm Cider</v>
      </c>
      <c r="H894" s="27" t="str">
        <f>IFERROR(__xludf.DUMMYFUNCTION("""COMPUTED_VALUE"""),"")</f>
        <v/>
      </c>
    </row>
    <row r="895">
      <c r="A895" s="17"/>
      <c r="B895" s="23"/>
      <c r="C895" s="17">
        <f>IFERROR(__xludf.DUMMYFUNCTION("""COMPUTED_VALUE"""),43545.2446085416)</f>
        <v>43545.24461</v>
      </c>
      <c r="D895" s="23">
        <f>IFERROR(__xludf.DUMMYFUNCTION("""COMPUTED_VALUE"""),1.031)</f>
        <v>1.031</v>
      </c>
      <c r="E895" s="24">
        <f>IFERROR(__xludf.DUMMYFUNCTION("""COMPUTED_VALUE"""),66.0)</f>
        <v>66</v>
      </c>
      <c r="F895" s="27" t="str">
        <f>IFERROR(__xludf.DUMMYFUNCTION("""COMPUTED_VALUE"""),"BLACK")</f>
        <v>BLACK</v>
      </c>
      <c r="G895" s="28" t="str">
        <f>IFERROR(__xludf.DUMMYFUNCTION("""COMPUTED_VALUE"""),"First Times a Charm Cider")</f>
        <v>First Times a Charm Cider</v>
      </c>
      <c r="H895" s="27" t="str">
        <f>IFERROR(__xludf.DUMMYFUNCTION("""COMPUTED_VALUE"""),"")</f>
        <v/>
      </c>
    </row>
    <row r="896">
      <c r="A896" s="17"/>
      <c r="B896" s="23"/>
      <c r="C896" s="17">
        <f>IFERROR(__xludf.DUMMYFUNCTION("""COMPUTED_VALUE"""),43545.2341300694)</f>
        <v>43545.23413</v>
      </c>
      <c r="D896" s="23">
        <f>IFERROR(__xludf.DUMMYFUNCTION("""COMPUTED_VALUE"""),1.031)</f>
        <v>1.031</v>
      </c>
      <c r="E896" s="24">
        <f>IFERROR(__xludf.DUMMYFUNCTION("""COMPUTED_VALUE"""),66.0)</f>
        <v>66</v>
      </c>
      <c r="F896" s="27" t="str">
        <f>IFERROR(__xludf.DUMMYFUNCTION("""COMPUTED_VALUE"""),"BLACK")</f>
        <v>BLACK</v>
      </c>
      <c r="G896" s="28" t="str">
        <f>IFERROR(__xludf.DUMMYFUNCTION("""COMPUTED_VALUE"""),"First Times a Charm Cider")</f>
        <v>First Times a Charm Cider</v>
      </c>
      <c r="H896" s="27" t="str">
        <f>IFERROR(__xludf.DUMMYFUNCTION("""COMPUTED_VALUE"""),"")</f>
        <v/>
      </c>
    </row>
    <row r="897">
      <c r="A897" s="17"/>
      <c r="B897" s="23"/>
      <c r="C897" s="17">
        <f>IFERROR(__xludf.DUMMYFUNCTION("""COMPUTED_VALUE"""),43545.2237095833)</f>
        <v>43545.22371</v>
      </c>
      <c r="D897" s="23">
        <f>IFERROR(__xludf.DUMMYFUNCTION("""COMPUTED_VALUE"""),1.03)</f>
        <v>1.03</v>
      </c>
      <c r="E897" s="24">
        <f>IFERROR(__xludf.DUMMYFUNCTION("""COMPUTED_VALUE"""),66.0)</f>
        <v>66</v>
      </c>
      <c r="F897" s="27" t="str">
        <f>IFERROR(__xludf.DUMMYFUNCTION("""COMPUTED_VALUE"""),"BLACK")</f>
        <v>BLACK</v>
      </c>
      <c r="G897" s="28" t="str">
        <f>IFERROR(__xludf.DUMMYFUNCTION("""COMPUTED_VALUE"""),"First Times a Charm Cider")</f>
        <v>First Times a Charm Cider</v>
      </c>
      <c r="H897" s="27" t="str">
        <f>IFERROR(__xludf.DUMMYFUNCTION("""COMPUTED_VALUE"""),"")</f>
        <v/>
      </c>
    </row>
    <row r="898">
      <c r="A898" s="17"/>
      <c r="B898" s="23"/>
      <c r="C898" s="17">
        <f>IFERROR(__xludf.DUMMYFUNCTION("""COMPUTED_VALUE"""),43545.2132780208)</f>
        <v>43545.21328</v>
      </c>
      <c r="D898" s="23">
        <f>IFERROR(__xludf.DUMMYFUNCTION("""COMPUTED_VALUE"""),1.031)</f>
        <v>1.031</v>
      </c>
      <c r="E898" s="24">
        <f>IFERROR(__xludf.DUMMYFUNCTION("""COMPUTED_VALUE"""),66.0)</f>
        <v>66</v>
      </c>
      <c r="F898" s="27" t="str">
        <f>IFERROR(__xludf.DUMMYFUNCTION("""COMPUTED_VALUE"""),"BLACK")</f>
        <v>BLACK</v>
      </c>
      <c r="G898" s="28" t="str">
        <f>IFERROR(__xludf.DUMMYFUNCTION("""COMPUTED_VALUE"""),"First Times a Charm Cider")</f>
        <v>First Times a Charm Cider</v>
      </c>
      <c r="H898" s="27" t="str">
        <f>IFERROR(__xludf.DUMMYFUNCTION("""COMPUTED_VALUE"""),"")</f>
        <v/>
      </c>
    </row>
    <row r="899">
      <c r="A899" s="17"/>
      <c r="B899" s="23"/>
      <c r="C899" s="17">
        <f>IFERROR(__xludf.DUMMYFUNCTION("""COMPUTED_VALUE"""),43545.2028592592)</f>
        <v>43545.20286</v>
      </c>
      <c r="D899" s="23">
        <f>IFERROR(__xludf.DUMMYFUNCTION("""COMPUTED_VALUE"""),1.031)</f>
        <v>1.031</v>
      </c>
      <c r="E899" s="24">
        <f>IFERROR(__xludf.DUMMYFUNCTION("""COMPUTED_VALUE"""),66.0)</f>
        <v>66</v>
      </c>
      <c r="F899" s="27" t="str">
        <f>IFERROR(__xludf.DUMMYFUNCTION("""COMPUTED_VALUE"""),"BLACK")</f>
        <v>BLACK</v>
      </c>
      <c r="G899" s="28" t="str">
        <f>IFERROR(__xludf.DUMMYFUNCTION("""COMPUTED_VALUE"""),"First Times a Charm Cider")</f>
        <v>First Times a Charm Cider</v>
      </c>
      <c r="H899" s="27" t="str">
        <f>IFERROR(__xludf.DUMMYFUNCTION("""COMPUTED_VALUE"""),"")</f>
        <v/>
      </c>
    </row>
    <row r="900">
      <c r="A900" s="17"/>
      <c r="B900" s="23"/>
      <c r="C900" s="17">
        <f>IFERROR(__xludf.DUMMYFUNCTION("""COMPUTED_VALUE"""),43545.192426493)</f>
        <v>43545.19243</v>
      </c>
      <c r="D900" s="23">
        <f>IFERROR(__xludf.DUMMYFUNCTION("""COMPUTED_VALUE"""),1.031)</f>
        <v>1.031</v>
      </c>
      <c r="E900" s="24">
        <f>IFERROR(__xludf.DUMMYFUNCTION("""COMPUTED_VALUE"""),66.0)</f>
        <v>66</v>
      </c>
      <c r="F900" s="27" t="str">
        <f>IFERROR(__xludf.DUMMYFUNCTION("""COMPUTED_VALUE"""),"BLACK")</f>
        <v>BLACK</v>
      </c>
      <c r="G900" s="28" t="str">
        <f>IFERROR(__xludf.DUMMYFUNCTION("""COMPUTED_VALUE"""),"First Times a Charm Cider")</f>
        <v>First Times a Charm Cider</v>
      </c>
      <c r="H900" s="27" t="str">
        <f>IFERROR(__xludf.DUMMYFUNCTION("""COMPUTED_VALUE"""),"")</f>
        <v/>
      </c>
    </row>
    <row r="901">
      <c r="A901" s="17"/>
      <c r="B901" s="23"/>
      <c r="C901" s="17">
        <f>IFERROR(__xludf.DUMMYFUNCTION("""COMPUTED_VALUE"""),43545.1819923495)</f>
        <v>43545.18199</v>
      </c>
      <c r="D901" s="23">
        <f>IFERROR(__xludf.DUMMYFUNCTION("""COMPUTED_VALUE"""),1.031)</f>
        <v>1.031</v>
      </c>
      <c r="E901" s="24">
        <f>IFERROR(__xludf.DUMMYFUNCTION("""COMPUTED_VALUE"""),66.0)</f>
        <v>66</v>
      </c>
      <c r="F901" s="27" t="str">
        <f>IFERROR(__xludf.DUMMYFUNCTION("""COMPUTED_VALUE"""),"BLACK")</f>
        <v>BLACK</v>
      </c>
      <c r="G901" s="28" t="str">
        <f>IFERROR(__xludf.DUMMYFUNCTION("""COMPUTED_VALUE"""),"First Times a Charm Cider")</f>
        <v>First Times a Charm Cider</v>
      </c>
      <c r="H901" s="27" t="str">
        <f>IFERROR(__xludf.DUMMYFUNCTION("""COMPUTED_VALUE"""),"")</f>
        <v/>
      </c>
    </row>
    <row r="902">
      <c r="A902" s="17"/>
      <c r="B902" s="23"/>
      <c r="C902" s="17">
        <f>IFERROR(__xludf.DUMMYFUNCTION("""COMPUTED_VALUE"""),43545.1715619791)</f>
        <v>43545.17156</v>
      </c>
      <c r="D902" s="23">
        <f>IFERROR(__xludf.DUMMYFUNCTION("""COMPUTED_VALUE"""),1.031)</f>
        <v>1.031</v>
      </c>
      <c r="E902" s="24">
        <f>IFERROR(__xludf.DUMMYFUNCTION("""COMPUTED_VALUE"""),66.0)</f>
        <v>66</v>
      </c>
      <c r="F902" s="27" t="str">
        <f>IFERROR(__xludf.DUMMYFUNCTION("""COMPUTED_VALUE"""),"BLACK")</f>
        <v>BLACK</v>
      </c>
      <c r="G902" s="28" t="str">
        <f>IFERROR(__xludf.DUMMYFUNCTION("""COMPUTED_VALUE"""),"First Times a Charm Cider")</f>
        <v>First Times a Charm Cider</v>
      </c>
      <c r="H902" s="27" t="str">
        <f>IFERROR(__xludf.DUMMYFUNCTION("""COMPUTED_VALUE"""),"")</f>
        <v/>
      </c>
    </row>
    <row r="903">
      <c r="A903" s="17"/>
      <c r="B903" s="23"/>
      <c r="C903" s="17">
        <f>IFERROR(__xludf.DUMMYFUNCTION("""COMPUTED_VALUE"""),43545.1611319791)</f>
        <v>43545.16113</v>
      </c>
      <c r="D903" s="23">
        <f>IFERROR(__xludf.DUMMYFUNCTION("""COMPUTED_VALUE"""),1.031)</f>
        <v>1.031</v>
      </c>
      <c r="E903" s="24">
        <f>IFERROR(__xludf.DUMMYFUNCTION("""COMPUTED_VALUE"""),66.0)</f>
        <v>66</v>
      </c>
      <c r="F903" s="27" t="str">
        <f>IFERROR(__xludf.DUMMYFUNCTION("""COMPUTED_VALUE"""),"BLACK")</f>
        <v>BLACK</v>
      </c>
      <c r="G903" s="28" t="str">
        <f>IFERROR(__xludf.DUMMYFUNCTION("""COMPUTED_VALUE"""),"First Times a Charm Cider")</f>
        <v>First Times a Charm Cider</v>
      </c>
      <c r="H903" s="27" t="str">
        <f>IFERROR(__xludf.DUMMYFUNCTION("""COMPUTED_VALUE"""),"")</f>
        <v/>
      </c>
    </row>
    <row r="904">
      <c r="A904" s="17"/>
      <c r="B904" s="23"/>
      <c r="C904" s="17">
        <f>IFERROR(__xludf.DUMMYFUNCTION("""COMPUTED_VALUE"""),43545.1506890509)</f>
        <v>43545.15069</v>
      </c>
      <c r="D904" s="23">
        <f>IFERROR(__xludf.DUMMYFUNCTION("""COMPUTED_VALUE"""),1.031)</f>
        <v>1.031</v>
      </c>
      <c r="E904" s="24">
        <f>IFERROR(__xludf.DUMMYFUNCTION("""COMPUTED_VALUE"""),66.0)</f>
        <v>66</v>
      </c>
      <c r="F904" s="27" t="str">
        <f>IFERROR(__xludf.DUMMYFUNCTION("""COMPUTED_VALUE"""),"BLACK")</f>
        <v>BLACK</v>
      </c>
      <c r="G904" s="28" t="str">
        <f>IFERROR(__xludf.DUMMYFUNCTION("""COMPUTED_VALUE"""),"First Times a Charm Cider")</f>
        <v>First Times a Charm Cider</v>
      </c>
      <c r="H904" s="27" t="str">
        <f>IFERROR(__xludf.DUMMYFUNCTION("""COMPUTED_VALUE"""),"")</f>
        <v/>
      </c>
    </row>
    <row r="905">
      <c r="A905" s="17"/>
      <c r="B905" s="23"/>
      <c r="C905" s="17">
        <f>IFERROR(__xludf.DUMMYFUNCTION("""COMPUTED_VALUE"""),43545.1402665856)</f>
        <v>43545.14027</v>
      </c>
      <c r="D905" s="23">
        <f>IFERROR(__xludf.DUMMYFUNCTION("""COMPUTED_VALUE"""),1.031)</f>
        <v>1.031</v>
      </c>
      <c r="E905" s="24">
        <f>IFERROR(__xludf.DUMMYFUNCTION("""COMPUTED_VALUE"""),66.0)</f>
        <v>66</v>
      </c>
      <c r="F905" s="27" t="str">
        <f>IFERROR(__xludf.DUMMYFUNCTION("""COMPUTED_VALUE"""),"BLACK")</f>
        <v>BLACK</v>
      </c>
      <c r="G905" s="28" t="str">
        <f>IFERROR(__xludf.DUMMYFUNCTION("""COMPUTED_VALUE"""),"First Times a Charm Cider")</f>
        <v>First Times a Charm Cider</v>
      </c>
      <c r="H905" s="27" t="str">
        <f>IFERROR(__xludf.DUMMYFUNCTION("""COMPUTED_VALUE"""),"")</f>
        <v/>
      </c>
    </row>
    <row r="906">
      <c r="A906" s="17"/>
      <c r="B906" s="23"/>
      <c r="C906" s="17">
        <f>IFERROR(__xludf.DUMMYFUNCTION("""COMPUTED_VALUE"""),43545.1298198611)</f>
        <v>43545.12982</v>
      </c>
      <c r="D906" s="23">
        <f>IFERROR(__xludf.DUMMYFUNCTION("""COMPUTED_VALUE"""),1.031)</f>
        <v>1.031</v>
      </c>
      <c r="E906" s="24">
        <f>IFERROR(__xludf.DUMMYFUNCTION("""COMPUTED_VALUE"""),66.0)</f>
        <v>66</v>
      </c>
      <c r="F906" s="27" t="str">
        <f>IFERROR(__xludf.DUMMYFUNCTION("""COMPUTED_VALUE"""),"BLACK")</f>
        <v>BLACK</v>
      </c>
      <c r="G906" s="28" t="str">
        <f>IFERROR(__xludf.DUMMYFUNCTION("""COMPUTED_VALUE"""),"First Times a Charm Cider")</f>
        <v>First Times a Charm Cider</v>
      </c>
      <c r="H906" s="27" t="str">
        <f>IFERROR(__xludf.DUMMYFUNCTION("""COMPUTED_VALUE"""),"")</f>
        <v/>
      </c>
    </row>
    <row r="907">
      <c r="A907" s="17"/>
      <c r="B907" s="23"/>
      <c r="C907" s="17">
        <f>IFERROR(__xludf.DUMMYFUNCTION("""COMPUTED_VALUE"""),43545.1193869328)</f>
        <v>43545.11939</v>
      </c>
      <c r="D907" s="23">
        <f>IFERROR(__xludf.DUMMYFUNCTION("""COMPUTED_VALUE"""),1.031)</f>
        <v>1.031</v>
      </c>
      <c r="E907" s="24">
        <f>IFERROR(__xludf.DUMMYFUNCTION("""COMPUTED_VALUE"""),66.0)</f>
        <v>66</v>
      </c>
      <c r="F907" s="27" t="str">
        <f>IFERROR(__xludf.DUMMYFUNCTION("""COMPUTED_VALUE"""),"BLACK")</f>
        <v>BLACK</v>
      </c>
      <c r="G907" s="28" t="str">
        <f>IFERROR(__xludf.DUMMYFUNCTION("""COMPUTED_VALUE"""),"First Times a Charm Cider")</f>
        <v>First Times a Charm Cider</v>
      </c>
      <c r="H907" s="27" t="str">
        <f>IFERROR(__xludf.DUMMYFUNCTION("""COMPUTED_VALUE"""),"")</f>
        <v/>
      </c>
    </row>
    <row r="908">
      <c r="A908" s="17"/>
      <c r="B908" s="23"/>
      <c r="C908" s="17">
        <f>IFERROR(__xludf.DUMMYFUNCTION("""COMPUTED_VALUE"""),43545.1089676504)</f>
        <v>43545.10897</v>
      </c>
      <c r="D908" s="23">
        <f>IFERROR(__xludf.DUMMYFUNCTION("""COMPUTED_VALUE"""),1.031)</f>
        <v>1.031</v>
      </c>
      <c r="E908" s="24">
        <f>IFERROR(__xludf.DUMMYFUNCTION("""COMPUTED_VALUE"""),66.0)</f>
        <v>66</v>
      </c>
      <c r="F908" s="27" t="str">
        <f>IFERROR(__xludf.DUMMYFUNCTION("""COMPUTED_VALUE"""),"BLACK")</f>
        <v>BLACK</v>
      </c>
      <c r="G908" s="28" t="str">
        <f>IFERROR(__xludf.DUMMYFUNCTION("""COMPUTED_VALUE"""),"First Times a Charm Cider")</f>
        <v>First Times a Charm Cider</v>
      </c>
      <c r="H908" s="27" t="str">
        <f>IFERROR(__xludf.DUMMYFUNCTION("""COMPUTED_VALUE"""),"")</f>
        <v/>
      </c>
    </row>
    <row r="909">
      <c r="A909" s="17"/>
      <c r="B909" s="23"/>
      <c r="C909" s="17">
        <f>IFERROR(__xludf.DUMMYFUNCTION("""COMPUTED_VALUE"""),43545.0985470601)</f>
        <v>43545.09855</v>
      </c>
      <c r="D909" s="23">
        <f>IFERROR(__xludf.DUMMYFUNCTION("""COMPUTED_VALUE"""),1.031)</f>
        <v>1.031</v>
      </c>
      <c r="E909" s="24">
        <f>IFERROR(__xludf.DUMMYFUNCTION("""COMPUTED_VALUE"""),66.0)</f>
        <v>66</v>
      </c>
      <c r="F909" s="27" t="str">
        <f>IFERROR(__xludf.DUMMYFUNCTION("""COMPUTED_VALUE"""),"BLACK")</f>
        <v>BLACK</v>
      </c>
      <c r="G909" s="28" t="str">
        <f>IFERROR(__xludf.DUMMYFUNCTION("""COMPUTED_VALUE"""),"First Times a Charm Cider")</f>
        <v>First Times a Charm Cider</v>
      </c>
      <c r="H909" s="27" t="str">
        <f>IFERROR(__xludf.DUMMYFUNCTION("""COMPUTED_VALUE"""),"")</f>
        <v/>
      </c>
    </row>
    <row r="910">
      <c r="A910" s="17"/>
      <c r="B910" s="23"/>
      <c r="C910" s="17">
        <f>IFERROR(__xludf.DUMMYFUNCTION("""COMPUTED_VALUE"""),43545.0881140509)</f>
        <v>43545.08811</v>
      </c>
      <c r="D910" s="23">
        <f>IFERROR(__xludf.DUMMYFUNCTION("""COMPUTED_VALUE"""),1.031)</f>
        <v>1.031</v>
      </c>
      <c r="E910" s="24">
        <f>IFERROR(__xludf.DUMMYFUNCTION("""COMPUTED_VALUE"""),66.0)</f>
        <v>66</v>
      </c>
      <c r="F910" s="27" t="str">
        <f>IFERROR(__xludf.DUMMYFUNCTION("""COMPUTED_VALUE"""),"BLACK")</f>
        <v>BLACK</v>
      </c>
      <c r="G910" s="28" t="str">
        <f>IFERROR(__xludf.DUMMYFUNCTION("""COMPUTED_VALUE"""),"First Times a Charm Cider")</f>
        <v>First Times a Charm Cider</v>
      </c>
      <c r="H910" s="27" t="str">
        <f>IFERROR(__xludf.DUMMYFUNCTION("""COMPUTED_VALUE"""),"")</f>
        <v/>
      </c>
    </row>
    <row r="911">
      <c r="A911" s="17"/>
      <c r="B911" s="23"/>
      <c r="C911" s="17">
        <f>IFERROR(__xludf.DUMMYFUNCTION("""COMPUTED_VALUE"""),43545.0776942361)</f>
        <v>43545.07769</v>
      </c>
      <c r="D911" s="23">
        <f>IFERROR(__xludf.DUMMYFUNCTION("""COMPUTED_VALUE"""),1.031)</f>
        <v>1.031</v>
      </c>
      <c r="E911" s="24">
        <f>IFERROR(__xludf.DUMMYFUNCTION("""COMPUTED_VALUE"""),66.0)</f>
        <v>66</v>
      </c>
      <c r="F911" s="27" t="str">
        <f>IFERROR(__xludf.DUMMYFUNCTION("""COMPUTED_VALUE"""),"BLACK")</f>
        <v>BLACK</v>
      </c>
      <c r="G911" s="28" t="str">
        <f>IFERROR(__xludf.DUMMYFUNCTION("""COMPUTED_VALUE"""),"First Times a Charm Cider")</f>
        <v>First Times a Charm Cider</v>
      </c>
      <c r="H911" s="27" t="str">
        <f>IFERROR(__xludf.DUMMYFUNCTION("""COMPUTED_VALUE"""),"")</f>
        <v/>
      </c>
    </row>
    <row r="912">
      <c r="A912" s="17"/>
      <c r="B912" s="23"/>
      <c r="C912" s="17">
        <f>IFERROR(__xludf.DUMMYFUNCTION("""COMPUTED_VALUE"""),43545.067250162)</f>
        <v>43545.06725</v>
      </c>
      <c r="D912" s="23">
        <f>IFERROR(__xludf.DUMMYFUNCTION("""COMPUTED_VALUE"""),1.031)</f>
        <v>1.031</v>
      </c>
      <c r="E912" s="24">
        <f>IFERROR(__xludf.DUMMYFUNCTION("""COMPUTED_VALUE"""),66.0)</f>
        <v>66</v>
      </c>
      <c r="F912" s="27" t="str">
        <f>IFERROR(__xludf.DUMMYFUNCTION("""COMPUTED_VALUE"""),"BLACK")</f>
        <v>BLACK</v>
      </c>
      <c r="G912" s="28" t="str">
        <f>IFERROR(__xludf.DUMMYFUNCTION("""COMPUTED_VALUE"""),"First Times a Charm Cider")</f>
        <v>First Times a Charm Cider</v>
      </c>
      <c r="H912" s="27" t="str">
        <f>IFERROR(__xludf.DUMMYFUNCTION("""COMPUTED_VALUE"""),"")</f>
        <v/>
      </c>
    </row>
    <row r="913">
      <c r="A913" s="17"/>
      <c r="B913" s="23"/>
      <c r="C913" s="17">
        <f>IFERROR(__xludf.DUMMYFUNCTION("""COMPUTED_VALUE"""),43545.0568174768)</f>
        <v>43545.05682</v>
      </c>
      <c r="D913" s="23">
        <f>IFERROR(__xludf.DUMMYFUNCTION("""COMPUTED_VALUE"""),1.031)</f>
        <v>1.031</v>
      </c>
      <c r="E913" s="24">
        <f>IFERROR(__xludf.DUMMYFUNCTION("""COMPUTED_VALUE"""),66.0)</f>
        <v>66</v>
      </c>
      <c r="F913" s="27" t="str">
        <f>IFERROR(__xludf.DUMMYFUNCTION("""COMPUTED_VALUE"""),"BLACK")</f>
        <v>BLACK</v>
      </c>
      <c r="G913" s="28" t="str">
        <f>IFERROR(__xludf.DUMMYFUNCTION("""COMPUTED_VALUE"""),"First Times a Charm Cider")</f>
        <v>First Times a Charm Cider</v>
      </c>
      <c r="H913" s="27" t="str">
        <f>IFERROR(__xludf.DUMMYFUNCTION("""COMPUTED_VALUE"""),"")</f>
        <v/>
      </c>
    </row>
    <row r="914">
      <c r="A914" s="17"/>
      <c r="B914" s="23"/>
      <c r="C914" s="17">
        <f>IFERROR(__xludf.DUMMYFUNCTION("""COMPUTED_VALUE"""),43545.0463735185)</f>
        <v>43545.04637</v>
      </c>
      <c r="D914" s="23">
        <f>IFERROR(__xludf.DUMMYFUNCTION("""COMPUTED_VALUE"""),1.031)</f>
        <v>1.031</v>
      </c>
      <c r="E914" s="24">
        <f>IFERROR(__xludf.DUMMYFUNCTION("""COMPUTED_VALUE"""),66.0)</f>
        <v>66</v>
      </c>
      <c r="F914" s="27" t="str">
        <f>IFERROR(__xludf.DUMMYFUNCTION("""COMPUTED_VALUE"""),"BLACK")</f>
        <v>BLACK</v>
      </c>
      <c r="G914" s="28" t="str">
        <f>IFERROR(__xludf.DUMMYFUNCTION("""COMPUTED_VALUE"""),"First Times a Charm Cider")</f>
        <v>First Times a Charm Cider</v>
      </c>
      <c r="H914" s="27" t="str">
        <f>IFERROR(__xludf.DUMMYFUNCTION("""COMPUTED_VALUE"""),"")</f>
        <v/>
      </c>
    </row>
    <row r="915">
      <c r="A915" s="17"/>
      <c r="B915" s="23"/>
      <c r="C915" s="17">
        <f>IFERROR(__xludf.DUMMYFUNCTION("""COMPUTED_VALUE"""),43545.0359293055)</f>
        <v>43545.03593</v>
      </c>
      <c r="D915" s="23">
        <f>IFERROR(__xludf.DUMMYFUNCTION("""COMPUTED_VALUE"""),1.031)</f>
        <v>1.031</v>
      </c>
      <c r="E915" s="24">
        <f>IFERROR(__xludf.DUMMYFUNCTION("""COMPUTED_VALUE"""),66.0)</f>
        <v>66</v>
      </c>
      <c r="F915" s="27" t="str">
        <f>IFERROR(__xludf.DUMMYFUNCTION("""COMPUTED_VALUE"""),"BLACK")</f>
        <v>BLACK</v>
      </c>
      <c r="G915" s="28" t="str">
        <f>IFERROR(__xludf.DUMMYFUNCTION("""COMPUTED_VALUE"""),"First Times a Charm Cider")</f>
        <v>First Times a Charm Cider</v>
      </c>
      <c r="H915" s="27" t="str">
        <f>IFERROR(__xludf.DUMMYFUNCTION("""COMPUTED_VALUE"""),"")</f>
        <v/>
      </c>
    </row>
    <row r="916">
      <c r="A916" s="17"/>
      <c r="B916" s="23"/>
      <c r="C916" s="17">
        <f>IFERROR(__xludf.DUMMYFUNCTION("""COMPUTED_VALUE"""),43545.0254975578)</f>
        <v>43545.0255</v>
      </c>
      <c r="D916" s="23">
        <f>IFERROR(__xludf.DUMMYFUNCTION("""COMPUTED_VALUE"""),1.031)</f>
        <v>1.031</v>
      </c>
      <c r="E916" s="24">
        <f>IFERROR(__xludf.DUMMYFUNCTION("""COMPUTED_VALUE"""),66.0)</f>
        <v>66</v>
      </c>
      <c r="F916" s="27" t="str">
        <f>IFERROR(__xludf.DUMMYFUNCTION("""COMPUTED_VALUE"""),"BLACK")</f>
        <v>BLACK</v>
      </c>
      <c r="G916" s="28" t="str">
        <f>IFERROR(__xludf.DUMMYFUNCTION("""COMPUTED_VALUE"""),"First Times a Charm Cider")</f>
        <v>First Times a Charm Cider</v>
      </c>
      <c r="H916" s="27" t="str">
        <f>IFERROR(__xludf.DUMMYFUNCTION("""COMPUTED_VALUE"""),"")</f>
        <v/>
      </c>
    </row>
    <row r="917">
      <c r="A917" s="17"/>
      <c r="B917" s="23"/>
      <c r="C917" s="17">
        <f>IFERROR(__xludf.DUMMYFUNCTION("""COMPUTED_VALUE"""),43545.0150656018)</f>
        <v>43545.01507</v>
      </c>
      <c r="D917" s="23">
        <f>IFERROR(__xludf.DUMMYFUNCTION("""COMPUTED_VALUE"""),1.031)</f>
        <v>1.031</v>
      </c>
      <c r="E917" s="24">
        <f>IFERROR(__xludf.DUMMYFUNCTION("""COMPUTED_VALUE"""),66.0)</f>
        <v>66</v>
      </c>
      <c r="F917" s="27" t="str">
        <f>IFERROR(__xludf.DUMMYFUNCTION("""COMPUTED_VALUE"""),"BLACK")</f>
        <v>BLACK</v>
      </c>
      <c r="G917" s="28" t="str">
        <f>IFERROR(__xludf.DUMMYFUNCTION("""COMPUTED_VALUE"""),"First Times a Charm Cider")</f>
        <v>First Times a Charm Cider</v>
      </c>
      <c r="H917" s="27" t="str">
        <f>IFERROR(__xludf.DUMMYFUNCTION("""COMPUTED_VALUE"""),"")</f>
        <v/>
      </c>
    </row>
    <row r="918">
      <c r="A918" s="17"/>
      <c r="B918" s="23"/>
      <c r="C918" s="17">
        <f>IFERROR(__xludf.DUMMYFUNCTION("""COMPUTED_VALUE"""),43545.0046437152)</f>
        <v>43545.00464</v>
      </c>
      <c r="D918" s="23">
        <f>IFERROR(__xludf.DUMMYFUNCTION("""COMPUTED_VALUE"""),1.031)</f>
        <v>1.031</v>
      </c>
      <c r="E918" s="24">
        <f>IFERROR(__xludf.DUMMYFUNCTION("""COMPUTED_VALUE"""),66.0)</f>
        <v>66</v>
      </c>
      <c r="F918" s="27" t="str">
        <f>IFERROR(__xludf.DUMMYFUNCTION("""COMPUTED_VALUE"""),"BLACK")</f>
        <v>BLACK</v>
      </c>
      <c r="G918" s="28" t="str">
        <f>IFERROR(__xludf.DUMMYFUNCTION("""COMPUTED_VALUE"""),"First Times a Charm Cider")</f>
        <v>First Times a Charm Cider</v>
      </c>
      <c r="H918" s="27" t="str">
        <f>IFERROR(__xludf.DUMMYFUNCTION("""COMPUTED_VALUE"""),"")</f>
        <v/>
      </c>
    </row>
    <row r="919">
      <c r="A919" s="17"/>
      <c r="B919" s="23"/>
      <c r="C919" s="17">
        <f>IFERROR(__xludf.DUMMYFUNCTION("""COMPUTED_VALUE"""),43544.9941992939)</f>
        <v>43544.9942</v>
      </c>
      <c r="D919" s="23">
        <f>IFERROR(__xludf.DUMMYFUNCTION("""COMPUTED_VALUE"""),1.031)</f>
        <v>1.031</v>
      </c>
      <c r="E919" s="24">
        <f>IFERROR(__xludf.DUMMYFUNCTION("""COMPUTED_VALUE"""),66.0)</f>
        <v>66</v>
      </c>
      <c r="F919" s="27" t="str">
        <f>IFERROR(__xludf.DUMMYFUNCTION("""COMPUTED_VALUE"""),"BLACK")</f>
        <v>BLACK</v>
      </c>
      <c r="G919" s="28" t="str">
        <f>IFERROR(__xludf.DUMMYFUNCTION("""COMPUTED_VALUE"""),"First Times a Charm Cider")</f>
        <v>First Times a Charm Cider</v>
      </c>
      <c r="H919" s="27" t="str">
        <f>IFERROR(__xludf.DUMMYFUNCTION("""COMPUTED_VALUE"""),"")</f>
        <v/>
      </c>
    </row>
    <row r="920">
      <c r="A920" s="17"/>
      <c r="B920" s="23"/>
      <c r="C920" s="17">
        <f>IFERROR(__xludf.DUMMYFUNCTION("""COMPUTED_VALUE"""),43544.9837547685)</f>
        <v>43544.98375</v>
      </c>
      <c r="D920" s="23">
        <f>IFERROR(__xludf.DUMMYFUNCTION("""COMPUTED_VALUE"""),1.031)</f>
        <v>1.031</v>
      </c>
      <c r="E920" s="24">
        <f>IFERROR(__xludf.DUMMYFUNCTION("""COMPUTED_VALUE"""),66.0)</f>
        <v>66</v>
      </c>
      <c r="F920" s="27" t="str">
        <f>IFERROR(__xludf.DUMMYFUNCTION("""COMPUTED_VALUE"""),"BLACK")</f>
        <v>BLACK</v>
      </c>
      <c r="G920" s="28" t="str">
        <f>IFERROR(__xludf.DUMMYFUNCTION("""COMPUTED_VALUE"""),"First Times a Charm Cider")</f>
        <v>First Times a Charm Cider</v>
      </c>
      <c r="H920" s="27" t="str">
        <f>IFERROR(__xludf.DUMMYFUNCTION("""COMPUTED_VALUE"""),"")</f>
        <v/>
      </c>
    </row>
    <row r="921">
      <c r="A921" s="17"/>
      <c r="B921" s="23"/>
      <c r="C921" s="17">
        <f>IFERROR(__xludf.DUMMYFUNCTION("""COMPUTED_VALUE"""),43544.9732984027)</f>
        <v>43544.9733</v>
      </c>
      <c r="D921" s="23">
        <f>IFERROR(__xludf.DUMMYFUNCTION("""COMPUTED_VALUE"""),1.031)</f>
        <v>1.031</v>
      </c>
      <c r="E921" s="24">
        <f>IFERROR(__xludf.DUMMYFUNCTION("""COMPUTED_VALUE"""),65.0)</f>
        <v>65</v>
      </c>
      <c r="F921" s="27" t="str">
        <f>IFERROR(__xludf.DUMMYFUNCTION("""COMPUTED_VALUE"""),"BLACK")</f>
        <v>BLACK</v>
      </c>
      <c r="G921" s="28" t="str">
        <f>IFERROR(__xludf.DUMMYFUNCTION("""COMPUTED_VALUE"""),"First Times a Charm Cider")</f>
        <v>First Times a Charm Cider</v>
      </c>
      <c r="H921" s="27" t="str">
        <f>IFERROR(__xludf.DUMMYFUNCTION("""COMPUTED_VALUE"""),"")</f>
        <v/>
      </c>
    </row>
    <row r="922">
      <c r="A922" s="17"/>
      <c r="B922" s="23"/>
      <c r="C922" s="17">
        <f>IFERROR(__xludf.DUMMYFUNCTION("""COMPUTED_VALUE"""),43544.9628199768)</f>
        <v>43544.96282</v>
      </c>
      <c r="D922" s="23">
        <f>IFERROR(__xludf.DUMMYFUNCTION("""COMPUTED_VALUE"""),1.031)</f>
        <v>1.031</v>
      </c>
      <c r="E922" s="24">
        <f>IFERROR(__xludf.DUMMYFUNCTION("""COMPUTED_VALUE"""),65.0)</f>
        <v>65</v>
      </c>
      <c r="F922" s="27" t="str">
        <f>IFERROR(__xludf.DUMMYFUNCTION("""COMPUTED_VALUE"""),"BLACK")</f>
        <v>BLACK</v>
      </c>
      <c r="G922" s="28" t="str">
        <f>IFERROR(__xludf.DUMMYFUNCTION("""COMPUTED_VALUE"""),"First Times a Charm Cider")</f>
        <v>First Times a Charm Cider</v>
      </c>
      <c r="H922" s="27" t="str">
        <f>IFERROR(__xludf.DUMMYFUNCTION("""COMPUTED_VALUE"""),"")</f>
        <v/>
      </c>
    </row>
    <row r="923">
      <c r="A923" s="17"/>
      <c r="B923" s="23"/>
      <c r="C923" s="17">
        <f>IFERROR(__xludf.DUMMYFUNCTION("""COMPUTED_VALUE"""),43544.9524005208)</f>
        <v>43544.9524</v>
      </c>
      <c r="D923" s="23">
        <f>IFERROR(__xludf.DUMMYFUNCTION("""COMPUTED_VALUE"""),1.031)</f>
        <v>1.031</v>
      </c>
      <c r="E923" s="24">
        <f>IFERROR(__xludf.DUMMYFUNCTION("""COMPUTED_VALUE"""),65.0)</f>
        <v>65</v>
      </c>
      <c r="F923" s="27" t="str">
        <f>IFERROR(__xludf.DUMMYFUNCTION("""COMPUTED_VALUE"""),"BLACK")</f>
        <v>BLACK</v>
      </c>
      <c r="G923" s="28" t="str">
        <f>IFERROR(__xludf.DUMMYFUNCTION("""COMPUTED_VALUE"""),"First Times a Charm Cider")</f>
        <v>First Times a Charm Cider</v>
      </c>
      <c r="H923" s="27" t="str">
        <f>IFERROR(__xludf.DUMMYFUNCTION("""COMPUTED_VALUE"""),"")</f>
        <v/>
      </c>
    </row>
    <row r="924">
      <c r="A924" s="17"/>
      <c r="B924" s="23"/>
      <c r="C924" s="17">
        <f>IFERROR(__xludf.DUMMYFUNCTION("""COMPUTED_VALUE"""),43544.9419803587)</f>
        <v>43544.94198</v>
      </c>
      <c r="D924" s="23">
        <f>IFERROR(__xludf.DUMMYFUNCTION("""COMPUTED_VALUE"""),1.031)</f>
        <v>1.031</v>
      </c>
      <c r="E924" s="24">
        <f>IFERROR(__xludf.DUMMYFUNCTION("""COMPUTED_VALUE"""),65.0)</f>
        <v>65</v>
      </c>
      <c r="F924" s="27" t="str">
        <f>IFERROR(__xludf.DUMMYFUNCTION("""COMPUTED_VALUE"""),"BLACK")</f>
        <v>BLACK</v>
      </c>
      <c r="G924" s="28" t="str">
        <f>IFERROR(__xludf.DUMMYFUNCTION("""COMPUTED_VALUE"""),"First Times a Charm Cider")</f>
        <v>First Times a Charm Cider</v>
      </c>
      <c r="H924" s="27" t="str">
        <f>IFERROR(__xludf.DUMMYFUNCTION("""COMPUTED_VALUE"""),"")</f>
        <v/>
      </c>
    </row>
    <row r="925">
      <c r="A925" s="17"/>
      <c r="B925" s="23"/>
      <c r="C925" s="17">
        <f>IFERROR(__xludf.DUMMYFUNCTION("""COMPUTED_VALUE"""),43544.9315590046)</f>
        <v>43544.93156</v>
      </c>
      <c r="D925" s="23">
        <f>IFERROR(__xludf.DUMMYFUNCTION("""COMPUTED_VALUE"""),1.031)</f>
        <v>1.031</v>
      </c>
      <c r="E925" s="24">
        <f>IFERROR(__xludf.DUMMYFUNCTION("""COMPUTED_VALUE"""),65.0)</f>
        <v>65</v>
      </c>
      <c r="F925" s="27" t="str">
        <f>IFERROR(__xludf.DUMMYFUNCTION("""COMPUTED_VALUE"""),"BLACK")</f>
        <v>BLACK</v>
      </c>
      <c r="G925" s="28" t="str">
        <f>IFERROR(__xludf.DUMMYFUNCTION("""COMPUTED_VALUE"""),"First Times a Charm Cider")</f>
        <v>First Times a Charm Cider</v>
      </c>
      <c r="H925" s="27" t="str">
        <f>IFERROR(__xludf.DUMMYFUNCTION("""COMPUTED_VALUE"""),"")</f>
        <v/>
      </c>
    </row>
    <row r="926">
      <c r="A926" s="17"/>
      <c r="B926" s="23"/>
      <c r="C926" s="17">
        <f>IFERROR(__xludf.DUMMYFUNCTION("""COMPUTED_VALUE"""),43544.9211269097)</f>
        <v>43544.92113</v>
      </c>
      <c r="D926" s="23">
        <f>IFERROR(__xludf.DUMMYFUNCTION("""COMPUTED_VALUE"""),1.031)</f>
        <v>1.031</v>
      </c>
      <c r="E926" s="24">
        <f>IFERROR(__xludf.DUMMYFUNCTION("""COMPUTED_VALUE"""),65.0)</f>
        <v>65</v>
      </c>
      <c r="F926" s="27" t="str">
        <f>IFERROR(__xludf.DUMMYFUNCTION("""COMPUTED_VALUE"""),"BLACK")</f>
        <v>BLACK</v>
      </c>
      <c r="G926" s="28" t="str">
        <f>IFERROR(__xludf.DUMMYFUNCTION("""COMPUTED_VALUE"""),"First Times a Charm Cider")</f>
        <v>First Times a Charm Cider</v>
      </c>
      <c r="H926" s="27" t="str">
        <f>IFERROR(__xludf.DUMMYFUNCTION("""COMPUTED_VALUE"""),"")</f>
        <v/>
      </c>
    </row>
    <row r="927">
      <c r="A927" s="17"/>
      <c r="B927" s="23"/>
      <c r="C927" s="17">
        <f>IFERROR(__xludf.DUMMYFUNCTION("""COMPUTED_VALUE"""),43544.9106749652)</f>
        <v>43544.91067</v>
      </c>
      <c r="D927" s="23">
        <f>IFERROR(__xludf.DUMMYFUNCTION("""COMPUTED_VALUE"""),1.031)</f>
        <v>1.031</v>
      </c>
      <c r="E927" s="24">
        <f>IFERROR(__xludf.DUMMYFUNCTION("""COMPUTED_VALUE"""),65.0)</f>
        <v>65</v>
      </c>
      <c r="F927" s="27" t="str">
        <f>IFERROR(__xludf.DUMMYFUNCTION("""COMPUTED_VALUE"""),"BLACK")</f>
        <v>BLACK</v>
      </c>
      <c r="G927" s="28" t="str">
        <f>IFERROR(__xludf.DUMMYFUNCTION("""COMPUTED_VALUE"""),"First Times a Charm Cider")</f>
        <v>First Times a Charm Cider</v>
      </c>
      <c r="H927" s="27" t="str">
        <f>IFERROR(__xludf.DUMMYFUNCTION("""COMPUTED_VALUE"""),"")</f>
        <v/>
      </c>
    </row>
    <row r="928">
      <c r="A928" s="17"/>
      <c r="B928" s="23"/>
      <c r="C928" s="17">
        <f>IFERROR(__xludf.DUMMYFUNCTION("""COMPUTED_VALUE"""),43544.9002484143)</f>
        <v>43544.90025</v>
      </c>
      <c r="D928" s="23">
        <f>IFERROR(__xludf.DUMMYFUNCTION("""COMPUTED_VALUE"""),1.031)</f>
        <v>1.031</v>
      </c>
      <c r="E928" s="24">
        <f>IFERROR(__xludf.DUMMYFUNCTION("""COMPUTED_VALUE"""),65.0)</f>
        <v>65</v>
      </c>
      <c r="F928" s="27" t="str">
        <f>IFERROR(__xludf.DUMMYFUNCTION("""COMPUTED_VALUE"""),"BLACK")</f>
        <v>BLACK</v>
      </c>
      <c r="G928" s="28" t="str">
        <f>IFERROR(__xludf.DUMMYFUNCTION("""COMPUTED_VALUE"""),"First Times a Charm Cider")</f>
        <v>First Times a Charm Cider</v>
      </c>
      <c r="H928" s="27" t="str">
        <f>IFERROR(__xludf.DUMMYFUNCTION("""COMPUTED_VALUE"""),"")</f>
        <v/>
      </c>
    </row>
    <row r="929">
      <c r="A929" s="17"/>
      <c r="B929" s="23"/>
      <c r="C929" s="17">
        <f>IFERROR(__xludf.DUMMYFUNCTION("""COMPUTED_VALUE"""),43544.8898037268)</f>
        <v>43544.8898</v>
      </c>
      <c r="D929" s="23">
        <f>IFERROR(__xludf.DUMMYFUNCTION("""COMPUTED_VALUE"""),1.031)</f>
        <v>1.031</v>
      </c>
      <c r="E929" s="24">
        <f>IFERROR(__xludf.DUMMYFUNCTION("""COMPUTED_VALUE"""),65.0)</f>
        <v>65</v>
      </c>
      <c r="F929" s="27" t="str">
        <f>IFERROR(__xludf.DUMMYFUNCTION("""COMPUTED_VALUE"""),"BLACK")</f>
        <v>BLACK</v>
      </c>
      <c r="G929" s="28" t="str">
        <f>IFERROR(__xludf.DUMMYFUNCTION("""COMPUTED_VALUE"""),"First Times a Charm Cider")</f>
        <v>First Times a Charm Cider</v>
      </c>
      <c r="H929" s="27" t="str">
        <f>IFERROR(__xludf.DUMMYFUNCTION("""COMPUTED_VALUE"""),"")</f>
        <v/>
      </c>
    </row>
    <row r="930">
      <c r="A930" s="17"/>
      <c r="B930" s="23"/>
      <c r="C930" s="17">
        <f>IFERROR(__xludf.DUMMYFUNCTION("""COMPUTED_VALUE"""),43544.8793259027)</f>
        <v>43544.87933</v>
      </c>
      <c r="D930" s="23">
        <f>IFERROR(__xludf.DUMMYFUNCTION("""COMPUTED_VALUE"""),1.031)</f>
        <v>1.031</v>
      </c>
      <c r="E930" s="24">
        <f>IFERROR(__xludf.DUMMYFUNCTION("""COMPUTED_VALUE"""),65.0)</f>
        <v>65</v>
      </c>
      <c r="F930" s="27" t="str">
        <f>IFERROR(__xludf.DUMMYFUNCTION("""COMPUTED_VALUE"""),"BLACK")</f>
        <v>BLACK</v>
      </c>
      <c r="G930" s="28" t="str">
        <f>IFERROR(__xludf.DUMMYFUNCTION("""COMPUTED_VALUE"""),"First Times a Charm Cider")</f>
        <v>First Times a Charm Cider</v>
      </c>
      <c r="H930" s="27" t="str">
        <f>IFERROR(__xludf.DUMMYFUNCTION("""COMPUTED_VALUE"""),"")</f>
        <v/>
      </c>
    </row>
    <row r="931">
      <c r="A931" s="17"/>
      <c r="B931" s="23"/>
      <c r="C931" s="17">
        <f>IFERROR(__xludf.DUMMYFUNCTION("""COMPUTED_VALUE"""),43544.8688950231)</f>
        <v>43544.8689</v>
      </c>
      <c r="D931" s="23">
        <f>IFERROR(__xludf.DUMMYFUNCTION("""COMPUTED_VALUE"""),1.031)</f>
        <v>1.031</v>
      </c>
      <c r="E931" s="24">
        <f>IFERROR(__xludf.DUMMYFUNCTION("""COMPUTED_VALUE"""),65.0)</f>
        <v>65</v>
      </c>
      <c r="F931" s="27" t="str">
        <f>IFERROR(__xludf.DUMMYFUNCTION("""COMPUTED_VALUE"""),"BLACK")</f>
        <v>BLACK</v>
      </c>
      <c r="G931" s="28" t="str">
        <f>IFERROR(__xludf.DUMMYFUNCTION("""COMPUTED_VALUE"""),"First Times a Charm Cider")</f>
        <v>First Times a Charm Cider</v>
      </c>
      <c r="H931" s="27" t="str">
        <f>IFERROR(__xludf.DUMMYFUNCTION("""COMPUTED_VALUE"""),"")</f>
        <v/>
      </c>
    </row>
    <row r="932">
      <c r="A932" s="17"/>
      <c r="B932" s="23"/>
      <c r="C932" s="17">
        <f>IFERROR(__xludf.DUMMYFUNCTION("""COMPUTED_VALUE"""),43544.8584294328)</f>
        <v>43544.85843</v>
      </c>
      <c r="D932" s="23">
        <f>IFERROR(__xludf.DUMMYFUNCTION("""COMPUTED_VALUE"""),1.031)</f>
        <v>1.031</v>
      </c>
      <c r="E932" s="24">
        <f>IFERROR(__xludf.DUMMYFUNCTION("""COMPUTED_VALUE"""),65.0)</f>
        <v>65</v>
      </c>
      <c r="F932" s="27" t="str">
        <f>IFERROR(__xludf.DUMMYFUNCTION("""COMPUTED_VALUE"""),"BLACK")</f>
        <v>BLACK</v>
      </c>
      <c r="G932" s="28" t="str">
        <f>IFERROR(__xludf.DUMMYFUNCTION("""COMPUTED_VALUE"""),"First Times a Charm Cider")</f>
        <v>First Times a Charm Cider</v>
      </c>
      <c r="H932" s="27" t="str">
        <f>IFERROR(__xludf.DUMMYFUNCTION("""COMPUTED_VALUE"""),"")</f>
        <v/>
      </c>
    </row>
    <row r="933">
      <c r="A933" s="17"/>
      <c r="B933" s="23"/>
      <c r="C933" s="17">
        <f>IFERROR(__xludf.DUMMYFUNCTION("""COMPUTED_VALUE"""),43544.8479610532)</f>
        <v>43544.84796</v>
      </c>
      <c r="D933" s="23">
        <f>IFERROR(__xludf.DUMMYFUNCTION("""COMPUTED_VALUE"""),1.031)</f>
        <v>1.031</v>
      </c>
      <c r="E933" s="24">
        <f>IFERROR(__xludf.DUMMYFUNCTION("""COMPUTED_VALUE"""),65.0)</f>
        <v>65</v>
      </c>
      <c r="F933" s="27" t="str">
        <f>IFERROR(__xludf.DUMMYFUNCTION("""COMPUTED_VALUE"""),"BLACK")</f>
        <v>BLACK</v>
      </c>
      <c r="G933" s="28" t="str">
        <f>IFERROR(__xludf.DUMMYFUNCTION("""COMPUTED_VALUE"""),"First Times a Charm Cider")</f>
        <v>First Times a Charm Cider</v>
      </c>
      <c r="H933" s="27" t="str">
        <f>IFERROR(__xludf.DUMMYFUNCTION("""COMPUTED_VALUE"""),"")</f>
        <v/>
      </c>
    </row>
    <row r="934">
      <c r="A934" s="17"/>
      <c r="B934" s="23"/>
      <c r="C934" s="17">
        <f>IFERROR(__xludf.DUMMYFUNCTION("""COMPUTED_VALUE"""),43544.8375293865)</f>
        <v>43544.83753</v>
      </c>
      <c r="D934" s="23">
        <f>IFERROR(__xludf.DUMMYFUNCTION("""COMPUTED_VALUE"""),1.031)</f>
        <v>1.031</v>
      </c>
      <c r="E934" s="24">
        <f>IFERROR(__xludf.DUMMYFUNCTION("""COMPUTED_VALUE"""),65.0)</f>
        <v>65</v>
      </c>
      <c r="F934" s="27" t="str">
        <f>IFERROR(__xludf.DUMMYFUNCTION("""COMPUTED_VALUE"""),"BLACK")</f>
        <v>BLACK</v>
      </c>
      <c r="G934" s="28" t="str">
        <f>IFERROR(__xludf.DUMMYFUNCTION("""COMPUTED_VALUE"""),"First Times a Charm Cider")</f>
        <v>First Times a Charm Cider</v>
      </c>
      <c r="H934" s="27" t="str">
        <f>IFERROR(__xludf.DUMMYFUNCTION("""COMPUTED_VALUE"""),"")</f>
        <v/>
      </c>
    </row>
    <row r="935">
      <c r="A935" s="17"/>
      <c r="B935" s="23"/>
      <c r="C935" s="17">
        <f>IFERROR(__xludf.DUMMYFUNCTION("""COMPUTED_VALUE"""),43544.827095162)</f>
        <v>43544.8271</v>
      </c>
      <c r="D935" s="23">
        <f>IFERROR(__xludf.DUMMYFUNCTION("""COMPUTED_VALUE"""),1.031)</f>
        <v>1.031</v>
      </c>
      <c r="E935" s="24">
        <f>IFERROR(__xludf.DUMMYFUNCTION("""COMPUTED_VALUE"""),65.0)</f>
        <v>65</v>
      </c>
      <c r="F935" s="27" t="str">
        <f>IFERROR(__xludf.DUMMYFUNCTION("""COMPUTED_VALUE"""),"BLACK")</f>
        <v>BLACK</v>
      </c>
      <c r="G935" s="28" t="str">
        <f>IFERROR(__xludf.DUMMYFUNCTION("""COMPUTED_VALUE"""),"First Times a Charm Cider")</f>
        <v>First Times a Charm Cider</v>
      </c>
      <c r="H935" s="27" t="str">
        <f>IFERROR(__xludf.DUMMYFUNCTION("""COMPUTED_VALUE"""),"")</f>
        <v/>
      </c>
    </row>
    <row r="936">
      <c r="A936" s="17"/>
      <c r="B936" s="23"/>
      <c r="C936" s="17">
        <f>IFERROR(__xludf.DUMMYFUNCTION("""COMPUTED_VALUE"""),43544.8166753935)</f>
        <v>43544.81668</v>
      </c>
      <c r="D936" s="23">
        <f>IFERROR(__xludf.DUMMYFUNCTION("""COMPUTED_VALUE"""),1.031)</f>
        <v>1.031</v>
      </c>
      <c r="E936" s="24">
        <f>IFERROR(__xludf.DUMMYFUNCTION("""COMPUTED_VALUE"""),65.0)</f>
        <v>65</v>
      </c>
      <c r="F936" s="27" t="str">
        <f>IFERROR(__xludf.DUMMYFUNCTION("""COMPUTED_VALUE"""),"BLACK")</f>
        <v>BLACK</v>
      </c>
      <c r="G936" s="28" t="str">
        <f>IFERROR(__xludf.DUMMYFUNCTION("""COMPUTED_VALUE"""),"First Times a Charm Cider")</f>
        <v>First Times a Charm Cider</v>
      </c>
      <c r="H936" s="27" t="str">
        <f>IFERROR(__xludf.DUMMYFUNCTION("""COMPUTED_VALUE"""),"")</f>
        <v/>
      </c>
    </row>
    <row r="937">
      <c r="A937" s="17"/>
      <c r="B937" s="23"/>
      <c r="C937" s="17">
        <f>IFERROR(__xludf.DUMMYFUNCTION("""COMPUTED_VALUE"""),43544.8062412152)</f>
        <v>43544.80624</v>
      </c>
      <c r="D937" s="23">
        <f>IFERROR(__xludf.DUMMYFUNCTION("""COMPUTED_VALUE"""),1.031)</f>
        <v>1.031</v>
      </c>
      <c r="E937" s="24">
        <f>IFERROR(__xludf.DUMMYFUNCTION("""COMPUTED_VALUE"""),65.0)</f>
        <v>65</v>
      </c>
      <c r="F937" s="27" t="str">
        <f>IFERROR(__xludf.DUMMYFUNCTION("""COMPUTED_VALUE"""),"BLACK")</f>
        <v>BLACK</v>
      </c>
      <c r="G937" s="28" t="str">
        <f>IFERROR(__xludf.DUMMYFUNCTION("""COMPUTED_VALUE"""),"First Times a Charm Cider")</f>
        <v>First Times a Charm Cider</v>
      </c>
      <c r="H937" s="27" t="str">
        <f>IFERROR(__xludf.DUMMYFUNCTION("""COMPUTED_VALUE"""),"")</f>
        <v/>
      </c>
    </row>
    <row r="938">
      <c r="A938" s="17"/>
      <c r="B938" s="23"/>
      <c r="C938" s="17">
        <f>IFERROR(__xludf.DUMMYFUNCTION("""COMPUTED_VALUE"""),43544.7958203819)</f>
        <v>43544.79582</v>
      </c>
      <c r="D938" s="23">
        <f>IFERROR(__xludf.DUMMYFUNCTION("""COMPUTED_VALUE"""),1.031)</f>
        <v>1.031</v>
      </c>
      <c r="E938" s="24">
        <f>IFERROR(__xludf.DUMMYFUNCTION("""COMPUTED_VALUE"""),65.0)</f>
        <v>65</v>
      </c>
      <c r="F938" s="27" t="str">
        <f>IFERROR(__xludf.DUMMYFUNCTION("""COMPUTED_VALUE"""),"BLACK")</f>
        <v>BLACK</v>
      </c>
      <c r="G938" s="28" t="str">
        <f>IFERROR(__xludf.DUMMYFUNCTION("""COMPUTED_VALUE"""),"First Times a Charm Cider")</f>
        <v>First Times a Charm Cider</v>
      </c>
      <c r="H938" s="27" t="str">
        <f>IFERROR(__xludf.DUMMYFUNCTION("""COMPUTED_VALUE"""),"")</f>
        <v/>
      </c>
    </row>
    <row r="939">
      <c r="A939" s="17"/>
      <c r="B939" s="23"/>
      <c r="C939" s="17">
        <f>IFERROR(__xludf.DUMMYFUNCTION("""COMPUTED_VALUE"""),43544.7853998726)</f>
        <v>43544.7854</v>
      </c>
      <c r="D939" s="23">
        <f>IFERROR(__xludf.DUMMYFUNCTION("""COMPUTED_VALUE"""),1.031)</f>
        <v>1.031</v>
      </c>
      <c r="E939" s="24">
        <f>IFERROR(__xludf.DUMMYFUNCTION("""COMPUTED_VALUE"""),65.0)</f>
        <v>65</v>
      </c>
      <c r="F939" s="27" t="str">
        <f>IFERROR(__xludf.DUMMYFUNCTION("""COMPUTED_VALUE"""),"BLACK")</f>
        <v>BLACK</v>
      </c>
      <c r="G939" s="28" t="str">
        <f>IFERROR(__xludf.DUMMYFUNCTION("""COMPUTED_VALUE"""),"First Times a Charm Cider")</f>
        <v>First Times a Charm Cider</v>
      </c>
      <c r="H939" s="27" t="str">
        <f>IFERROR(__xludf.DUMMYFUNCTION("""COMPUTED_VALUE"""),"")</f>
        <v/>
      </c>
    </row>
    <row r="940">
      <c r="A940" s="17"/>
      <c r="B940" s="23"/>
      <c r="C940" s="17">
        <f>IFERROR(__xludf.DUMMYFUNCTION("""COMPUTED_VALUE"""),43544.774979456)</f>
        <v>43544.77498</v>
      </c>
      <c r="D940" s="23">
        <f>IFERROR(__xludf.DUMMYFUNCTION("""COMPUTED_VALUE"""),1.031)</f>
        <v>1.031</v>
      </c>
      <c r="E940" s="24">
        <f>IFERROR(__xludf.DUMMYFUNCTION("""COMPUTED_VALUE"""),65.0)</f>
        <v>65</v>
      </c>
      <c r="F940" s="27" t="str">
        <f>IFERROR(__xludf.DUMMYFUNCTION("""COMPUTED_VALUE"""),"BLACK")</f>
        <v>BLACK</v>
      </c>
      <c r="G940" s="28" t="str">
        <f>IFERROR(__xludf.DUMMYFUNCTION("""COMPUTED_VALUE"""),"First Times a Charm Cider")</f>
        <v>First Times a Charm Cider</v>
      </c>
      <c r="H940" s="27" t="str">
        <f>IFERROR(__xludf.DUMMYFUNCTION("""COMPUTED_VALUE"""),"")</f>
        <v/>
      </c>
    </row>
    <row r="941">
      <c r="A941" s="17"/>
      <c r="B941" s="23"/>
      <c r="C941" s="17">
        <f>IFERROR(__xludf.DUMMYFUNCTION("""COMPUTED_VALUE"""),43544.7645569675)</f>
        <v>43544.76456</v>
      </c>
      <c r="D941" s="23">
        <f>IFERROR(__xludf.DUMMYFUNCTION("""COMPUTED_VALUE"""),1.031)</f>
        <v>1.031</v>
      </c>
      <c r="E941" s="24">
        <f>IFERROR(__xludf.DUMMYFUNCTION("""COMPUTED_VALUE"""),65.0)</f>
        <v>65</v>
      </c>
      <c r="F941" s="27" t="str">
        <f>IFERROR(__xludf.DUMMYFUNCTION("""COMPUTED_VALUE"""),"BLACK")</f>
        <v>BLACK</v>
      </c>
      <c r="G941" s="28" t="str">
        <f>IFERROR(__xludf.DUMMYFUNCTION("""COMPUTED_VALUE"""),"First Times a Charm Cider")</f>
        <v>First Times a Charm Cider</v>
      </c>
      <c r="H941" s="27" t="str">
        <f>IFERROR(__xludf.DUMMYFUNCTION("""COMPUTED_VALUE"""),"")</f>
        <v/>
      </c>
    </row>
    <row r="942">
      <c r="A942" s="17"/>
      <c r="B942" s="23"/>
      <c r="C942" s="17">
        <f>IFERROR(__xludf.DUMMYFUNCTION("""COMPUTED_VALUE"""),43544.7541376388)</f>
        <v>43544.75414</v>
      </c>
      <c r="D942" s="23">
        <f>IFERROR(__xludf.DUMMYFUNCTION("""COMPUTED_VALUE"""),1.031)</f>
        <v>1.031</v>
      </c>
      <c r="E942" s="24">
        <f>IFERROR(__xludf.DUMMYFUNCTION("""COMPUTED_VALUE"""),65.0)</f>
        <v>65</v>
      </c>
      <c r="F942" s="27" t="str">
        <f>IFERROR(__xludf.DUMMYFUNCTION("""COMPUTED_VALUE"""),"BLACK")</f>
        <v>BLACK</v>
      </c>
      <c r="G942" s="28" t="str">
        <f>IFERROR(__xludf.DUMMYFUNCTION("""COMPUTED_VALUE"""),"First Times a Charm Cider")</f>
        <v>First Times a Charm Cider</v>
      </c>
      <c r="H942" s="27" t="str">
        <f>IFERROR(__xludf.DUMMYFUNCTION("""COMPUTED_VALUE"""),"")</f>
        <v/>
      </c>
    </row>
    <row r="943">
      <c r="A943" s="17"/>
      <c r="B943" s="23"/>
      <c r="C943" s="17">
        <f>IFERROR(__xludf.DUMMYFUNCTION("""COMPUTED_VALUE"""),43544.7437153935)</f>
        <v>43544.74372</v>
      </c>
      <c r="D943" s="23">
        <f>IFERROR(__xludf.DUMMYFUNCTION("""COMPUTED_VALUE"""),1.031)</f>
        <v>1.031</v>
      </c>
      <c r="E943" s="24">
        <f>IFERROR(__xludf.DUMMYFUNCTION("""COMPUTED_VALUE"""),65.0)</f>
        <v>65</v>
      </c>
      <c r="F943" s="27" t="str">
        <f>IFERROR(__xludf.DUMMYFUNCTION("""COMPUTED_VALUE"""),"BLACK")</f>
        <v>BLACK</v>
      </c>
      <c r="G943" s="28" t="str">
        <f>IFERROR(__xludf.DUMMYFUNCTION("""COMPUTED_VALUE"""),"First Times a Charm Cider")</f>
        <v>First Times a Charm Cider</v>
      </c>
      <c r="H943" s="27" t="str">
        <f>IFERROR(__xludf.DUMMYFUNCTION("""COMPUTED_VALUE"""),"")</f>
        <v/>
      </c>
    </row>
    <row r="944">
      <c r="A944" s="17"/>
      <c r="B944" s="23"/>
      <c r="C944" s="17">
        <f>IFERROR(__xludf.DUMMYFUNCTION("""COMPUTED_VALUE"""),43544.7332811921)</f>
        <v>43544.73328</v>
      </c>
      <c r="D944" s="23">
        <f>IFERROR(__xludf.DUMMYFUNCTION("""COMPUTED_VALUE"""),1.031)</f>
        <v>1.031</v>
      </c>
      <c r="E944" s="24">
        <f>IFERROR(__xludf.DUMMYFUNCTION("""COMPUTED_VALUE"""),66.0)</f>
        <v>66</v>
      </c>
      <c r="F944" s="27" t="str">
        <f>IFERROR(__xludf.DUMMYFUNCTION("""COMPUTED_VALUE"""),"BLACK")</f>
        <v>BLACK</v>
      </c>
      <c r="G944" s="28" t="str">
        <f>IFERROR(__xludf.DUMMYFUNCTION("""COMPUTED_VALUE"""),"First Times a Charm Cider")</f>
        <v>First Times a Charm Cider</v>
      </c>
      <c r="H944" s="27" t="str">
        <f>IFERROR(__xludf.DUMMYFUNCTION("""COMPUTED_VALUE"""),"")</f>
        <v/>
      </c>
    </row>
    <row r="945">
      <c r="A945" s="17"/>
      <c r="B945" s="23"/>
      <c r="C945" s="17">
        <f>IFERROR(__xludf.DUMMYFUNCTION("""COMPUTED_VALUE"""),43544.7228481597)</f>
        <v>43544.72285</v>
      </c>
      <c r="D945" s="23">
        <f>IFERROR(__xludf.DUMMYFUNCTION("""COMPUTED_VALUE"""),1.031)</f>
        <v>1.031</v>
      </c>
      <c r="E945" s="24">
        <f>IFERROR(__xludf.DUMMYFUNCTION("""COMPUTED_VALUE"""),65.0)</f>
        <v>65</v>
      </c>
      <c r="F945" s="27" t="str">
        <f>IFERROR(__xludf.DUMMYFUNCTION("""COMPUTED_VALUE"""),"BLACK")</f>
        <v>BLACK</v>
      </c>
      <c r="G945" s="28" t="str">
        <f>IFERROR(__xludf.DUMMYFUNCTION("""COMPUTED_VALUE"""),"First Times a Charm Cider")</f>
        <v>First Times a Charm Cider</v>
      </c>
      <c r="H945" s="27" t="str">
        <f>IFERROR(__xludf.DUMMYFUNCTION("""COMPUTED_VALUE"""),"")</f>
        <v/>
      </c>
    </row>
    <row r="946">
      <c r="A946" s="17"/>
      <c r="B946" s="23"/>
      <c r="C946" s="17">
        <f>IFERROR(__xludf.DUMMYFUNCTION("""COMPUTED_VALUE"""),43544.7124271527)</f>
        <v>43544.71243</v>
      </c>
      <c r="D946" s="23">
        <f>IFERROR(__xludf.DUMMYFUNCTION("""COMPUTED_VALUE"""),1.031)</f>
        <v>1.031</v>
      </c>
      <c r="E946" s="24">
        <f>IFERROR(__xludf.DUMMYFUNCTION("""COMPUTED_VALUE"""),65.0)</f>
        <v>65</v>
      </c>
      <c r="F946" s="27" t="str">
        <f>IFERROR(__xludf.DUMMYFUNCTION("""COMPUTED_VALUE"""),"BLACK")</f>
        <v>BLACK</v>
      </c>
      <c r="G946" s="28" t="str">
        <f>IFERROR(__xludf.DUMMYFUNCTION("""COMPUTED_VALUE"""),"First Times a Charm Cider")</f>
        <v>First Times a Charm Cider</v>
      </c>
      <c r="H946" s="27" t="str">
        <f>IFERROR(__xludf.DUMMYFUNCTION("""COMPUTED_VALUE"""),"")</f>
        <v/>
      </c>
    </row>
    <row r="947">
      <c r="A947" s="17"/>
      <c r="B947" s="23"/>
      <c r="C947" s="17">
        <f>IFERROR(__xludf.DUMMYFUNCTION("""COMPUTED_VALUE"""),43544.7019947106)</f>
        <v>43544.70199</v>
      </c>
      <c r="D947" s="23">
        <f>IFERROR(__xludf.DUMMYFUNCTION("""COMPUTED_VALUE"""),1.031)</f>
        <v>1.031</v>
      </c>
      <c r="E947" s="24">
        <f>IFERROR(__xludf.DUMMYFUNCTION("""COMPUTED_VALUE"""),66.0)</f>
        <v>66</v>
      </c>
      <c r="F947" s="27" t="str">
        <f>IFERROR(__xludf.DUMMYFUNCTION("""COMPUTED_VALUE"""),"BLACK")</f>
        <v>BLACK</v>
      </c>
      <c r="G947" s="28" t="str">
        <f>IFERROR(__xludf.DUMMYFUNCTION("""COMPUTED_VALUE"""),"First Times a Charm Cider")</f>
        <v>First Times a Charm Cider</v>
      </c>
      <c r="H947" s="27" t="str">
        <f>IFERROR(__xludf.DUMMYFUNCTION("""COMPUTED_VALUE"""),"")</f>
        <v/>
      </c>
    </row>
    <row r="948">
      <c r="A948" s="17"/>
      <c r="B948" s="23"/>
      <c r="C948" s="17">
        <f>IFERROR(__xludf.DUMMYFUNCTION("""COMPUTED_VALUE"""),43544.6915739351)</f>
        <v>43544.69157</v>
      </c>
      <c r="D948" s="23">
        <f>IFERROR(__xludf.DUMMYFUNCTION("""COMPUTED_VALUE"""),1.031)</f>
        <v>1.031</v>
      </c>
      <c r="E948" s="24">
        <f>IFERROR(__xludf.DUMMYFUNCTION("""COMPUTED_VALUE"""),66.0)</f>
        <v>66</v>
      </c>
      <c r="F948" s="27" t="str">
        <f>IFERROR(__xludf.DUMMYFUNCTION("""COMPUTED_VALUE"""),"BLACK")</f>
        <v>BLACK</v>
      </c>
      <c r="G948" s="28" t="str">
        <f>IFERROR(__xludf.DUMMYFUNCTION("""COMPUTED_VALUE"""),"First Times a Charm Cider")</f>
        <v>First Times a Charm Cider</v>
      </c>
      <c r="H948" s="27" t="str">
        <f>IFERROR(__xludf.DUMMYFUNCTION("""COMPUTED_VALUE"""),"")</f>
        <v/>
      </c>
    </row>
    <row r="949">
      <c r="A949" s="17"/>
      <c r="B949" s="23"/>
      <c r="C949" s="17">
        <f>IFERROR(__xludf.DUMMYFUNCTION("""COMPUTED_VALUE"""),43544.681153368)</f>
        <v>43544.68115</v>
      </c>
      <c r="D949" s="23">
        <f>IFERROR(__xludf.DUMMYFUNCTION("""COMPUTED_VALUE"""),1.031)</f>
        <v>1.031</v>
      </c>
      <c r="E949" s="24">
        <f>IFERROR(__xludf.DUMMYFUNCTION("""COMPUTED_VALUE"""),66.0)</f>
        <v>66</v>
      </c>
      <c r="F949" s="27" t="str">
        <f>IFERROR(__xludf.DUMMYFUNCTION("""COMPUTED_VALUE"""),"BLACK")</f>
        <v>BLACK</v>
      </c>
      <c r="G949" s="28" t="str">
        <f>IFERROR(__xludf.DUMMYFUNCTION("""COMPUTED_VALUE"""),"First Times a Charm Cider")</f>
        <v>First Times a Charm Cider</v>
      </c>
      <c r="H949" s="27" t="str">
        <f>IFERROR(__xludf.DUMMYFUNCTION("""COMPUTED_VALUE"""),"")</f>
        <v/>
      </c>
    </row>
    <row r="950">
      <c r="A950" s="17"/>
      <c r="B950" s="23"/>
      <c r="C950" s="17">
        <f>IFERROR(__xludf.DUMMYFUNCTION("""COMPUTED_VALUE"""),43544.6707316203)</f>
        <v>43544.67073</v>
      </c>
      <c r="D950" s="23">
        <f>IFERROR(__xludf.DUMMYFUNCTION("""COMPUTED_VALUE"""),1.031)</f>
        <v>1.031</v>
      </c>
      <c r="E950" s="24">
        <f>IFERROR(__xludf.DUMMYFUNCTION("""COMPUTED_VALUE"""),66.0)</f>
        <v>66</v>
      </c>
      <c r="F950" s="27" t="str">
        <f>IFERROR(__xludf.DUMMYFUNCTION("""COMPUTED_VALUE"""),"BLACK")</f>
        <v>BLACK</v>
      </c>
      <c r="G950" s="28" t="str">
        <f>IFERROR(__xludf.DUMMYFUNCTION("""COMPUTED_VALUE"""),"First Times a Charm Cider")</f>
        <v>First Times a Charm Cider</v>
      </c>
      <c r="H950" s="27" t="str">
        <f>IFERROR(__xludf.DUMMYFUNCTION("""COMPUTED_VALUE"""),"")</f>
        <v/>
      </c>
    </row>
    <row r="951">
      <c r="A951" s="17"/>
      <c r="B951" s="23"/>
      <c r="C951" s="17">
        <f>IFERROR(__xludf.DUMMYFUNCTION("""COMPUTED_VALUE"""),43544.6602988773)</f>
        <v>43544.6603</v>
      </c>
      <c r="D951" s="23">
        <f>IFERROR(__xludf.DUMMYFUNCTION("""COMPUTED_VALUE"""),1.031)</f>
        <v>1.031</v>
      </c>
      <c r="E951" s="24">
        <f>IFERROR(__xludf.DUMMYFUNCTION("""COMPUTED_VALUE"""),66.0)</f>
        <v>66</v>
      </c>
      <c r="F951" s="27" t="str">
        <f>IFERROR(__xludf.DUMMYFUNCTION("""COMPUTED_VALUE"""),"BLACK")</f>
        <v>BLACK</v>
      </c>
      <c r="G951" s="28" t="str">
        <f>IFERROR(__xludf.DUMMYFUNCTION("""COMPUTED_VALUE"""),"First Times a Charm Cider")</f>
        <v>First Times a Charm Cider</v>
      </c>
      <c r="H951" s="27" t="str">
        <f>IFERROR(__xludf.DUMMYFUNCTION("""COMPUTED_VALUE"""),"")</f>
        <v/>
      </c>
    </row>
    <row r="952">
      <c r="A952" s="17"/>
      <c r="B952" s="23"/>
      <c r="C952" s="17">
        <f>IFERROR(__xludf.DUMMYFUNCTION("""COMPUTED_VALUE"""),43544.6498667824)</f>
        <v>43544.64987</v>
      </c>
      <c r="D952" s="23">
        <f>IFERROR(__xludf.DUMMYFUNCTION("""COMPUTED_VALUE"""),1.031)</f>
        <v>1.031</v>
      </c>
      <c r="E952" s="24">
        <f>IFERROR(__xludf.DUMMYFUNCTION("""COMPUTED_VALUE"""),66.0)</f>
        <v>66</v>
      </c>
      <c r="F952" s="27" t="str">
        <f>IFERROR(__xludf.DUMMYFUNCTION("""COMPUTED_VALUE"""),"BLACK")</f>
        <v>BLACK</v>
      </c>
      <c r="G952" s="28" t="str">
        <f>IFERROR(__xludf.DUMMYFUNCTION("""COMPUTED_VALUE"""),"First Times a Charm Cider")</f>
        <v>First Times a Charm Cider</v>
      </c>
      <c r="H952" s="27" t="str">
        <f>IFERROR(__xludf.DUMMYFUNCTION("""COMPUTED_VALUE"""),"")</f>
        <v/>
      </c>
    </row>
    <row r="953">
      <c r="A953" s="17"/>
      <c r="B953" s="23"/>
      <c r="C953" s="17">
        <f>IFERROR(__xludf.DUMMYFUNCTION("""COMPUTED_VALUE"""),43544.6394470138)</f>
        <v>43544.63945</v>
      </c>
      <c r="D953" s="23">
        <f>IFERROR(__xludf.DUMMYFUNCTION("""COMPUTED_VALUE"""),1.031)</f>
        <v>1.031</v>
      </c>
      <c r="E953" s="24">
        <f>IFERROR(__xludf.DUMMYFUNCTION("""COMPUTED_VALUE"""),66.0)</f>
        <v>66</v>
      </c>
      <c r="F953" s="27" t="str">
        <f>IFERROR(__xludf.DUMMYFUNCTION("""COMPUTED_VALUE"""),"BLACK")</f>
        <v>BLACK</v>
      </c>
      <c r="G953" s="28" t="str">
        <f>IFERROR(__xludf.DUMMYFUNCTION("""COMPUTED_VALUE"""),"First Times a Charm Cider")</f>
        <v>First Times a Charm Cider</v>
      </c>
      <c r="H953" s="27" t="str">
        <f>IFERROR(__xludf.DUMMYFUNCTION("""COMPUTED_VALUE"""),"")</f>
        <v/>
      </c>
    </row>
    <row r="954">
      <c r="A954" s="17"/>
      <c r="B954" s="23"/>
      <c r="C954" s="17">
        <f>IFERROR(__xludf.DUMMYFUNCTION("""COMPUTED_VALUE"""),43544.6290138078)</f>
        <v>43544.62901</v>
      </c>
      <c r="D954" s="23">
        <f>IFERROR(__xludf.DUMMYFUNCTION("""COMPUTED_VALUE"""),1.031)</f>
        <v>1.031</v>
      </c>
      <c r="E954" s="24">
        <f>IFERROR(__xludf.DUMMYFUNCTION("""COMPUTED_VALUE"""),66.0)</f>
        <v>66</v>
      </c>
      <c r="F954" s="27" t="str">
        <f>IFERROR(__xludf.DUMMYFUNCTION("""COMPUTED_VALUE"""),"BLACK")</f>
        <v>BLACK</v>
      </c>
      <c r="G954" s="28" t="str">
        <f>IFERROR(__xludf.DUMMYFUNCTION("""COMPUTED_VALUE"""),"First Times a Charm Cider")</f>
        <v>First Times a Charm Cider</v>
      </c>
      <c r="H954" s="27" t="str">
        <f>IFERROR(__xludf.DUMMYFUNCTION("""COMPUTED_VALUE"""),"")</f>
        <v/>
      </c>
    </row>
    <row r="955">
      <c r="A955" s="17"/>
      <c r="B955" s="23"/>
      <c r="C955" s="17">
        <f>IFERROR(__xludf.DUMMYFUNCTION("""COMPUTED_VALUE"""),43544.618581574)</f>
        <v>43544.61858</v>
      </c>
      <c r="D955" s="23">
        <f>IFERROR(__xludf.DUMMYFUNCTION("""COMPUTED_VALUE"""),1.031)</f>
        <v>1.031</v>
      </c>
      <c r="E955" s="24">
        <f>IFERROR(__xludf.DUMMYFUNCTION("""COMPUTED_VALUE"""),66.0)</f>
        <v>66</v>
      </c>
      <c r="F955" s="27" t="str">
        <f>IFERROR(__xludf.DUMMYFUNCTION("""COMPUTED_VALUE"""),"BLACK")</f>
        <v>BLACK</v>
      </c>
      <c r="G955" s="28" t="str">
        <f>IFERROR(__xludf.DUMMYFUNCTION("""COMPUTED_VALUE"""),"First Times a Charm Cider")</f>
        <v>First Times a Charm Cider</v>
      </c>
      <c r="H955" s="27" t="str">
        <f>IFERROR(__xludf.DUMMYFUNCTION("""COMPUTED_VALUE"""),"")</f>
        <v/>
      </c>
    </row>
    <row r="956">
      <c r="A956" s="17"/>
      <c r="B956" s="23"/>
      <c r="C956" s="17">
        <f>IFERROR(__xludf.DUMMYFUNCTION("""COMPUTED_VALUE"""),43544.6081607754)</f>
        <v>43544.60816</v>
      </c>
      <c r="D956" s="23">
        <f>IFERROR(__xludf.DUMMYFUNCTION("""COMPUTED_VALUE"""),1.031)</f>
        <v>1.031</v>
      </c>
      <c r="E956" s="24">
        <f>IFERROR(__xludf.DUMMYFUNCTION("""COMPUTED_VALUE"""),66.0)</f>
        <v>66</v>
      </c>
      <c r="F956" s="27" t="str">
        <f>IFERROR(__xludf.DUMMYFUNCTION("""COMPUTED_VALUE"""),"BLACK")</f>
        <v>BLACK</v>
      </c>
      <c r="G956" s="28" t="str">
        <f>IFERROR(__xludf.DUMMYFUNCTION("""COMPUTED_VALUE"""),"First Times a Charm Cider")</f>
        <v>First Times a Charm Cider</v>
      </c>
      <c r="H956" s="27" t="str">
        <f>IFERROR(__xludf.DUMMYFUNCTION("""COMPUTED_VALUE"""),"")</f>
        <v/>
      </c>
    </row>
    <row r="957">
      <c r="A957" s="17"/>
      <c r="B957" s="23"/>
      <c r="C957" s="17">
        <f>IFERROR(__xludf.DUMMYFUNCTION("""COMPUTED_VALUE"""),43544.5977410532)</f>
        <v>43544.59774</v>
      </c>
      <c r="D957" s="23">
        <f>IFERROR(__xludf.DUMMYFUNCTION("""COMPUTED_VALUE"""),1.031)</f>
        <v>1.031</v>
      </c>
      <c r="E957" s="24">
        <f>IFERROR(__xludf.DUMMYFUNCTION("""COMPUTED_VALUE"""),66.0)</f>
        <v>66</v>
      </c>
      <c r="F957" s="27" t="str">
        <f>IFERROR(__xludf.DUMMYFUNCTION("""COMPUTED_VALUE"""),"BLACK")</f>
        <v>BLACK</v>
      </c>
      <c r="G957" s="28" t="str">
        <f>IFERROR(__xludf.DUMMYFUNCTION("""COMPUTED_VALUE"""),"First Times a Charm Cider")</f>
        <v>First Times a Charm Cider</v>
      </c>
      <c r="H957" s="27" t="str">
        <f>IFERROR(__xludf.DUMMYFUNCTION("""COMPUTED_VALUE"""),"")</f>
        <v/>
      </c>
    </row>
    <row r="958">
      <c r="A958" s="17"/>
      <c r="B958" s="23"/>
      <c r="C958" s="17">
        <f>IFERROR(__xludf.DUMMYFUNCTION("""COMPUTED_VALUE"""),43544.58730875)</f>
        <v>43544.58731</v>
      </c>
      <c r="D958" s="23">
        <f>IFERROR(__xludf.DUMMYFUNCTION("""COMPUTED_VALUE"""),1.031)</f>
        <v>1.031</v>
      </c>
      <c r="E958" s="24">
        <f>IFERROR(__xludf.DUMMYFUNCTION("""COMPUTED_VALUE"""),66.0)</f>
        <v>66</v>
      </c>
      <c r="F958" s="27" t="str">
        <f>IFERROR(__xludf.DUMMYFUNCTION("""COMPUTED_VALUE"""),"BLACK")</f>
        <v>BLACK</v>
      </c>
      <c r="G958" s="28" t="str">
        <f>IFERROR(__xludf.DUMMYFUNCTION("""COMPUTED_VALUE"""),"First Times a Charm Cider")</f>
        <v>First Times a Charm Cider</v>
      </c>
      <c r="H958" s="27" t="str">
        <f>IFERROR(__xludf.DUMMYFUNCTION("""COMPUTED_VALUE"""),"")</f>
        <v/>
      </c>
    </row>
    <row r="959">
      <c r="A959" s="17"/>
      <c r="B959" s="23"/>
      <c r="C959" s="17">
        <f>IFERROR(__xludf.DUMMYFUNCTION("""COMPUTED_VALUE"""),43544.5768399768)</f>
        <v>43544.57684</v>
      </c>
      <c r="D959" s="23">
        <f>IFERROR(__xludf.DUMMYFUNCTION("""COMPUTED_VALUE"""),1.031)</f>
        <v>1.031</v>
      </c>
      <c r="E959" s="24">
        <f>IFERROR(__xludf.DUMMYFUNCTION("""COMPUTED_VALUE"""),66.0)</f>
        <v>66</v>
      </c>
      <c r="F959" s="27" t="str">
        <f>IFERROR(__xludf.DUMMYFUNCTION("""COMPUTED_VALUE"""),"BLACK")</f>
        <v>BLACK</v>
      </c>
      <c r="G959" s="28" t="str">
        <f>IFERROR(__xludf.DUMMYFUNCTION("""COMPUTED_VALUE"""),"First Times a Charm Cider")</f>
        <v>First Times a Charm Cider</v>
      </c>
      <c r="H959" s="27" t="str">
        <f>IFERROR(__xludf.DUMMYFUNCTION("""COMPUTED_VALUE"""),"")</f>
        <v/>
      </c>
    </row>
    <row r="960">
      <c r="A960" s="17"/>
      <c r="B960" s="23"/>
      <c r="C960" s="17">
        <f>IFERROR(__xludf.DUMMYFUNCTION("""COMPUTED_VALUE"""),43544.5664181828)</f>
        <v>43544.56642</v>
      </c>
      <c r="D960" s="23">
        <f>IFERROR(__xludf.DUMMYFUNCTION("""COMPUTED_VALUE"""),1.031)</f>
        <v>1.031</v>
      </c>
      <c r="E960" s="24">
        <f>IFERROR(__xludf.DUMMYFUNCTION("""COMPUTED_VALUE"""),66.0)</f>
        <v>66</v>
      </c>
      <c r="F960" s="27" t="str">
        <f>IFERROR(__xludf.DUMMYFUNCTION("""COMPUTED_VALUE"""),"BLACK")</f>
        <v>BLACK</v>
      </c>
      <c r="G960" s="28" t="str">
        <f>IFERROR(__xludf.DUMMYFUNCTION("""COMPUTED_VALUE"""),"First Times a Charm Cider")</f>
        <v>First Times a Charm Cider</v>
      </c>
      <c r="H960" s="27" t="str">
        <f>IFERROR(__xludf.DUMMYFUNCTION("""COMPUTED_VALUE"""),"")</f>
        <v/>
      </c>
    </row>
    <row r="961">
      <c r="A961" s="17"/>
      <c r="B961" s="23"/>
      <c r="C961" s="17">
        <f>IFERROR(__xludf.DUMMYFUNCTION("""COMPUTED_VALUE"""),43544.5559497916)</f>
        <v>43544.55595</v>
      </c>
      <c r="D961" s="23">
        <f>IFERROR(__xludf.DUMMYFUNCTION("""COMPUTED_VALUE"""),1.032)</f>
        <v>1.032</v>
      </c>
      <c r="E961" s="24">
        <f>IFERROR(__xludf.DUMMYFUNCTION("""COMPUTED_VALUE"""),66.0)</f>
        <v>66</v>
      </c>
      <c r="F961" s="27" t="str">
        <f>IFERROR(__xludf.DUMMYFUNCTION("""COMPUTED_VALUE"""),"BLACK")</f>
        <v>BLACK</v>
      </c>
      <c r="G961" s="28" t="str">
        <f>IFERROR(__xludf.DUMMYFUNCTION("""COMPUTED_VALUE"""),"First Times a Charm Cider")</f>
        <v>First Times a Charm Cider</v>
      </c>
      <c r="H961" s="27" t="str">
        <f>IFERROR(__xludf.DUMMYFUNCTION("""COMPUTED_VALUE"""),"")</f>
        <v/>
      </c>
    </row>
    <row r="962">
      <c r="A962" s="17"/>
      <c r="B962" s="23"/>
      <c r="C962" s="17">
        <f>IFERROR(__xludf.DUMMYFUNCTION("""COMPUTED_VALUE"""),43544.545528368)</f>
        <v>43544.54553</v>
      </c>
      <c r="D962" s="23">
        <f>IFERROR(__xludf.DUMMYFUNCTION("""COMPUTED_VALUE"""),1.031)</f>
        <v>1.031</v>
      </c>
      <c r="E962" s="24">
        <f>IFERROR(__xludf.DUMMYFUNCTION("""COMPUTED_VALUE"""),66.0)</f>
        <v>66</v>
      </c>
      <c r="F962" s="27" t="str">
        <f>IFERROR(__xludf.DUMMYFUNCTION("""COMPUTED_VALUE"""),"BLACK")</f>
        <v>BLACK</v>
      </c>
      <c r="G962" s="28" t="str">
        <f>IFERROR(__xludf.DUMMYFUNCTION("""COMPUTED_VALUE"""),"First Times a Charm Cider")</f>
        <v>First Times a Charm Cider</v>
      </c>
      <c r="H962" s="27" t="str">
        <f>IFERROR(__xludf.DUMMYFUNCTION("""COMPUTED_VALUE"""),"")</f>
        <v/>
      </c>
    </row>
    <row r="963">
      <c r="A963" s="17"/>
      <c r="B963" s="23"/>
      <c r="C963" s="17">
        <f>IFERROR(__xludf.DUMMYFUNCTION("""COMPUTED_VALUE"""),43544.5351073379)</f>
        <v>43544.53511</v>
      </c>
      <c r="D963" s="23">
        <f>IFERROR(__xludf.DUMMYFUNCTION("""COMPUTED_VALUE"""),1.031)</f>
        <v>1.031</v>
      </c>
      <c r="E963" s="24">
        <f>IFERROR(__xludf.DUMMYFUNCTION("""COMPUTED_VALUE"""),66.0)</f>
        <v>66</v>
      </c>
      <c r="F963" s="27" t="str">
        <f>IFERROR(__xludf.DUMMYFUNCTION("""COMPUTED_VALUE"""),"BLACK")</f>
        <v>BLACK</v>
      </c>
      <c r="G963" s="28" t="str">
        <f>IFERROR(__xludf.DUMMYFUNCTION("""COMPUTED_VALUE"""),"First Times a Charm Cider")</f>
        <v>First Times a Charm Cider</v>
      </c>
      <c r="H963" s="27" t="str">
        <f>IFERROR(__xludf.DUMMYFUNCTION("""COMPUTED_VALUE"""),"")</f>
        <v/>
      </c>
    </row>
    <row r="964">
      <c r="A964" s="17"/>
      <c r="B964" s="23"/>
      <c r="C964" s="17">
        <f>IFERROR(__xludf.DUMMYFUNCTION("""COMPUTED_VALUE"""),43544.5246871759)</f>
        <v>43544.52469</v>
      </c>
      <c r="D964" s="23">
        <f>IFERROR(__xludf.DUMMYFUNCTION("""COMPUTED_VALUE"""),1.032)</f>
        <v>1.032</v>
      </c>
      <c r="E964" s="24">
        <f>IFERROR(__xludf.DUMMYFUNCTION("""COMPUTED_VALUE"""),66.0)</f>
        <v>66</v>
      </c>
      <c r="F964" s="27" t="str">
        <f>IFERROR(__xludf.DUMMYFUNCTION("""COMPUTED_VALUE"""),"BLACK")</f>
        <v>BLACK</v>
      </c>
      <c r="G964" s="28" t="str">
        <f>IFERROR(__xludf.DUMMYFUNCTION("""COMPUTED_VALUE"""),"First Times a Charm Cider")</f>
        <v>First Times a Charm Cider</v>
      </c>
      <c r="H964" s="27" t="str">
        <f>IFERROR(__xludf.DUMMYFUNCTION("""COMPUTED_VALUE"""),"")</f>
        <v/>
      </c>
    </row>
    <row r="965">
      <c r="A965" s="17"/>
      <c r="B965" s="23"/>
      <c r="C965" s="17">
        <f>IFERROR(__xludf.DUMMYFUNCTION("""COMPUTED_VALUE"""),43544.5142533796)</f>
        <v>43544.51425</v>
      </c>
      <c r="D965" s="23">
        <f>IFERROR(__xludf.DUMMYFUNCTION("""COMPUTED_VALUE"""),1.031)</f>
        <v>1.031</v>
      </c>
      <c r="E965" s="24">
        <f>IFERROR(__xludf.DUMMYFUNCTION("""COMPUTED_VALUE"""),66.0)</f>
        <v>66</v>
      </c>
      <c r="F965" s="27" t="str">
        <f>IFERROR(__xludf.DUMMYFUNCTION("""COMPUTED_VALUE"""),"BLACK")</f>
        <v>BLACK</v>
      </c>
      <c r="G965" s="28" t="str">
        <f>IFERROR(__xludf.DUMMYFUNCTION("""COMPUTED_VALUE"""),"First Times a Charm Cider")</f>
        <v>First Times a Charm Cider</v>
      </c>
      <c r="H965" s="27" t="str">
        <f>IFERROR(__xludf.DUMMYFUNCTION("""COMPUTED_VALUE"""),"")</f>
        <v/>
      </c>
    </row>
    <row r="966">
      <c r="A966" s="17"/>
      <c r="B966" s="23"/>
      <c r="C966" s="17">
        <f>IFERROR(__xludf.DUMMYFUNCTION("""COMPUTED_VALUE"""),43544.5038089814)</f>
        <v>43544.50381</v>
      </c>
      <c r="D966" s="23">
        <f>IFERROR(__xludf.DUMMYFUNCTION("""COMPUTED_VALUE"""),1.031)</f>
        <v>1.031</v>
      </c>
      <c r="E966" s="24">
        <f>IFERROR(__xludf.DUMMYFUNCTION("""COMPUTED_VALUE"""),66.0)</f>
        <v>66</v>
      </c>
      <c r="F966" s="27" t="str">
        <f>IFERROR(__xludf.DUMMYFUNCTION("""COMPUTED_VALUE"""),"BLACK")</f>
        <v>BLACK</v>
      </c>
      <c r="G966" s="28" t="str">
        <f>IFERROR(__xludf.DUMMYFUNCTION("""COMPUTED_VALUE"""),"First Times a Charm Cider")</f>
        <v>First Times a Charm Cider</v>
      </c>
      <c r="H966" s="27" t="str">
        <f>IFERROR(__xludf.DUMMYFUNCTION("""COMPUTED_VALUE"""),"")</f>
        <v/>
      </c>
    </row>
    <row r="967">
      <c r="A967" s="17"/>
      <c r="B967" s="23"/>
      <c r="C967" s="17">
        <f>IFERROR(__xludf.DUMMYFUNCTION("""COMPUTED_VALUE"""),43544.4933873263)</f>
        <v>43544.49339</v>
      </c>
      <c r="D967" s="23">
        <f>IFERROR(__xludf.DUMMYFUNCTION("""COMPUTED_VALUE"""),1.031)</f>
        <v>1.031</v>
      </c>
      <c r="E967" s="24">
        <f>IFERROR(__xludf.DUMMYFUNCTION("""COMPUTED_VALUE"""),66.0)</f>
        <v>66</v>
      </c>
      <c r="F967" s="27" t="str">
        <f>IFERROR(__xludf.DUMMYFUNCTION("""COMPUTED_VALUE"""),"BLACK")</f>
        <v>BLACK</v>
      </c>
      <c r="G967" s="28" t="str">
        <f>IFERROR(__xludf.DUMMYFUNCTION("""COMPUTED_VALUE"""),"First Times a Charm Cider")</f>
        <v>First Times a Charm Cider</v>
      </c>
      <c r="H967" s="27" t="str">
        <f>IFERROR(__xludf.DUMMYFUNCTION("""COMPUTED_VALUE"""),"")</f>
        <v/>
      </c>
    </row>
    <row r="968">
      <c r="A968" s="17"/>
      <c r="B968" s="23"/>
      <c r="C968" s="17">
        <f>IFERROR(__xludf.DUMMYFUNCTION("""COMPUTED_VALUE"""),43544.4829667129)</f>
        <v>43544.48297</v>
      </c>
      <c r="D968" s="23">
        <f>IFERROR(__xludf.DUMMYFUNCTION("""COMPUTED_VALUE"""),1.031)</f>
        <v>1.031</v>
      </c>
      <c r="E968" s="24">
        <f>IFERROR(__xludf.DUMMYFUNCTION("""COMPUTED_VALUE"""),65.0)</f>
        <v>65</v>
      </c>
      <c r="F968" s="27" t="str">
        <f>IFERROR(__xludf.DUMMYFUNCTION("""COMPUTED_VALUE"""),"BLACK")</f>
        <v>BLACK</v>
      </c>
      <c r="G968" s="28" t="str">
        <f>IFERROR(__xludf.DUMMYFUNCTION("""COMPUTED_VALUE"""),"First Times a Charm Cider")</f>
        <v>First Times a Charm Cider</v>
      </c>
      <c r="H968" s="27" t="str">
        <f>IFERROR(__xludf.DUMMYFUNCTION("""COMPUTED_VALUE"""),"")</f>
        <v/>
      </c>
    </row>
    <row r="969">
      <c r="A969" s="17"/>
      <c r="B969" s="23"/>
      <c r="C969" s="17">
        <f>IFERROR(__xludf.DUMMYFUNCTION("""COMPUTED_VALUE"""),43544.4724992361)</f>
        <v>43544.4725</v>
      </c>
      <c r="D969" s="23">
        <f>IFERROR(__xludf.DUMMYFUNCTION("""COMPUTED_VALUE"""),1.032)</f>
        <v>1.032</v>
      </c>
      <c r="E969" s="24">
        <f>IFERROR(__xludf.DUMMYFUNCTION("""COMPUTED_VALUE"""),66.0)</f>
        <v>66</v>
      </c>
      <c r="F969" s="27" t="str">
        <f>IFERROR(__xludf.DUMMYFUNCTION("""COMPUTED_VALUE"""),"BLACK")</f>
        <v>BLACK</v>
      </c>
      <c r="G969" s="28" t="str">
        <f>IFERROR(__xludf.DUMMYFUNCTION("""COMPUTED_VALUE"""),"First Times a Charm Cider")</f>
        <v>First Times a Charm Cider</v>
      </c>
      <c r="H969" s="27" t="str">
        <f>IFERROR(__xludf.DUMMYFUNCTION("""COMPUTED_VALUE"""),"")</f>
        <v/>
      </c>
    </row>
    <row r="970">
      <c r="A970" s="17"/>
      <c r="B970" s="23"/>
      <c r="C970" s="17">
        <f>IFERROR(__xludf.DUMMYFUNCTION("""COMPUTED_VALUE"""),43544.4620778356)</f>
        <v>43544.46208</v>
      </c>
      <c r="D970" s="23">
        <f>IFERROR(__xludf.DUMMYFUNCTION("""COMPUTED_VALUE"""),1.032)</f>
        <v>1.032</v>
      </c>
      <c r="E970" s="24">
        <f>IFERROR(__xludf.DUMMYFUNCTION("""COMPUTED_VALUE"""),66.0)</f>
        <v>66</v>
      </c>
      <c r="F970" s="27" t="str">
        <f>IFERROR(__xludf.DUMMYFUNCTION("""COMPUTED_VALUE"""),"BLACK")</f>
        <v>BLACK</v>
      </c>
      <c r="G970" s="28" t="str">
        <f>IFERROR(__xludf.DUMMYFUNCTION("""COMPUTED_VALUE"""),"First Times a Charm Cider")</f>
        <v>First Times a Charm Cider</v>
      </c>
      <c r="H970" s="27" t="str">
        <f>IFERROR(__xludf.DUMMYFUNCTION("""COMPUTED_VALUE"""),"")</f>
        <v/>
      </c>
    </row>
    <row r="971">
      <c r="A971" s="17"/>
      <c r="B971" s="23"/>
      <c r="C971" s="17">
        <f>IFERROR(__xludf.DUMMYFUNCTION("""COMPUTED_VALUE"""),43544.4516458564)</f>
        <v>43544.45165</v>
      </c>
      <c r="D971" s="23">
        <f>IFERROR(__xludf.DUMMYFUNCTION("""COMPUTED_VALUE"""),1.031)</f>
        <v>1.031</v>
      </c>
      <c r="E971" s="24">
        <f>IFERROR(__xludf.DUMMYFUNCTION("""COMPUTED_VALUE"""),65.0)</f>
        <v>65</v>
      </c>
      <c r="F971" s="27" t="str">
        <f>IFERROR(__xludf.DUMMYFUNCTION("""COMPUTED_VALUE"""),"BLACK")</f>
        <v>BLACK</v>
      </c>
      <c r="G971" s="28" t="str">
        <f>IFERROR(__xludf.DUMMYFUNCTION("""COMPUTED_VALUE"""),"First Times a Charm Cider")</f>
        <v>First Times a Charm Cider</v>
      </c>
      <c r="H971" s="27" t="str">
        <f>IFERROR(__xludf.DUMMYFUNCTION("""COMPUTED_VALUE"""),"")</f>
        <v/>
      </c>
    </row>
    <row r="972">
      <c r="A972" s="17"/>
      <c r="B972" s="23"/>
      <c r="C972" s="17">
        <f>IFERROR(__xludf.DUMMYFUNCTION("""COMPUTED_VALUE"""),43544.4412253819)</f>
        <v>43544.44123</v>
      </c>
      <c r="D972" s="23">
        <f>IFERROR(__xludf.DUMMYFUNCTION("""COMPUTED_VALUE"""),1.032)</f>
        <v>1.032</v>
      </c>
      <c r="E972" s="24">
        <f>IFERROR(__xludf.DUMMYFUNCTION("""COMPUTED_VALUE"""),65.0)</f>
        <v>65</v>
      </c>
      <c r="F972" s="27" t="str">
        <f>IFERROR(__xludf.DUMMYFUNCTION("""COMPUTED_VALUE"""),"BLACK")</f>
        <v>BLACK</v>
      </c>
      <c r="G972" s="28" t="str">
        <f>IFERROR(__xludf.DUMMYFUNCTION("""COMPUTED_VALUE"""),"First Times a Charm Cider")</f>
        <v>First Times a Charm Cider</v>
      </c>
      <c r="H972" s="27" t="str">
        <f>IFERROR(__xludf.DUMMYFUNCTION("""COMPUTED_VALUE"""),"")</f>
        <v/>
      </c>
    </row>
    <row r="973">
      <c r="A973" s="17"/>
      <c r="B973" s="23"/>
      <c r="C973" s="17">
        <f>IFERROR(__xludf.DUMMYFUNCTION("""COMPUTED_VALUE"""),43544.4308052083)</f>
        <v>43544.43081</v>
      </c>
      <c r="D973" s="23">
        <f>IFERROR(__xludf.DUMMYFUNCTION("""COMPUTED_VALUE"""),1.031)</f>
        <v>1.031</v>
      </c>
      <c r="E973" s="24">
        <f>IFERROR(__xludf.DUMMYFUNCTION("""COMPUTED_VALUE"""),65.0)</f>
        <v>65</v>
      </c>
      <c r="F973" s="27" t="str">
        <f>IFERROR(__xludf.DUMMYFUNCTION("""COMPUTED_VALUE"""),"BLACK")</f>
        <v>BLACK</v>
      </c>
      <c r="G973" s="28" t="str">
        <f>IFERROR(__xludf.DUMMYFUNCTION("""COMPUTED_VALUE"""),"First Times a Charm Cider")</f>
        <v>First Times a Charm Cider</v>
      </c>
      <c r="H973" s="27" t="str">
        <f>IFERROR(__xludf.DUMMYFUNCTION("""COMPUTED_VALUE"""),"")</f>
        <v/>
      </c>
    </row>
    <row r="974">
      <c r="A974" s="17"/>
      <c r="B974" s="23"/>
      <c r="C974" s="17">
        <f>IFERROR(__xludf.DUMMYFUNCTION("""COMPUTED_VALUE"""),43544.4203719328)</f>
        <v>43544.42037</v>
      </c>
      <c r="D974" s="23">
        <f>IFERROR(__xludf.DUMMYFUNCTION("""COMPUTED_VALUE"""),1.032)</f>
        <v>1.032</v>
      </c>
      <c r="E974" s="24">
        <f>IFERROR(__xludf.DUMMYFUNCTION("""COMPUTED_VALUE"""),65.0)</f>
        <v>65</v>
      </c>
      <c r="F974" s="27" t="str">
        <f>IFERROR(__xludf.DUMMYFUNCTION("""COMPUTED_VALUE"""),"BLACK")</f>
        <v>BLACK</v>
      </c>
      <c r="G974" s="28" t="str">
        <f>IFERROR(__xludf.DUMMYFUNCTION("""COMPUTED_VALUE"""),"First Times a Charm Cider")</f>
        <v>First Times a Charm Cider</v>
      </c>
      <c r="H974" s="27" t="str">
        <f>IFERROR(__xludf.DUMMYFUNCTION("""COMPUTED_VALUE"""),"")</f>
        <v/>
      </c>
    </row>
    <row r="975">
      <c r="A975" s="17"/>
      <c r="B975" s="23"/>
      <c r="C975" s="17">
        <f>IFERROR(__xludf.DUMMYFUNCTION("""COMPUTED_VALUE"""),43544.409950868)</f>
        <v>43544.40995</v>
      </c>
      <c r="D975" s="23">
        <f>IFERROR(__xludf.DUMMYFUNCTION("""COMPUTED_VALUE"""),1.032)</f>
        <v>1.032</v>
      </c>
      <c r="E975" s="24">
        <f>IFERROR(__xludf.DUMMYFUNCTION("""COMPUTED_VALUE"""),65.0)</f>
        <v>65</v>
      </c>
      <c r="F975" s="27" t="str">
        <f>IFERROR(__xludf.DUMMYFUNCTION("""COMPUTED_VALUE"""),"BLACK")</f>
        <v>BLACK</v>
      </c>
      <c r="G975" s="28" t="str">
        <f>IFERROR(__xludf.DUMMYFUNCTION("""COMPUTED_VALUE"""),"First Times a Charm Cider")</f>
        <v>First Times a Charm Cider</v>
      </c>
      <c r="H975" s="27" t="str">
        <f>IFERROR(__xludf.DUMMYFUNCTION("""COMPUTED_VALUE"""),"")</f>
        <v/>
      </c>
    </row>
    <row r="976">
      <c r="A976" s="17"/>
      <c r="B976" s="23"/>
      <c r="C976" s="17">
        <f>IFERROR(__xludf.DUMMYFUNCTION("""COMPUTED_VALUE"""),43544.3995292708)</f>
        <v>43544.39953</v>
      </c>
      <c r="D976" s="23">
        <f>IFERROR(__xludf.DUMMYFUNCTION("""COMPUTED_VALUE"""),1.031)</f>
        <v>1.031</v>
      </c>
      <c r="E976" s="24">
        <f>IFERROR(__xludf.DUMMYFUNCTION("""COMPUTED_VALUE"""),65.0)</f>
        <v>65</v>
      </c>
      <c r="F976" s="27" t="str">
        <f>IFERROR(__xludf.DUMMYFUNCTION("""COMPUTED_VALUE"""),"BLACK")</f>
        <v>BLACK</v>
      </c>
      <c r="G976" s="28" t="str">
        <f>IFERROR(__xludf.DUMMYFUNCTION("""COMPUTED_VALUE"""),"First Times a Charm Cider")</f>
        <v>First Times a Charm Cider</v>
      </c>
      <c r="H976" s="27" t="str">
        <f>IFERROR(__xludf.DUMMYFUNCTION("""COMPUTED_VALUE"""),"")</f>
        <v/>
      </c>
    </row>
    <row r="977">
      <c r="A977" s="17"/>
      <c r="B977" s="23"/>
      <c r="C977" s="17">
        <f>IFERROR(__xludf.DUMMYFUNCTION("""COMPUTED_VALUE"""),43544.3890950231)</f>
        <v>43544.3891</v>
      </c>
      <c r="D977" s="23">
        <f>IFERROR(__xludf.DUMMYFUNCTION("""COMPUTED_VALUE"""),1.031)</f>
        <v>1.031</v>
      </c>
      <c r="E977" s="24">
        <f>IFERROR(__xludf.DUMMYFUNCTION("""COMPUTED_VALUE"""),66.0)</f>
        <v>66</v>
      </c>
      <c r="F977" s="27" t="str">
        <f>IFERROR(__xludf.DUMMYFUNCTION("""COMPUTED_VALUE"""),"BLACK")</f>
        <v>BLACK</v>
      </c>
      <c r="G977" s="28" t="str">
        <f>IFERROR(__xludf.DUMMYFUNCTION("""COMPUTED_VALUE"""),"First Times a Charm Cider")</f>
        <v>First Times a Charm Cider</v>
      </c>
      <c r="H977" s="27" t="str">
        <f>IFERROR(__xludf.DUMMYFUNCTION("""COMPUTED_VALUE"""),"")</f>
        <v/>
      </c>
    </row>
    <row r="978">
      <c r="A978" s="17"/>
      <c r="B978" s="23"/>
      <c r="C978" s="17">
        <f>IFERROR(__xludf.DUMMYFUNCTION("""COMPUTED_VALUE"""),43544.3786747685)</f>
        <v>43544.37867</v>
      </c>
      <c r="D978" s="23">
        <f>IFERROR(__xludf.DUMMYFUNCTION("""COMPUTED_VALUE"""),1.032)</f>
        <v>1.032</v>
      </c>
      <c r="E978" s="24">
        <f>IFERROR(__xludf.DUMMYFUNCTION("""COMPUTED_VALUE"""),65.0)</f>
        <v>65</v>
      </c>
      <c r="F978" s="27" t="str">
        <f>IFERROR(__xludf.DUMMYFUNCTION("""COMPUTED_VALUE"""),"BLACK")</f>
        <v>BLACK</v>
      </c>
      <c r="G978" s="28" t="str">
        <f>IFERROR(__xludf.DUMMYFUNCTION("""COMPUTED_VALUE"""),"First Times a Charm Cider")</f>
        <v>First Times a Charm Cider</v>
      </c>
      <c r="H978" s="27" t="str">
        <f>IFERROR(__xludf.DUMMYFUNCTION("""COMPUTED_VALUE"""),"")</f>
        <v/>
      </c>
    </row>
    <row r="979">
      <c r="A979" s="17"/>
      <c r="B979" s="23"/>
      <c r="C979" s="17">
        <f>IFERROR(__xludf.DUMMYFUNCTION("""COMPUTED_VALUE"""),43544.3682536458)</f>
        <v>43544.36825</v>
      </c>
      <c r="D979" s="23">
        <f>IFERROR(__xludf.DUMMYFUNCTION("""COMPUTED_VALUE"""),1.031)</f>
        <v>1.031</v>
      </c>
      <c r="E979" s="24">
        <f>IFERROR(__xludf.DUMMYFUNCTION("""COMPUTED_VALUE"""),66.0)</f>
        <v>66</v>
      </c>
      <c r="F979" s="27" t="str">
        <f>IFERROR(__xludf.DUMMYFUNCTION("""COMPUTED_VALUE"""),"BLACK")</f>
        <v>BLACK</v>
      </c>
      <c r="G979" s="28" t="str">
        <f>IFERROR(__xludf.DUMMYFUNCTION("""COMPUTED_VALUE"""),"First Times a Charm Cider")</f>
        <v>First Times a Charm Cider</v>
      </c>
      <c r="H979" s="27" t="str">
        <f>IFERROR(__xludf.DUMMYFUNCTION("""COMPUTED_VALUE"""),"")</f>
        <v/>
      </c>
    </row>
    <row r="980">
      <c r="A980" s="17"/>
      <c r="B980" s="23"/>
      <c r="C980" s="17">
        <f>IFERROR(__xludf.DUMMYFUNCTION("""COMPUTED_VALUE"""),43544.3578327199)</f>
        <v>43544.35783</v>
      </c>
      <c r="D980" s="23">
        <f>IFERROR(__xludf.DUMMYFUNCTION("""COMPUTED_VALUE"""),1.031)</f>
        <v>1.031</v>
      </c>
      <c r="E980" s="24">
        <f>IFERROR(__xludf.DUMMYFUNCTION("""COMPUTED_VALUE"""),66.0)</f>
        <v>66</v>
      </c>
      <c r="F980" s="27" t="str">
        <f>IFERROR(__xludf.DUMMYFUNCTION("""COMPUTED_VALUE"""),"BLACK")</f>
        <v>BLACK</v>
      </c>
      <c r="G980" s="28" t="str">
        <f>IFERROR(__xludf.DUMMYFUNCTION("""COMPUTED_VALUE"""),"First Times a Charm Cider")</f>
        <v>First Times a Charm Cider</v>
      </c>
      <c r="H980" s="27" t="str">
        <f>IFERROR(__xludf.DUMMYFUNCTION("""COMPUTED_VALUE"""),"")</f>
        <v/>
      </c>
    </row>
    <row r="981">
      <c r="A981" s="17"/>
      <c r="B981" s="23"/>
      <c r="C981" s="17">
        <f>IFERROR(__xludf.DUMMYFUNCTION("""COMPUTED_VALUE"""),43544.3474115972)</f>
        <v>43544.34741</v>
      </c>
      <c r="D981" s="23">
        <f>IFERROR(__xludf.DUMMYFUNCTION("""COMPUTED_VALUE"""),1.032)</f>
        <v>1.032</v>
      </c>
      <c r="E981" s="24">
        <f>IFERROR(__xludf.DUMMYFUNCTION("""COMPUTED_VALUE"""),66.0)</f>
        <v>66</v>
      </c>
      <c r="F981" s="27" t="str">
        <f>IFERROR(__xludf.DUMMYFUNCTION("""COMPUTED_VALUE"""),"BLACK")</f>
        <v>BLACK</v>
      </c>
      <c r="G981" s="28" t="str">
        <f>IFERROR(__xludf.DUMMYFUNCTION("""COMPUTED_VALUE"""),"First Times a Charm Cider")</f>
        <v>First Times a Charm Cider</v>
      </c>
      <c r="H981" s="27" t="str">
        <f>IFERROR(__xludf.DUMMYFUNCTION("""COMPUTED_VALUE"""),"")</f>
        <v/>
      </c>
    </row>
    <row r="982">
      <c r="A982" s="17"/>
      <c r="B982" s="23"/>
      <c r="C982" s="17">
        <f>IFERROR(__xludf.DUMMYFUNCTION("""COMPUTED_VALUE"""),43544.3369916203)</f>
        <v>43544.33699</v>
      </c>
      <c r="D982" s="23">
        <f>IFERROR(__xludf.DUMMYFUNCTION("""COMPUTED_VALUE"""),1.032)</f>
        <v>1.032</v>
      </c>
      <c r="E982" s="24">
        <f>IFERROR(__xludf.DUMMYFUNCTION("""COMPUTED_VALUE"""),66.0)</f>
        <v>66</v>
      </c>
      <c r="F982" s="27" t="str">
        <f>IFERROR(__xludf.DUMMYFUNCTION("""COMPUTED_VALUE"""),"BLACK")</f>
        <v>BLACK</v>
      </c>
      <c r="G982" s="28" t="str">
        <f>IFERROR(__xludf.DUMMYFUNCTION("""COMPUTED_VALUE"""),"First Times a Charm Cider")</f>
        <v>First Times a Charm Cider</v>
      </c>
      <c r="H982" s="27" t="str">
        <f>IFERROR(__xludf.DUMMYFUNCTION("""COMPUTED_VALUE"""),"")</f>
        <v/>
      </c>
    </row>
    <row r="983">
      <c r="A983" s="17"/>
      <c r="B983" s="23"/>
      <c r="C983" s="17">
        <f>IFERROR(__xludf.DUMMYFUNCTION("""COMPUTED_VALUE"""),43544.3265698148)</f>
        <v>43544.32657</v>
      </c>
      <c r="D983" s="23">
        <f>IFERROR(__xludf.DUMMYFUNCTION("""COMPUTED_VALUE"""),1.032)</f>
        <v>1.032</v>
      </c>
      <c r="E983" s="24">
        <f>IFERROR(__xludf.DUMMYFUNCTION("""COMPUTED_VALUE"""),66.0)</f>
        <v>66</v>
      </c>
      <c r="F983" s="27" t="str">
        <f>IFERROR(__xludf.DUMMYFUNCTION("""COMPUTED_VALUE"""),"BLACK")</f>
        <v>BLACK</v>
      </c>
      <c r="G983" s="28" t="str">
        <f>IFERROR(__xludf.DUMMYFUNCTION("""COMPUTED_VALUE"""),"First Times a Charm Cider")</f>
        <v>First Times a Charm Cider</v>
      </c>
      <c r="H983" s="27" t="str">
        <f>IFERROR(__xludf.DUMMYFUNCTION("""COMPUTED_VALUE"""),"")</f>
        <v/>
      </c>
    </row>
    <row r="984">
      <c r="A984" s="17"/>
      <c r="B984" s="23"/>
      <c r="C984" s="17">
        <f>IFERROR(__xludf.DUMMYFUNCTION("""COMPUTED_VALUE"""),43544.3161367592)</f>
        <v>43544.31614</v>
      </c>
      <c r="D984" s="23">
        <f>IFERROR(__xludf.DUMMYFUNCTION("""COMPUTED_VALUE"""),1.032)</f>
        <v>1.032</v>
      </c>
      <c r="E984" s="24">
        <f>IFERROR(__xludf.DUMMYFUNCTION("""COMPUTED_VALUE"""),66.0)</f>
        <v>66</v>
      </c>
      <c r="F984" s="27" t="str">
        <f>IFERROR(__xludf.DUMMYFUNCTION("""COMPUTED_VALUE"""),"BLACK")</f>
        <v>BLACK</v>
      </c>
      <c r="G984" s="28" t="str">
        <f>IFERROR(__xludf.DUMMYFUNCTION("""COMPUTED_VALUE"""),"First Times a Charm Cider")</f>
        <v>First Times a Charm Cider</v>
      </c>
      <c r="H984" s="27" t="str">
        <f>IFERROR(__xludf.DUMMYFUNCTION("""COMPUTED_VALUE"""),"")</f>
        <v/>
      </c>
    </row>
    <row r="985">
      <c r="A985" s="17"/>
      <c r="B985" s="23"/>
      <c r="C985" s="17">
        <f>IFERROR(__xludf.DUMMYFUNCTION("""COMPUTED_VALUE"""),43544.3057143171)</f>
        <v>43544.30571</v>
      </c>
      <c r="D985" s="23">
        <f>IFERROR(__xludf.DUMMYFUNCTION("""COMPUTED_VALUE"""),1.032)</f>
        <v>1.032</v>
      </c>
      <c r="E985" s="24">
        <f>IFERROR(__xludf.DUMMYFUNCTION("""COMPUTED_VALUE"""),66.0)</f>
        <v>66</v>
      </c>
      <c r="F985" s="27" t="str">
        <f>IFERROR(__xludf.DUMMYFUNCTION("""COMPUTED_VALUE"""),"BLACK")</f>
        <v>BLACK</v>
      </c>
      <c r="G985" s="28" t="str">
        <f>IFERROR(__xludf.DUMMYFUNCTION("""COMPUTED_VALUE"""),"First Times a Charm Cider")</f>
        <v>First Times a Charm Cider</v>
      </c>
      <c r="H985" s="27" t="str">
        <f>IFERROR(__xludf.DUMMYFUNCTION("""COMPUTED_VALUE"""),"")</f>
        <v/>
      </c>
    </row>
    <row r="986">
      <c r="A986" s="17"/>
      <c r="B986" s="23"/>
      <c r="C986" s="17">
        <f>IFERROR(__xludf.DUMMYFUNCTION("""COMPUTED_VALUE"""),43544.2952940393)</f>
        <v>43544.29529</v>
      </c>
      <c r="D986" s="23">
        <f>IFERROR(__xludf.DUMMYFUNCTION("""COMPUTED_VALUE"""),1.032)</f>
        <v>1.032</v>
      </c>
      <c r="E986" s="24">
        <f>IFERROR(__xludf.DUMMYFUNCTION("""COMPUTED_VALUE"""),66.0)</f>
        <v>66</v>
      </c>
      <c r="F986" s="27" t="str">
        <f>IFERROR(__xludf.DUMMYFUNCTION("""COMPUTED_VALUE"""),"BLACK")</f>
        <v>BLACK</v>
      </c>
      <c r="G986" s="28" t="str">
        <f>IFERROR(__xludf.DUMMYFUNCTION("""COMPUTED_VALUE"""),"First Times a Charm Cider")</f>
        <v>First Times a Charm Cider</v>
      </c>
      <c r="H986" s="27" t="str">
        <f>IFERROR(__xludf.DUMMYFUNCTION("""COMPUTED_VALUE"""),"")</f>
        <v/>
      </c>
    </row>
    <row r="987">
      <c r="A987" s="17"/>
      <c r="B987" s="23"/>
      <c r="C987" s="17">
        <f>IFERROR(__xludf.DUMMYFUNCTION("""COMPUTED_VALUE"""),43544.2848609606)</f>
        <v>43544.28486</v>
      </c>
      <c r="D987" s="23">
        <f>IFERROR(__xludf.DUMMYFUNCTION("""COMPUTED_VALUE"""),1.032)</f>
        <v>1.032</v>
      </c>
      <c r="E987" s="24">
        <f>IFERROR(__xludf.DUMMYFUNCTION("""COMPUTED_VALUE"""),66.0)</f>
        <v>66</v>
      </c>
      <c r="F987" s="27" t="str">
        <f>IFERROR(__xludf.DUMMYFUNCTION("""COMPUTED_VALUE"""),"BLACK")</f>
        <v>BLACK</v>
      </c>
      <c r="G987" s="28" t="str">
        <f>IFERROR(__xludf.DUMMYFUNCTION("""COMPUTED_VALUE"""),"First Times a Charm Cider")</f>
        <v>First Times a Charm Cider</v>
      </c>
      <c r="H987" s="27" t="str">
        <f>IFERROR(__xludf.DUMMYFUNCTION("""COMPUTED_VALUE"""),"")</f>
        <v/>
      </c>
    </row>
    <row r="988">
      <c r="A988" s="17"/>
      <c r="B988" s="23"/>
      <c r="C988" s="17">
        <f>IFERROR(__xludf.DUMMYFUNCTION("""COMPUTED_VALUE"""),43544.2744287847)</f>
        <v>43544.27443</v>
      </c>
      <c r="D988" s="23">
        <f>IFERROR(__xludf.DUMMYFUNCTION("""COMPUTED_VALUE"""),1.032)</f>
        <v>1.032</v>
      </c>
      <c r="E988" s="24">
        <f>IFERROR(__xludf.DUMMYFUNCTION("""COMPUTED_VALUE"""),66.0)</f>
        <v>66</v>
      </c>
      <c r="F988" s="27" t="str">
        <f>IFERROR(__xludf.DUMMYFUNCTION("""COMPUTED_VALUE"""),"BLACK")</f>
        <v>BLACK</v>
      </c>
      <c r="G988" s="28" t="str">
        <f>IFERROR(__xludf.DUMMYFUNCTION("""COMPUTED_VALUE"""),"First Times a Charm Cider")</f>
        <v>First Times a Charm Cider</v>
      </c>
      <c r="H988" s="27" t="str">
        <f>IFERROR(__xludf.DUMMYFUNCTION("""COMPUTED_VALUE"""),"")</f>
        <v/>
      </c>
    </row>
    <row r="989">
      <c r="A989" s="17"/>
      <c r="B989" s="23"/>
      <c r="C989" s="17">
        <f>IFERROR(__xludf.DUMMYFUNCTION("""COMPUTED_VALUE"""),43544.264008912)</f>
        <v>43544.26401</v>
      </c>
      <c r="D989" s="23">
        <f>IFERROR(__xludf.DUMMYFUNCTION("""COMPUTED_VALUE"""),1.032)</f>
        <v>1.032</v>
      </c>
      <c r="E989" s="24">
        <f>IFERROR(__xludf.DUMMYFUNCTION("""COMPUTED_VALUE"""),66.0)</f>
        <v>66</v>
      </c>
      <c r="F989" s="27" t="str">
        <f>IFERROR(__xludf.DUMMYFUNCTION("""COMPUTED_VALUE"""),"BLACK")</f>
        <v>BLACK</v>
      </c>
      <c r="G989" s="28" t="str">
        <f>IFERROR(__xludf.DUMMYFUNCTION("""COMPUTED_VALUE"""),"First Times a Charm Cider")</f>
        <v>First Times a Charm Cider</v>
      </c>
      <c r="H989" s="27" t="str">
        <f>IFERROR(__xludf.DUMMYFUNCTION("""COMPUTED_VALUE"""),"")</f>
        <v/>
      </c>
    </row>
    <row r="990">
      <c r="A990" s="17"/>
      <c r="B990" s="23"/>
      <c r="C990" s="17">
        <f>IFERROR(__xludf.DUMMYFUNCTION("""COMPUTED_VALUE"""),43544.2535872338)</f>
        <v>43544.25359</v>
      </c>
      <c r="D990" s="23">
        <f>IFERROR(__xludf.DUMMYFUNCTION("""COMPUTED_VALUE"""),1.032)</f>
        <v>1.032</v>
      </c>
      <c r="E990" s="24">
        <f>IFERROR(__xludf.DUMMYFUNCTION("""COMPUTED_VALUE"""),66.0)</f>
        <v>66</v>
      </c>
      <c r="F990" s="27" t="str">
        <f>IFERROR(__xludf.DUMMYFUNCTION("""COMPUTED_VALUE"""),"BLACK")</f>
        <v>BLACK</v>
      </c>
      <c r="G990" s="28" t="str">
        <f>IFERROR(__xludf.DUMMYFUNCTION("""COMPUTED_VALUE"""),"First Times a Charm Cider")</f>
        <v>First Times a Charm Cider</v>
      </c>
      <c r="H990" s="27" t="str">
        <f>IFERROR(__xludf.DUMMYFUNCTION("""COMPUTED_VALUE"""),"")</f>
        <v/>
      </c>
    </row>
    <row r="991">
      <c r="A991" s="17"/>
      <c r="B991" s="23"/>
      <c r="C991" s="17">
        <f>IFERROR(__xludf.DUMMYFUNCTION("""COMPUTED_VALUE"""),43544.2431656134)</f>
        <v>43544.24317</v>
      </c>
      <c r="D991" s="23">
        <f>IFERROR(__xludf.DUMMYFUNCTION("""COMPUTED_VALUE"""),1.032)</f>
        <v>1.032</v>
      </c>
      <c r="E991" s="24">
        <f>IFERROR(__xludf.DUMMYFUNCTION("""COMPUTED_VALUE"""),66.0)</f>
        <v>66</v>
      </c>
      <c r="F991" s="27" t="str">
        <f>IFERROR(__xludf.DUMMYFUNCTION("""COMPUTED_VALUE"""),"BLACK")</f>
        <v>BLACK</v>
      </c>
      <c r="G991" s="28" t="str">
        <f>IFERROR(__xludf.DUMMYFUNCTION("""COMPUTED_VALUE"""),"First Times a Charm Cider")</f>
        <v>First Times a Charm Cider</v>
      </c>
      <c r="H991" s="27" t="str">
        <f>IFERROR(__xludf.DUMMYFUNCTION("""COMPUTED_VALUE"""),"")</f>
        <v/>
      </c>
    </row>
    <row r="992">
      <c r="A992" s="17"/>
      <c r="B992" s="23"/>
      <c r="C992" s="17">
        <f>IFERROR(__xludf.DUMMYFUNCTION("""COMPUTED_VALUE"""),43544.2327455439)</f>
        <v>43544.23275</v>
      </c>
      <c r="D992" s="23">
        <f>IFERROR(__xludf.DUMMYFUNCTION("""COMPUTED_VALUE"""),1.032)</f>
        <v>1.032</v>
      </c>
      <c r="E992" s="24">
        <f>IFERROR(__xludf.DUMMYFUNCTION("""COMPUTED_VALUE"""),66.0)</f>
        <v>66</v>
      </c>
      <c r="F992" s="27" t="str">
        <f>IFERROR(__xludf.DUMMYFUNCTION("""COMPUTED_VALUE"""),"BLACK")</f>
        <v>BLACK</v>
      </c>
      <c r="G992" s="28" t="str">
        <f>IFERROR(__xludf.DUMMYFUNCTION("""COMPUTED_VALUE"""),"First Times a Charm Cider")</f>
        <v>First Times a Charm Cider</v>
      </c>
      <c r="H992" s="27" t="str">
        <f>IFERROR(__xludf.DUMMYFUNCTION("""COMPUTED_VALUE"""),"")</f>
        <v/>
      </c>
    </row>
    <row r="993">
      <c r="A993" s="17"/>
      <c r="B993" s="23"/>
      <c r="C993" s="17">
        <f>IFERROR(__xludf.DUMMYFUNCTION("""COMPUTED_VALUE"""),43544.2223268171)</f>
        <v>43544.22233</v>
      </c>
      <c r="D993" s="23">
        <f>IFERROR(__xludf.DUMMYFUNCTION("""COMPUTED_VALUE"""),1.032)</f>
        <v>1.032</v>
      </c>
      <c r="E993" s="24">
        <f>IFERROR(__xludf.DUMMYFUNCTION("""COMPUTED_VALUE"""),66.0)</f>
        <v>66</v>
      </c>
      <c r="F993" s="27" t="str">
        <f>IFERROR(__xludf.DUMMYFUNCTION("""COMPUTED_VALUE"""),"BLACK")</f>
        <v>BLACK</v>
      </c>
      <c r="G993" s="28" t="str">
        <f>IFERROR(__xludf.DUMMYFUNCTION("""COMPUTED_VALUE"""),"First Times a Charm Cider")</f>
        <v>First Times a Charm Cider</v>
      </c>
      <c r="H993" s="27" t="str">
        <f>IFERROR(__xludf.DUMMYFUNCTION("""COMPUTED_VALUE"""),"")</f>
        <v/>
      </c>
    </row>
    <row r="994">
      <c r="A994" s="17"/>
      <c r="B994" s="23"/>
      <c r="C994" s="17">
        <f>IFERROR(__xludf.DUMMYFUNCTION("""COMPUTED_VALUE"""),43544.2118940972)</f>
        <v>43544.21189</v>
      </c>
      <c r="D994" s="23">
        <f>IFERROR(__xludf.DUMMYFUNCTION("""COMPUTED_VALUE"""),1.032)</f>
        <v>1.032</v>
      </c>
      <c r="E994" s="24">
        <f>IFERROR(__xludf.DUMMYFUNCTION("""COMPUTED_VALUE"""),66.0)</f>
        <v>66</v>
      </c>
      <c r="F994" s="27" t="str">
        <f>IFERROR(__xludf.DUMMYFUNCTION("""COMPUTED_VALUE"""),"BLACK")</f>
        <v>BLACK</v>
      </c>
      <c r="G994" s="28" t="str">
        <f>IFERROR(__xludf.DUMMYFUNCTION("""COMPUTED_VALUE"""),"First Times a Charm Cider")</f>
        <v>First Times a Charm Cider</v>
      </c>
      <c r="H994" s="27" t="str">
        <f>IFERROR(__xludf.DUMMYFUNCTION("""COMPUTED_VALUE"""),"")</f>
        <v/>
      </c>
    </row>
    <row r="995">
      <c r="A995" s="17"/>
      <c r="B995" s="23"/>
      <c r="C995" s="17">
        <f>IFERROR(__xludf.DUMMYFUNCTION("""COMPUTED_VALUE"""),43544.201473206)</f>
        <v>43544.20147</v>
      </c>
      <c r="D995" s="23">
        <f>IFERROR(__xludf.DUMMYFUNCTION("""COMPUTED_VALUE"""),1.032)</f>
        <v>1.032</v>
      </c>
      <c r="E995" s="24">
        <f>IFERROR(__xludf.DUMMYFUNCTION("""COMPUTED_VALUE"""),66.0)</f>
        <v>66</v>
      </c>
      <c r="F995" s="27" t="str">
        <f>IFERROR(__xludf.DUMMYFUNCTION("""COMPUTED_VALUE"""),"BLACK")</f>
        <v>BLACK</v>
      </c>
      <c r="G995" s="28" t="str">
        <f>IFERROR(__xludf.DUMMYFUNCTION("""COMPUTED_VALUE"""),"First Times a Charm Cider")</f>
        <v>First Times a Charm Cider</v>
      </c>
      <c r="H995" s="27" t="str">
        <f>IFERROR(__xludf.DUMMYFUNCTION("""COMPUTED_VALUE"""),"")</f>
        <v/>
      </c>
    </row>
    <row r="996">
      <c r="A996" s="17"/>
      <c r="B996" s="23"/>
      <c r="C996" s="17">
        <f>IFERROR(__xludf.DUMMYFUNCTION("""COMPUTED_VALUE"""),43544.1910487615)</f>
        <v>43544.19105</v>
      </c>
      <c r="D996" s="23">
        <f>IFERROR(__xludf.DUMMYFUNCTION("""COMPUTED_VALUE"""),1.032)</f>
        <v>1.032</v>
      </c>
      <c r="E996" s="24">
        <f>IFERROR(__xludf.DUMMYFUNCTION("""COMPUTED_VALUE"""),66.0)</f>
        <v>66</v>
      </c>
      <c r="F996" s="27" t="str">
        <f>IFERROR(__xludf.DUMMYFUNCTION("""COMPUTED_VALUE"""),"BLACK")</f>
        <v>BLACK</v>
      </c>
      <c r="G996" s="28" t="str">
        <f>IFERROR(__xludf.DUMMYFUNCTION("""COMPUTED_VALUE"""),"First Times a Charm Cider")</f>
        <v>First Times a Charm Cider</v>
      </c>
      <c r="H996" s="27" t="str">
        <f>IFERROR(__xludf.DUMMYFUNCTION("""COMPUTED_VALUE"""),"")</f>
        <v/>
      </c>
    </row>
    <row r="997">
      <c r="A997" s="17"/>
      <c r="B997" s="23"/>
      <c r="C997" s="17">
        <f>IFERROR(__xludf.DUMMYFUNCTION("""COMPUTED_VALUE"""),43544.1806269791)</f>
        <v>43544.18063</v>
      </c>
      <c r="D997" s="23">
        <f>IFERROR(__xludf.DUMMYFUNCTION("""COMPUTED_VALUE"""),1.032)</f>
        <v>1.032</v>
      </c>
      <c r="E997" s="24">
        <f>IFERROR(__xludf.DUMMYFUNCTION("""COMPUTED_VALUE"""),66.0)</f>
        <v>66</v>
      </c>
      <c r="F997" s="27" t="str">
        <f>IFERROR(__xludf.DUMMYFUNCTION("""COMPUTED_VALUE"""),"BLACK")</f>
        <v>BLACK</v>
      </c>
      <c r="G997" s="28" t="str">
        <f>IFERROR(__xludf.DUMMYFUNCTION("""COMPUTED_VALUE"""),"First Times a Charm Cider")</f>
        <v>First Times a Charm Cider</v>
      </c>
      <c r="H997" s="27" t="str">
        <f>IFERROR(__xludf.DUMMYFUNCTION("""COMPUTED_VALUE"""),"")</f>
        <v/>
      </c>
    </row>
    <row r="998">
      <c r="A998" s="17"/>
      <c r="B998" s="23"/>
      <c r="C998" s="17">
        <f>IFERROR(__xludf.DUMMYFUNCTION("""COMPUTED_VALUE"""),43544.1701952662)</f>
        <v>43544.1702</v>
      </c>
      <c r="D998" s="23">
        <f>IFERROR(__xludf.DUMMYFUNCTION("""COMPUTED_VALUE"""),1.032)</f>
        <v>1.032</v>
      </c>
      <c r="E998" s="24">
        <f>IFERROR(__xludf.DUMMYFUNCTION("""COMPUTED_VALUE"""),66.0)</f>
        <v>66</v>
      </c>
      <c r="F998" s="27" t="str">
        <f>IFERROR(__xludf.DUMMYFUNCTION("""COMPUTED_VALUE"""),"BLACK")</f>
        <v>BLACK</v>
      </c>
      <c r="G998" s="28" t="str">
        <f>IFERROR(__xludf.DUMMYFUNCTION("""COMPUTED_VALUE"""),"First Times a Charm Cider")</f>
        <v>First Times a Charm Cider</v>
      </c>
      <c r="H998" s="27" t="str">
        <f>IFERROR(__xludf.DUMMYFUNCTION("""COMPUTED_VALUE"""),"")</f>
        <v/>
      </c>
    </row>
    <row r="999">
      <c r="A999" s="17"/>
      <c r="B999" s="23"/>
      <c r="C999" s="17">
        <f>IFERROR(__xludf.DUMMYFUNCTION("""COMPUTED_VALUE"""),43544.159761574)</f>
        <v>43544.15976</v>
      </c>
      <c r="D999" s="23">
        <f>IFERROR(__xludf.DUMMYFUNCTION("""COMPUTED_VALUE"""),1.032)</f>
        <v>1.032</v>
      </c>
      <c r="E999" s="24">
        <f>IFERROR(__xludf.DUMMYFUNCTION("""COMPUTED_VALUE"""),66.0)</f>
        <v>66</v>
      </c>
      <c r="F999" s="27" t="str">
        <f>IFERROR(__xludf.DUMMYFUNCTION("""COMPUTED_VALUE"""),"BLACK")</f>
        <v>BLACK</v>
      </c>
      <c r="G999" s="28" t="str">
        <f>IFERROR(__xludf.DUMMYFUNCTION("""COMPUTED_VALUE"""),"First Times a Charm Cider")</f>
        <v>First Times a Charm Cider</v>
      </c>
      <c r="H999" s="27" t="str">
        <f>IFERROR(__xludf.DUMMYFUNCTION("""COMPUTED_VALUE"""),"")</f>
        <v/>
      </c>
    </row>
    <row r="1000">
      <c r="A1000" s="17"/>
      <c r="B1000" s="23"/>
      <c r="C1000" s="17">
        <f>IFERROR(__xludf.DUMMYFUNCTION("""COMPUTED_VALUE"""),43544.1493291666)</f>
        <v>43544.14933</v>
      </c>
      <c r="D1000" s="23">
        <f>IFERROR(__xludf.DUMMYFUNCTION("""COMPUTED_VALUE"""),1.032)</f>
        <v>1.032</v>
      </c>
      <c r="E1000" s="24">
        <f>IFERROR(__xludf.DUMMYFUNCTION("""COMPUTED_VALUE"""),66.0)</f>
        <v>66</v>
      </c>
      <c r="F1000" s="27" t="str">
        <f>IFERROR(__xludf.DUMMYFUNCTION("""COMPUTED_VALUE"""),"BLACK")</f>
        <v>BLACK</v>
      </c>
      <c r="G1000" s="28" t="str">
        <f>IFERROR(__xludf.DUMMYFUNCTION("""COMPUTED_VALUE"""),"First Times a Charm Cider")</f>
        <v>First Times a Charm Cider</v>
      </c>
      <c r="H1000" s="27" t="str">
        <f>IFERROR(__xludf.DUMMYFUNCTION("""COMPUTED_VALUE"""),"")</f>
        <v/>
      </c>
    </row>
    <row r="1001">
      <c r="A1001" s="17"/>
      <c r="B1001" s="23"/>
      <c r="C1001" s="17">
        <f>IFERROR(__xludf.DUMMYFUNCTION("""COMPUTED_VALUE"""),43544.138884456)</f>
        <v>43544.13888</v>
      </c>
      <c r="D1001" s="23">
        <f>IFERROR(__xludf.DUMMYFUNCTION("""COMPUTED_VALUE"""),1.032)</f>
        <v>1.032</v>
      </c>
      <c r="E1001" s="24">
        <f>IFERROR(__xludf.DUMMYFUNCTION("""COMPUTED_VALUE"""),66.0)</f>
        <v>66</v>
      </c>
      <c r="F1001" s="27" t="str">
        <f>IFERROR(__xludf.DUMMYFUNCTION("""COMPUTED_VALUE"""),"BLACK")</f>
        <v>BLACK</v>
      </c>
      <c r="G1001" s="28" t="str">
        <f>IFERROR(__xludf.DUMMYFUNCTION("""COMPUTED_VALUE"""),"First Times a Charm Cider")</f>
        <v>First Times a Charm Cider</v>
      </c>
      <c r="H1001" s="27" t="str">
        <f>IFERROR(__xludf.DUMMYFUNCTION("""COMPUTED_VALUE"""),"")</f>
        <v/>
      </c>
    </row>
    <row r="1002">
      <c r="A1002" s="17"/>
      <c r="B1002" s="23"/>
      <c r="C1002" s="17">
        <f>IFERROR(__xludf.DUMMYFUNCTION("""COMPUTED_VALUE"""),43544.1284402662)</f>
        <v>43544.12844</v>
      </c>
      <c r="D1002" s="23">
        <f>IFERROR(__xludf.DUMMYFUNCTION("""COMPUTED_VALUE"""),1.032)</f>
        <v>1.032</v>
      </c>
      <c r="E1002" s="24">
        <f>IFERROR(__xludf.DUMMYFUNCTION("""COMPUTED_VALUE"""),66.0)</f>
        <v>66</v>
      </c>
      <c r="F1002" s="27" t="str">
        <f>IFERROR(__xludf.DUMMYFUNCTION("""COMPUTED_VALUE"""),"BLACK")</f>
        <v>BLACK</v>
      </c>
      <c r="G1002" s="28" t="str">
        <f>IFERROR(__xludf.DUMMYFUNCTION("""COMPUTED_VALUE"""),"First Times a Charm Cider")</f>
        <v>First Times a Charm Cider</v>
      </c>
      <c r="H1002" s="27" t="str">
        <f>IFERROR(__xludf.DUMMYFUNCTION("""COMPUTED_VALUE"""),"")</f>
        <v/>
      </c>
    </row>
    <row r="1003">
      <c r="A1003" s="17"/>
      <c r="B1003" s="23"/>
      <c r="C1003" s="17">
        <f>IFERROR(__xludf.DUMMYFUNCTION("""COMPUTED_VALUE"""),43544.1180200578)</f>
        <v>43544.11802</v>
      </c>
      <c r="D1003" s="23">
        <f>IFERROR(__xludf.DUMMYFUNCTION("""COMPUTED_VALUE"""),1.032)</f>
        <v>1.032</v>
      </c>
      <c r="E1003" s="24">
        <f>IFERROR(__xludf.DUMMYFUNCTION("""COMPUTED_VALUE"""),66.0)</f>
        <v>66</v>
      </c>
      <c r="F1003" s="27" t="str">
        <f>IFERROR(__xludf.DUMMYFUNCTION("""COMPUTED_VALUE"""),"BLACK")</f>
        <v>BLACK</v>
      </c>
      <c r="G1003" s="28" t="str">
        <f>IFERROR(__xludf.DUMMYFUNCTION("""COMPUTED_VALUE"""),"First Times a Charm Cider")</f>
        <v>First Times a Charm Cider</v>
      </c>
      <c r="H1003" s="27" t="str">
        <f>IFERROR(__xludf.DUMMYFUNCTION("""COMPUTED_VALUE"""),"")</f>
        <v/>
      </c>
    </row>
    <row r="1004">
      <c r="A1004" s="17"/>
      <c r="B1004" s="23"/>
      <c r="C1004" s="17">
        <f>IFERROR(__xludf.DUMMYFUNCTION("""COMPUTED_VALUE"""),43544.1075519791)</f>
        <v>43544.10755</v>
      </c>
      <c r="D1004" s="23">
        <f>IFERROR(__xludf.DUMMYFUNCTION("""COMPUTED_VALUE"""),1.032)</f>
        <v>1.032</v>
      </c>
      <c r="E1004" s="24">
        <f>IFERROR(__xludf.DUMMYFUNCTION("""COMPUTED_VALUE"""),66.0)</f>
        <v>66</v>
      </c>
      <c r="F1004" s="27" t="str">
        <f>IFERROR(__xludf.DUMMYFUNCTION("""COMPUTED_VALUE"""),"BLACK")</f>
        <v>BLACK</v>
      </c>
      <c r="G1004" s="28" t="str">
        <f>IFERROR(__xludf.DUMMYFUNCTION("""COMPUTED_VALUE"""),"First Times a Charm Cider")</f>
        <v>First Times a Charm Cider</v>
      </c>
      <c r="H1004" s="27" t="str">
        <f>IFERROR(__xludf.DUMMYFUNCTION("""COMPUTED_VALUE"""),"")</f>
        <v/>
      </c>
    </row>
    <row r="1005">
      <c r="A1005" s="17"/>
      <c r="B1005" s="23"/>
      <c r="C1005" s="17">
        <f>IFERROR(__xludf.DUMMYFUNCTION("""COMPUTED_VALUE"""),43544.097130081)</f>
        <v>43544.09713</v>
      </c>
      <c r="D1005" s="23">
        <f>IFERROR(__xludf.DUMMYFUNCTION("""COMPUTED_VALUE"""),1.032)</f>
        <v>1.032</v>
      </c>
      <c r="E1005" s="24">
        <f>IFERROR(__xludf.DUMMYFUNCTION("""COMPUTED_VALUE"""),66.0)</f>
        <v>66</v>
      </c>
      <c r="F1005" s="27" t="str">
        <f>IFERROR(__xludf.DUMMYFUNCTION("""COMPUTED_VALUE"""),"BLACK")</f>
        <v>BLACK</v>
      </c>
      <c r="G1005" s="28" t="str">
        <f>IFERROR(__xludf.DUMMYFUNCTION("""COMPUTED_VALUE"""),"First Times a Charm Cider")</f>
        <v>First Times a Charm Cider</v>
      </c>
      <c r="H1005" s="27" t="str">
        <f>IFERROR(__xludf.DUMMYFUNCTION("""COMPUTED_VALUE"""),"")</f>
        <v/>
      </c>
    </row>
    <row r="1006">
      <c r="A1006" s="17"/>
      <c r="B1006" s="23"/>
      <c r="C1006" s="17">
        <f>IFERROR(__xludf.DUMMYFUNCTION("""COMPUTED_VALUE"""),43544.0867099305)</f>
        <v>43544.08671</v>
      </c>
      <c r="D1006" s="23">
        <f>IFERROR(__xludf.DUMMYFUNCTION("""COMPUTED_VALUE"""),1.032)</f>
        <v>1.032</v>
      </c>
      <c r="E1006" s="24">
        <f>IFERROR(__xludf.DUMMYFUNCTION("""COMPUTED_VALUE"""),66.0)</f>
        <v>66</v>
      </c>
      <c r="F1006" s="27" t="str">
        <f>IFERROR(__xludf.DUMMYFUNCTION("""COMPUTED_VALUE"""),"BLACK")</f>
        <v>BLACK</v>
      </c>
      <c r="G1006" s="28" t="str">
        <f>IFERROR(__xludf.DUMMYFUNCTION("""COMPUTED_VALUE"""),"First Times a Charm Cider")</f>
        <v>First Times a Charm Cider</v>
      </c>
      <c r="H1006" s="27" t="str">
        <f>IFERROR(__xludf.DUMMYFUNCTION("""COMPUTED_VALUE"""),"")</f>
        <v/>
      </c>
    </row>
    <row r="1007">
      <c r="A1007" s="17"/>
      <c r="B1007" s="23"/>
      <c r="C1007" s="17">
        <f>IFERROR(__xludf.DUMMYFUNCTION("""COMPUTED_VALUE"""),43544.0762892824)</f>
        <v>43544.07629</v>
      </c>
      <c r="D1007" s="23">
        <f>IFERROR(__xludf.DUMMYFUNCTION("""COMPUTED_VALUE"""),1.032)</f>
        <v>1.032</v>
      </c>
      <c r="E1007" s="24">
        <f>IFERROR(__xludf.DUMMYFUNCTION("""COMPUTED_VALUE"""),66.0)</f>
        <v>66</v>
      </c>
      <c r="F1007" s="27" t="str">
        <f>IFERROR(__xludf.DUMMYFUNCTION("""COMPUTED_VALUE"""),"BLACK")</f>
        <v>BLACK</v>
      </c>
      <c r="G1007" s="28" t="str">
        <f>IFERROR(__xludf.DUMMYFUNCTION("""COMPUTED_VALUE"""),"First Times a Charm Cider")</f>
        <v>First Times a Charm Cider</v>
      </c>
      <c r="H1007" s="27" t="str">
        <f>IFERROR(__xludf.DUMMYFUNCTION("""COMPUTED_VALUE"""),"")</f>
        <v/>
      </c>
    </row>
    <row r="1008">
      <c r="A1008" s="17"/>
      <c r="B1008" s="23"/>
      <c r="C1008" s="17">
        <f>IFERROR(__xludf.DUMMYFUNCTION("""COMPUTED_VALUE"""),43544.0658668865)</f>
        <v>43544.06587</v>
      </c>
      <c r="D1008" s="23">
        <f>IFERROR(__xludf.DUMMYFUNCTION("""COMPUTED_VALUE"""),1.032)</f>
        <v>1.032</v>
      </c>
      <c r="E1008" s="24">
        <f>IFERROR(__xludf.DUMMYFUNCTION("""COMPUTED_VALUE"""),66.0)</f>
        <v>66</v>
      </c>
      <c r="F1008" s="27" t="str">
        <f>IFERROR(__xludf.DUMMYFUNCTION("""COMPUTED_VALUE"""),"BLACK")</f>
        <v>BLACK</v>
      </c>
      <c r="G1008" s="28" t="str">
        <f>IFERROR(__xludf.DUMMYFUNCTION("""COMPUTED_VALUE"""),"First Times a Charm Cider")</f>
        <v>First Times a Charm Cider</v>
      </c>
      <c r="H1008" s="27" t="str">
        <f>IFERROR(__xludf.DUMMYFUNCTION("""COMPUTED_VALUE"""),"")</f>
        <v/>
      </c>
    </row>
    <row r="1009">
      <c r="A1009" s="17"/>
      <c r="B1009" s="23"/>
      <c r="C1009" s="17">
        <f>IFERROR(__xludf.DUMMYFUNCTION("""COMPUTED_VALUE"""),43544.0554218287)</f>
        <v>43544.05542</v>
      </c>
      <c r="D1009" s="23">
        <f>IFERROR(__xludf.DUMMYFUNCTION("""COMPUTED_VALUE"""),1.032)</f>
        <v>1.032</v>
      </c>
      <c r="E1009" s="24">
        <f>IFERROR(__xludf.DUMMYFUNCTION("""COMPUTED_VALUE"""),66.0)</f>
        <v>66</v>
      </c>
      <c r="F1009" s="27" t="str">
        <f>IFERROR(__xludf.DUMMYFUNCTION("""COMPUTED_VALUE"""),"BLACK")</f>
        <v>BLACK</v>
      </c>
      <c r="G1009" s="28" t="str">
        <f>IFERROR(__xludf.DUMMYFUNCTION("""COMPUTED_VALUE"""),"First Times a Charm Cider")</f>
        <v>First Times a Charm Cider</v>
      </c>
      <c r="H1009" s="27" t="str">
        <f>IFERROR(__xludf.DUMMYFUNCTION("""COMPUTED_VALUE"""),"")</f>
        <v/>
      </c>
    </row>
    <row r="1010">
      <c r="A1010" s="17"/>
      <c r="B1010" s="23"/>
      <c r="C1010" s="17">
        <f>IFERROR(__xludf.DUMMYFUNCTION("""COMPUTED_VALUE"""),43544.0449768634)</f>
        <v>43544.04498</v>
      </c>
      <c r="D1010" s="23">
        <f>IFERROR(__xludf.DUMMYFUNCTION("""COMPUTED_VALUE"""),1.032)</f>
        <v>1.032</v>
      </c>
      <c r="E1010" s="24">
        <f>IFERROR(__xludf.DUMMYFUNCTION("""COMPUTED_VALUE"""),66.0)</f>
        <v>66</v>
      </c>
      <c r="F1010" s="27" t="str">
        <f>IFERROR(__xludf.DUMMYFUNCTION("""COMPUTED_VALUE"""),"BLACK")</f>
        <v>BLACK</v>
      </c>
      <c r="G1010" s="28" t="str">
        <f>IFERROR(__xludf.DUMMYFUNCTION("""COMPUTED_VALUE"""),"First Times a Charm Cider")</f>
        <v>First Times a Charm Cider</v>
      </c>
      <c r="H1010" s="27" t="str">
        <f>IFERROR(__xludf.DUMMYFUNCTION("""COMPUTED_VALUE"""),"")</f>
        <v/>
      </c>
    </row>
    <row r="1011">
      <c r="A1011" s="17"/>
      <c r="B1011" s="23"/>
      <c r="C1011" s="17">
        <f>IFERROR(__xludf.DUMMYFUNCTION("""COMPUTED_VALUE"""),43544.0345561921)</f>
        <v>43544.03456</v>
      </c>
      <c r="D1011" s="23">
        <f>IFERROR(__xludf.DUMMYFUNCTION("""COMPUTED_VALUE"""),1.032)</f>
        <v>1.032</v>
      </c>
      <c r="E1011" s="24">
        <f>IFERROR(__xludf.DUMMYFUNCTION("""COMPUTED_VALUE"""),66.0)</f>
        <v>66</v>
      </c>
      <c r="F1011" s="27" t="str">
        <f>IFERROR(__xludf.DUMMYFUNCTION("""COMPUTED_VALUE"""),"BLACK")</f>
        <v>BLACK</v>
      </c>
      <c r="G1011" s="28" t="str">
        <f>IFERROR(__xludf.DUMMYFUNCTION("""COMPUTED_VALUE"""),"First Times a Charm Cider")</f>
        <v>First Times a Charm Cider</v>
      </c>
      <c r="H1011" s="27" t="str">
        <f>IFERROR(__xludf.DUMMYFUNCTION("""COMPUTED_VALUE"""),"")</f>
        <v/>
      </c>
    </row>
    <row r="1012">
      <c r="A1012" s="17"/>
      <c r="B1012" s="23"/>
      <c r="C1012" s="17">
        <f>IFERROR(__xludf.DUMMYFUNCTION("""COMPUTED_VALUE"""),43544.0241245254)</f>
        <v>43544.02412</v>
      </c>
      <c r="D1012" s="23">
        <f>IFERROR(__xludf.DUMMYFUNCTION("""COMPUTED_VALUE"""),1.032)</f>
        <v>1.032</v>
      </c>
      <c r="E1012" s="24">
        <f>IFERROR(__xludf.DUMMYFUNCTION("""COMPUTED_VALUE"""),66.0)</f>
        <v>66</v>
      </c>
      <c r="F1012" s="27" t="str">
        <f>IFERROR(__xludf.DUMMYFUNCTION("""COMPUTED_VALUE"""),"BLACK")</f>
        <v>BLACK</v>
      </c>
      <c r="G1012" s="28" t="str">
        <f>IFERROR(__xludf.DUMMYFUNCTION("""COMPUTED_VALUE"""),"First Times a Charm Cider")</f>
        <v>First Times a Charm Cider</v>
      </c>
      <c r="H1012" s="27" t="str">
        <f>IFERROR(__xludf.DUMMYFUNCTION("""COMPUTED_VALUE"""),"")</f>
        <v/>
      </c>
    </row>
    <row r="1013">
      <c r="A1013" s="17"/>
      <c r="B1013" s="23"/>
      <c r="C1013" s="17">
        <f>IFERROR(__xludf.DUMMYFUNCTION("""COMPUTED_VALUE"""),43544.0137038657)</f>
        <v>43544.0137</v>
      </c>
      <c r="D1013" s="23">
        <f>IFERROR(__xludf.DUMMYFUNCTION("""COMPUTED_VALUE"""),1.032)</f>
        <v>1.032</v>
      </c>
      <c r="E1013" s="24">
        <f>IFERROR(__xludf.DUMMYFUNCTION("""COMPUTED_VALUE"""),66.0)</f>
        <v>66</v>
      </c>
      <c r="F1013" s="27" t="str">
        <f>IFERROR(__xludf.DUMMYFUNCTION("""COMPUTED_VALUE"""),"BLACK")</f>
        <v>BLACK</v>
      </c>
      <c r="G1013" s="28" t="str">
        <f>IFERROR(__xludf.DUMMYFUNCTION("""COMPUTED_VALUE"""),"First Times a Charm Cider")</f>
        <v>First Times a Charm Cider</v>
      </c>
      <c r="H1013" s="27" t="str">
        <f>IFERROR(__xludf.DUMMYFUNCTION("""COMPUTED_VALUE"""),"")</f>
        <v/>
      </c>
    </row>
    <row r="1014">
      <c r="A1014" s="17"/>
      <c r="B1014" s="23"/>
      <c r="C1014" s="17">
        <f>IFERROR(__xludf.DUMMYFUNCTION("""COMPUTED_VALUE"""),43544.0032832175)</f>
        <v>43544.00328</v>
      </c>
      <c r="D1014" s="23">
        <f>IFERROR(__xludf.DUMMYFUNCTION("""COMPUTED_VALUE"""),1.032)</f>
        <v>1.032</v>
      </c>
      <c r="E1014" s="24">
        <f>IFERROR(__xludf.DUMMYFUNCTION("""COMPUTED_VALUE"""),66.0)</f>
        <v>66</v>
      </c>
      <c r="F1014" s="27" t="str">
        <f>IFERROR(__xludf.DUMMYFUNCTION("""COMPUTED_VALUE"""),"BLACK")</f>
        <v>BLACK</v>
      </c>
      <c r="G1014" s="28" t="str">
        <f>IFERROR(__xludf.DUMMYFUNCTION("""COMPUTED_VALUE"""),"First Times a Charm Cider")</f>
        <v>First Times a Charm Cider</v>
      </c>
      <c r="H1014" s="27" t="str">
        <f>IFERROR(__xludf.DUMMYFUNCTION("""COMPUTED_VALUE"""),"")</f>
        <v/>
      </c>
    </row>
    <row r="1015">
      <c r="A1015" s="17"/>
      <c r="B1015" s="23"/>
      <c r="C1015" s="17">
        <f>IFERROR(__xludf.DUMMYFUNCTION("""COMPUTED_VALUE"""),43543.9928612499)</f>
        <v>43543.99286</v>
      </c>
      <c r="D1015" s="23">
        <f>IFERROR(__xludf.DUMMYFUNCTION("""COMPUTED_VALUE"""),1.032)</f>
        <v>1.032</v>
      </c>
      <c r="E1015" s="24">
        <f>IFERROR(__xludf.DUMMYFUNCTION("""COMPUTED_VALUE"""),66.0)</f>
        <v>66</v>
      </c>
      <c r="F1015" s="27" t="str">
        <f>IFERROR(__xludf.DUMMYFUNCTION("""COMPUTED_VALUE"""),"BLACK")</f>
        <v>BLACK</v>
      </c>
      <c r="G1015" s="28" t="str">
        <f>IFERROR(__xludf.DUMMYFUNCTION("""COMPUTED_VALUE"""),"First Times a Charm Cider")</f>
        <v>First Times a Charm Cider</v>
      </c>
      <c r="H1015" s="27" t="str">
        <f>IFERROR(__xludf.DUMMYFUNCTION("""COMPUTED_VALUE"""),"")</f>
        <v/>
      </c>
    </row>
    <row r="1016">
      <c r="A1016" s="17"/>
      <c r="B1016" s="23"/>
      <c r="C1016" s="17">
        <f>IFERROR(__xludf.DUMMYFUNCTION("""COMPUTED_VALUE"""),43543.9824389583)</f>
        <v>43543.98244</v>
      </c>
      <c r="D1016" s="23">
        <f>IFERROR(__xludf.DUMMYFUNCTION("""COMPUTED_VALUE"""),1.032)</f>
        <v>1.032</v>
      </c>
      <c r="E1016" s="24">
        <f>IFERROR(__xludf.DUMMYFUNCTION("""COMPUTED_VALUE"""),66.0)</f>
        <v>66</v>
      </c>
      <c r="F1016" s="27" t="str">
        <f>IFERROR(__xludf.DUMMYFUNCTION("""COMPUTED_VALUE"""),"BLACK")</f>
        <v>BLACK</v>
      </c>
      <c r="G1016" s="28" t="str">
        <f>IFERROR(__xludf.DUMMYFUNCTION("""COMPUTED_VALUE"""),"First Times a Charm Cider")</f>
        <v>First Times a Charm Cider</v>
      </c>
      <c r="H1016" s="27" t="str">
        <f>IFERROR(__xludf.DUMMYFUNCTION("""COMPUTED_VALUE"""),"")</f>
        <v/>
      </c>
    </row>
    <row r="1017">
      <c r="A1017" s="17"/>
      <c r="B1017" s="23"/>
      <c r="C1017" s="17">
        <f>IFERROR(__xludf.DUMMYFUNCTION("""COMPUTED_VALUE"""),43543.9720071296)</f>
        <v>43543.97201</v>
      </c>
      <c r="D1017" s="23">
        <f>IFERROR(__xludf.DUMMYFUNCTION("""COMPUTED_VALUE"""),1.032)</f>
        <v>1.032</v>
      </c>
      <c r="E1017" s="24">
        <f>IFERROR(__xludf.DUMMYFUNCTION("""COMPUTED_VALUE"""),66.0)</f>
        <v>66</v>
      </c>
      <c r="F1017" s="27" t="str">
        <f>IFERROR(__xludf.DUMMYFUNCTION("""COMPUTED_VALUE"""),"BLACK")</f>
        <v>BLACK</v>
      </c>
      <c r="G1017" s="28" t="str">
        <f>IFERROR(__xludf.DUMMYFUNCTION("""COMPUTED_VALUE"""),"First Times a Charm Cider")</f>
        <v>First Times a Charm Cider</v>
      </c>
      <c r="H1017" s="27" t="str">
        <f>IFERROR(__xludf.DUMMYFUNCTION("""COMPUTED_VALUE"""),"")</f>
        <v/>
      </c>
    </row>
    <row r="1018">
      <c r="A1018" s="17"/>
      <c r="B1018" s="23"/>
      <c r="C1018" s="17">
        <f>IFERROR(__xludf.DUMMYFUNCTION("""COMPUTED_VALUE"""),43543.9615734259)</f>
        <v>43543.96157</v>
      </c>
      <c r="D1018" s="23">
        <f>IFERROR(__xludf.DUMMYFUNCTION("""COMPUTED_VALUE"""),1.032)</f>
        <v>1.032</v>
      </c>
      <c r="E1018" s="24">
        <f>IFERROR(__xludf.DUMMYFUNCTION("""COMPUTED_VALUE"""),66.0)</f>
        <v>66</v>
      </c>
      <c r="F1018" s="27" t="str">
        <f>IFERROR(__xludf.DUMMYFUNCTION("""COMPUTED_VALUE"""),"BLACK")</f>
        <v>BLACK</v>
      </c>
      <c r="G1018" s="28" t="str">
        <f>IFERROR(__xludf.DUMMYFUNCTION("""COMPUTED_VALUE"""),"First Times a Charm Cider")</f>
        <v>First Times a Charm Cider</v>
      </c>
      <c r="H1018" s="27" t="str">
        <f>IFERROR(__xludf.DUMMYFUNCTION("""COMPUTED_VALUE"""),"")</f>
        <v/>
      </c>
    </row>
    <row r="1019">
      <c r="A1019" s="17"/>
      <c r="B1019" s="23"/>
      <c r="C1019" s="17">
        <f>IFERROR(__xludf.DUMMYFUNCTION("""COMPUTED_VALUE"""),43543.9511518287)</f>
        <v>43543.95115</v>
      </c>
      <c r="D1019" s="23">
        <f>IFERROR(__xludf.DUMMYFUNCTION("""COMPUTED_VALUE"""),1.032)</f>
        <v>1.032</v>
      </c>
      <c r="E1019" s="24">
        <f>IFERROR(__xludf.DUMMYFUNCTION("""COMPUTED_VALUE"""),66.0)</f>
        <v>66</v>
      </c>
      <c r="F1019" s="27" t="str">
        <f>IFERROR(__xludf.DUMMYFUNCTION("""COMPUTED_VALUE"""),"BLACK")</f>
        <v>BLACK</v>
      </c>
      <c r="G1019" s="28" t="str">
        <f>IFERROR(__xludf.DUMMYFUNCTION("""COMPUTED_VALUE"""),"First Times a Charm Cider")</f>
        <v>First Times a Charm Cider</v>
      </c>
      <c r="H1019" s="27" t="str">
        <f>IFERROR(__xludf.DUMMYFUNCTION("""COMPUTED_VALUE"""),"")</f>
        <v/>
      </c>
    </row>
    <row r="1020">
      <c r="A1020" s="17"/>
      <c r="B1020" s="23"/>
      <c r="C1020" s="17">
        <f>IFERROR(__xludf.DUMMYFUNCTION("""COMPUTED_VALUE"""),43543.9407182638)</f>
        <v>43543.94072</v>
      </c>
      <c r="D1020" s="23">
        <f>IFERROR(__xludf.DUMMYFUNCTION("""COMPUTED_VALUE"""),1.032)</f>
        <v>1.032</v>
      </c>
      <c r="E1020" s="24">
        <f>IFERROR(__xludf.DUMMYFUNCTION("""COMPUTED_VALUE"""),66.0)</f>
        <v>66</v>
      </c>
      <c r="F1020" s="27" t="str">
        <f>IFERROR(__xludf.DUMMYFUNCTION("""COMPUTED_VALUE"""),"BLACK")</f>
        <v>BLACK</v>
      </c>
      <c r="G1020" s="28" t="str">
        <f>IFERROR(__xludf.DUMMYFUNCTION("""COMPUTED_VALUE"""),"First Times a Charm Cider")</f>
        <v>First Times a Charm Cider</v>
      </c>
      <c r="H1020" s="27" t="str">
        <f>IFERROR(__xludf.DUMMYFUNCTION("""COMPUTED_VALUE"""),"")</f>
        <v/>
      </c>
    </row>
    <row r="1021">
      <c r="A1021" s="17"/>
      <c r="B1021" s="23"/>
      <c r="C1021" s="17">
        <f>IFERROR(__xludf.DUMMYFUNCTION("""COMPUTED_VALUE"""),43543.9302957638)</f>
        <v>43543.9303</v>
      </c>
      <c r="D1021" s="23">
        <f>IFERROR(__xludf.DUMMYFUNCTION("""COMPUTED_VALUE"""),1.032)</f>
        <v>1.032</v>
      </c>
      <c r="E1021" s="24">
        <f>IFERROR(__xludf.DUMMYFUNCTION("""COMPUTED_VALUE"""),66.0)</f>
        <v>66</v>
      </c>
      <c r="F1021" s="27" t="str">
        <f>IFERROR(__xludf.DUMMYFUNCTION("""COMPUTED_VALUE"""),"BLACK")</f>
        <v>BLACK</v>
      </c>
      <c r="G1021" s="28" t="str">
        <f>IFERROR(__xludf.DUMMYFUNCTION("""COMPUTED_VALUE"""),"First Times a Charm Cider")</f>
        <v>First Times a Charm Cider</v>
      </c>
      <c r="H1021" s="27" t="str">
        <f>IFERROR(__xludf.DUMMYFUNCTION("""COMPUTED_VALUE"""),"")</f>
        <v/>
      </c>
    </row>
    <row r="1022">
      <c r="A1022" s="17"/>
      <c r="B1022" s="23"/>
      <c r="C1022" s="17">
        <f>IFERROR(__xludf.DUMMYFUNCTION("""COMPUTED_VALUE"""),43543.9198522916)</f>
        <v>43543.91985</v>
      </c>
      <c r="D1022" s="23">
        <f>IFERROR(__xludf.DUMMYFUNCTION("""COMPUTED_VALUE"""),1.032)</f>
        <v>1.032</v>
      </c>
      <c r="E1022" s="24">
        <f>IFERROR(__xludf.DUMMYFUNCTION("""COMPUTED_VALUE"""),65.0)</f>
        <v>65</v>
      </c>
      <c r="F1022" s="27" t="str">
        <f>IFERROR(__xludf.DUMMYFUNCTION("""COMPUTED_VALUE"""),"BLACK")</f>
        <v>BLACK</v>
      </c>
      <c r="G1022" s="28" t="str">
        <f>IFERROR(__xludf.DUMMYFUNCTION("""COMPUTED_VALUE"""),"First Times a Charm Cider")</f>
        <v>First Times a Charm Cider</v>
      </c>
      <c r="H1022" s="27" t="str">
        <f>IFERROR(__xludf.DUMMYFUNCTION("""COMPUTED_VALUE"""),"")</f>
        <v/>
      </c>
    </row>
    <row r="1023">
      <c r="A1023" s="17"/>
      <c r="B1023" s="23"/>
      <c r="C1023" s="17">
        <f>IFERROR(__xludf.DUMMYFUNCTION("""COMPUTED_VALUE"""),43543.9094318981)</f>
        <v>43543.90943</v>
      </c>
      <c r="D1023" s="23">
        <f>IFERROR(__xludf.DUMMYFUNCTION("""COMPUTED_VALUE"""),1.032)</f>
        <v>1.032</v>
      </c>
      <c r="E1023" s="24">
        <f>IFERROR(__xludf.DUMMYFUNCTION("""COMPUTED_VALUE"""),66.0)</f>
        <v>66</v>
      </c>
      <c r="F1023" s="27" t="str">
        <f>IFERROR(__xludf.DUMMYFUNCTION("""COMPUTED_VALUE"""),"BLACK")</f>
        <v>BLACK</v>
      </c>
      <c r="G1023" s="28" t="str">
        <f>IFERROR(__xludf.DUMMYFUNCTION("""COMPUTED_VALUE"""),"First Times a Charm Cider")</f>
        <v>First Times a Charm Cider</v>
      </c>
      <c r="H1023" s="27" t="str">
        <f>IFERROR(__xludf.DUMMYFUNCTION("""COMPUTED_VALUE"""),"")</f>
        <v/>
      </c>
    </row>
    <row r="1024">
      <c r="A1024" s="17"/>
      <c r="B1024" s="23"/>
      <c r="C1024" s="17">
        <f>IFERROR(__xludf.DUMMYFUNCTION("""COMPUTED_VALUE"""),43543.8990107754)</f>
        <v>43543.89901</v>
      </c>
      <c r="D1024" s="23">
        <f>IFERROR(__xludf.DUMMYFUNCTION("""COMPUTED_VALUE"""),1.032)</f>
        <v>1.032</v>
      </c>
      <c r="E1024" s="24">
        <f>IFERROR(__xludf.DUMMYFUNCTION("""COMPUTED_VALUE"""),65.0)</f>
        <v>65</v>
      </c>
      <c r="F1024" s="27" t="str">
        <f>IFERROR(__xludf.DUMMYFUNCTION("""COMPUTED_VALUE"""),"BLACK")</f>
        <v>BLACK</v>
      </c>
      <c r="G1024" s="28" t="str">
        <f>IFERROR(__xludf.DUMMYFUNCTION("""COMPUTED_VALUE"""),"First Times a Charm Cider")</f>
        <v>First Times a Charm Cider</v>
      </c>
      <c r="H1024" s="27" t="str">
        <f>IFERROR(__xludf.DUMMYFUNCTION("""COMPUTED_VALUE"""),"")</f>
        <v/>
      </c>
    </row>
    <row r="1025">
      <c r="A1025" s="17"/>
      <c r="B1025" s="23"/>
      <c r="C1025" s="17">
        <f>IFERROR(__xludf.DUMMYFUNCTION("""COMPUTED_VALUE"""),43543.8885893518)</f>
        <v>43543.88859</v>
      </c>
      <c r="D1025" s="23">
        <f>IFERROR(__xludf.DUMMYFUNCTION("""COMPUTED_VALUE"""),1.032)</f>
        <v>1.032</v>
      </c>
      <c r="E1025" s="24">
        <f>IFERROR(__xludf.DUMMYFUNCTION("""COMPUTED_VALUE"""),65.0)</f>
        <v>65</v>
      </c>
      <c r="F1025" s="27" t="str">
        <f>IFERROR(__xludf.DUMMYFUNCTION("""COMPUTED_VALUE"""),"BLACK")</f>
        <v>BLACK</v>
      </c>
      <c r="G1025" s="28" t="str">
        <f>IFERROR(__xludf.DUMMYFUNCTION("""COMPUTED_VALUE"""),"First Times a Charm Cider")</f>
        <v>First Times a Charm Cider</v>
      </c>
      <c r="H1025" s="27" t="str">
        <f>IFERROR(__xludf.DUMMYFUNCTION("""COMPUTED_VALUE"""),"")</f>
        <v/>
      </c>
    </row>
    <row r="1026">
      <c r="A1026" s="17"/>
      <c r="B1026" s="23"/>
      <c r="C1026" s="17">
        <f>IFERROR(__xludf.DUMMYFUNCTION("""COMPUTED_VALUE"""),43543.8781666782)</f>
        <v>43543.87817</v>
      </c>
      <c r="D1026" s="23">
        <f>IFERROR(__xludf.DUMMYFUNCTION("""COMPUTED_VALUE"""),1.032)</f>
        <v>1.032</v>
      </c>
      <c r="E1026" s="24">
        <f>IFERROR(__xludf.DUMMYFUNCTION("""COMPUTED_VALUE"""),65.0)</f>
        <v>65</v>
      </c>
      <c r="F1026" s="27" t="str">
        <f>IFERROR(__xludf.DUMMYFUNCTION("""COMPUTED_VALUE"""),"BLACK")</f>
        <v>BLACK</v>
      </c>
      <c r="G1026" s="28" t="str">
        <f>IFERROR(__xludf.DUMMYFUNCTION("""COMPUTED_VALUE"""),"First Times a Charm Cider")</f>
        <v>First Times a Charm Cider</v>
      </c>
      <c r="H1026" s="27" t="str">
        <f>IFERROR(__xludf.DUMMYFUNCTION("""COMPUTED_VALUE"""),"")</f>
        <v/>
      </c>
    </row>
    <row r="1027">
      <c r="A1027" s="17"/>
      <c r="B1027" s="23"/>
      <c r="C1027" s="17">
        <f>IFERROR(__xludf.DUMMYFUNCTION("""COMPUTED_VALUE"""),43543.8677419097)</f>
        <v>43543.86774</v>
      </c>
      <c r="D1027" s="23">
        <f>IFERROR(__xludf.DUMMYFUNCTION("""COMPUTED_VALUE"""),1.032)</f>
        <v>1.032</v>
      </c>
      <c r="E1027" s="24">
        <f>IFERROR(__xludf.DUMMYFUNCTION("""COMPUTED_VALUE"""),65.0)</f>
        <v>65</v>
      </c>
      <c r="F1027" s="27" t="str">
        <f>IFERROR(__xludf.DUMMYFUNCTION("""COMPUTED_VALUE"""),"BLACK")</f>
        <v>BLACK</v>
      </c>
      <c r="G1027" s="28" t="str">
        <f>IFERROR(__xludf.DUMMYFUNCTION("""COMPUTED_VALUE"""),"First Times a Charm Cider")</f>
        <v>First Times a Charm Cider</v>
      </c>
      <c r="H1027" s="27" t="str">
        <f>IFERROR(__xludf.DUMMYFUNCTION("""COMPUTED_VALUE"""),"")</f>
        <v/>
      </c>
    </row>
    <row r="1028">
      <c r="A1028" s="17"/>
      <c r="B1028" s="23"/>
      <c r="C1028" s="17">
        <f>IFERROR(__xludf.DUMMYFUNCTION("""COMPUTED_VALUE"""),43543.8573211805)</f>
        <v>43543.85732</v>
      </c>
      <c r="D1028" s="23">
        <f>IFERROR(__xludf.DUMMYFUNCTION("""COMPUTED_VALUE"""),1.032)</f>
        <v>1.032</v>
      </c>
      <c r="E1028" s="24">
        <f>IFERROR(__xludf.DUMMYFUNCTION("""COMPUTED_VALUE"""),65.0)</f>
        <v>65</v>
      </c>
      <c r="F1028" s="27" t="str">
        <f>IFERROR(__xludf.DUMMYFUNCTION("""COMPUTED_VALUE"""),"BLACK")</f>
        <v>BLACK</v>
      </c>
      <c r="G1028" s="28" t="str">
        <f>IFERROR(__xludf.DUMMYFUNCTION("""COMPUTED_VALUE"""),"First Times a Charm Cider")</f>
        <v>First Times a Charm Cider</v>
      </c>
      <c r="H1028" s="27" t="str">
        <f>IFERROR(__xludf.DUMMYFUNCTION("""COMPUTED_VALUE"""),"")</f>
        <v/>
      </c>
    </row>
    <row r="1029">
      <c r="A1029" s="17"/>
      <c r="B1029" s="23"/>
      <c r="C1029" s="17">
        <f>IFERROR(__xludf.DUMMYFUNCTION("""COMPUTED_VALUE"""),43543.8469003703)</f>
        <v>43543.8469</v>
      </c>
      <c r="D1029" s="23">
        <f>IFERROR(__xludf.DUMMYFUNCTION("""COMPUTED_VALUE"""),1.032)</f>
        <v>1.032</v>
      </c>
      <c r="E1029" s="24">
        <f>IFERROR(__xludf.DUMMYFUNCTION("""COMPUTED_VALUE"""),65.0)</f>
        <v>65</v>
      </c>
      <c r="F1029" s="27" t="str">
        <f>IFERROR(__xludf.DUMMYFUNCTION("""COMPUTED_VALUE"""),"BLACK")</f>
        <v>BLACK</v>
      </c>
      <c r="G1029" s="28" t="str">
        <f>IFERROR(__xludf.DUMMYFUNCTION("""COMPUTED_VALUE"""),"First Times a Charm Cider")</f>
        <v>First Times a Charm Cider</v>
      </c>
      <c r="H1029" s="27" t="str">
        <f>IFERROR(__xludf.DUMMYFUNCTION("""COMPUTED_VALUE"""),"")</f>
        <v/>
      </c>
    </row>
    <row r="1030">
      <c r="A1030" s="17"/>
      <c r="B1030" s="23"/>
      <c r="C1030" s="17">
        <f>IFERROR(__xludf.DUMMYFUNCTION("""COMPUTED_VALUE"""),43543.8364695023)</f>
        <v>43543.83647</v>
      </c>
      <c r="D1030" s="23">
        <f>IFERROR(__xludf.DUMMYFUNCTION("""COMPUTED_VALUE"""),1.032)</f>
        <v>1.032</v>
      </c>
      <c r="E1030" s="24">
        <f>IFERROR(__xludf.DUMMYFUNCTION("""COMPUTED_VALUE"""),65.0)</f>
        <v>65</v>
      </c>
      <c r="F1030" s="27" t="str">
        <f>IFERROR(__xludf.DUMMYFUNCTION("""COMPUTED_VALUE"""),"BLACK")</f>
        <v>BLACK</v>
      </c>
      <c r="G1030" s="28" t="str">
        <f>IFERROR(__xludf.DUMMYFUNCTION("""COMPUTED_VALUE"""),"First Times a Charm Cider")</f>
        <v>First Times a Charm Cider</v>
      </c>
      <c r="H1030" s="27" t="str">
        <f>IFERROR(__xludf.DUMMYFUNCTION("""COMPUTED_VALUE"""),"")</f>
        <v/>
      </c>
    </row>
    <row r="1031">
      <c r="A1031" s="17"/>
      <c r="B1031" s="23"/>
      <c r="C1031" s="17">
        <f>IFERROR(__xludf.DUMMYFUNCTION("""COMPUTED_VALUE"""),43543.8260492476)</f>
        <v>43543.82605</v>
      </c>
      <c r="D1031" s="23">
        <f>IFERROR(__xludf.DUMMYFUNCTION("""COMPUTED_VALUE"""),1.032)</f>
        <v>1.032</v>
      </c>
      <c r="E1031" s="24">
        <f>IFERROR(__xludf.DUMMYFUNCTION("""COMPUTED_VALUE"""),65.0)</f>
        <v>65</v>
      </c>
      <c r="F1031" s="27" t="str">
        <f>IFERROR(__xludf.DUMMYFUNCTION("""COMPUTED_VALUE"""),"BLACK")</f>
        <v>BLACK</v>
      </c>
      <c r="G1031" s="28" t="str">
        <f>IFERROR(__xludf.DUMMYFUNCTION("""COMPUTED_VALUE"""),"First Times a Charm Cider")</f>
        <v>First Times a Charm Cider</v>
      </c>
      <c r="H1031" s="27" t="str">
        <f>IFERROR(__xludf.DUMMYFUNCTION("""COMPUTED_VALUE"""),"")</f>
        <v/>
      </c>
    </row>
    <row r="1032">
      <c r="A1032" s="17"/>
      <c r="B1032" s="23"/>
      <c r="C1032" s="17">
        <f>IFERROR(__xludf.DUMMYFUNCTION("""COMPUTED_VALUE"""),43543.8156264004)</f>
        <v>43543.81563</v>
      </c>
      <c r="D1032" s="23">
        <f>IFERROR(__xludf.DUMMYFUNCTION("""COMPUTED_VALUE"""),1.032)</f>
        <v>1.032</v>
      </c>
      <c r="E1032" s="24">
        <f>IFERROR(__xludf.DUMMYFUNCTION("""COMPUTED_VALUE"""),65.0)</f>
        <v>65</v>
      </c>
      <c r="F1032" s="27" t="str">
        <f>IFERROR(__xludf.DUMMYFUNCTION("""COMPUTED_VALUE"""),"BLACK")</f>
        <v>BLACK</v>
      </c>
      <c r="G1032" s="28" t="str">
        <f>IFERROR(__xludf.DUMMYFUNCTION("""COMPUTED_VALUE"""),"First Times a Charm Cider")</f>
        <v>First Times a Charm Cider</v>
      </c>
      <c r="H1032" s="27" t="str">
        <f>IFERROR(__xludf.DUMMYFUNCTION("""COMPUTED_VALUE"""),"")</f>
        <v/>
      </c>
    </row>
    <row r="1033">
      <c r="A1033" s="17"/>
      <c r="B1033" s="23"/>
      <c r="C1033" s="17">
        <f>IFERROR(__xludf.DUMMYFUNCTION("""COMPUTED_VALUE"""),43543.8052066435)</f>
        <v>43543.80521</v>
      </c>
      <c r="D1033" s="23">
        <f>IFERROR(__xludf.DUMMYFUNCTION("""COMPUTED_VALUE"""),1.032)</f>
        <v>1.032</v>
      </c>
      <c r="E1033" s="24">
        <f>IFERROR(__xludf.DUMMYFUNCTION("""COMPUTED_VALUE"""),65.0)</f>
        <v>65</v>
      </c>
      <c r="F1033" s="27" t="str">
        <f>IFERROR(__xludf.DUMMYFUNCTION("""COMPUTED_VALUE"""),"BLACK")</f>
        <v>BLACK</v>
      </c>
      <c r="G1033" s="28" t="str">
        <f>IFERROR(__xludf.DUMMYFUNCTION("""COMPUTED_VALUE"""),"First Times a Charm Cider")</f>
        <v>First Times a Charm Cider</v>
      </c>
      <c r="H1033" s="27" t="str">
        <f>IFERROR(__xludf.DUMMYFUNCTION("""COMPUTED_VALUE"""),"")</f>
        <v/>
      </c>
    </row>
    <row r="1034">
      <c r="A1034" s="17"/>
      <c r="B1034" s="23"/>
      <c r="C1034" s="17">
        <f>IFERROR(__xludf.DUMMYFUNCTION("""COMPUTED_VALUE"""),43543.794773287)</f>
        <v>43543.79477</v>
      </c>
      <c r="D1034" s="23">
        <f>IFERROR(__xludf.DUMMYFUNCTION("""COMPUTED_VALUE"""),1.032)</f>
        <v>1.032</v>
      </c>
      <c r="E1034" s="24">
        <f>IFERROR(__xludf.DUMMYFUNCTION("""COMPUTED_VALUE"""),65.0)</f>
        <v>65</v>
      </c>
      <c r="F1034" s="27" t="str">
        <f>IFERROR(__xludf.DUMMYFUNCTION("""COMPUTED_VALUE"""),"BLACK")</f>
        <v>BLACK</v>
      </c>
      <c r="G1034" s="28" t="str">
        <f>IFERROR(__xludf.DUMMYFUNCTION("""COMPUTED_VALUE"""),"First Times a Charm Cider")</f>
        <v>First Times a Charm Cider</v>
      </c>
      <c r="H1034" s="27" t="str">
        <f>IFERROR(__xludf.DUMMYFUNCTION("""COMPUTED_VALUE"""),"")</f>
        <v/>
      </c>
    </row>
    <row r="1035">
      <c r="A1035" s="17"/>
      <c r="B1035" s="23"/>
      <c r="C1035" s="17">
        <f>IFERROR(__xludf.DUMMYFUNCTION("""COMPUTED_VALUE"""),43543.7843537963)</f>
        <v>43543.78435</v>
      </c>
      <c r="D1035" s="23">
        <f>IFERROR(__xludf.DUMMYFUNCTION("""COMPUTED_VALUE"""),1.032)</f>
        <v>1.032</v>
      </c>
      <c r="E1035" s="24">
        <f>IFERROR(__xludf.DUMMYFUNCTION("""COMPUTED_VALUE"""),65.0)</f>
        <v>65</v>
      </c>
      <c r="F1035" s="27" t="str">
        <f>IFERROR(__xludf.DUMMYFUNCTION("""COMPUTED_VALUE"""),"BLACK")</f>
        <v>BLACK</v>
      </c>
      <c r="G1035" s="28" t="str">
        <f>IFERROR(__xludf.DUMMYFUNCTION("""COMPUTED_VALUE"""),"First Times a Charm Cider")</f>
        <v>First Times a Charm Cider</v>
      </c>
      <c r="H1035" s="27" t="str">
        <f>IFERROR(__xludf.DUMMYFUNCTION("""COMPUTED_VALUE"""),"")</f>
        <v/>
      </c>
    </row>
    <row r="1036">
      <c r="A1036" s="17"/>
      <c r="B1036" s="23"/>
      <c r="C1036" s="17">
        <f>IFERROR(__xludf.DUMMYFUNCTION("""COMPUTED_VALUE"""),43543.7739342361)</f>
        <v>43543.77393</v>
      </c>
      <c r="D1036" s="23">
        <f>IFERROR(__xludf.DUMMYFUNCTION("""COMPUTED_VALUE"""),1.032)</f>
        <v>1.032</v>
      </c>
      <c r="E1036" s="24">
        <f>IFERROR(__xludf.DUMMYFUNCTION("""COMPUTED_VALUE"""),65.0)</f>
        <v>65</v>
      </c>
      <c r="F1036" s="27" t="str">
        <f>IFERROR(__xludf.DUMMYFUNCTION("""COMPUTED_VALUE"""),"BLACK")</f>
        <v>BLACK</v>
      </c>
      <c r="G1036" s="28" t="str">
        <f>IFERROR(__xludf.DUMMYFUNCTION("""COMPUTED_VALUE"""),"First Times a Charm Cider")</f>
        <v>First Times a Charm Cider</v>
      </c>
      <c r="H1036" s="27" t="str">
        <f>IFERROR(__xludf.DUMMYFUNCTION("""COMPUTED_VALUE"""),"")</f>
        <v/>
      </c>
    </row>
    <row r="1037">
      <c r="A1037" s="17"/>
      <c r="B1037" s="23"/>
      <c r="C1037" s="17">
        <f>IFERROR(__xludf.DUMMYFUNCTION("""COMPUTED_VALUE"""),43543.7635016435)</f>
        <v>43543.7635</v>
      </c>
      <c r="D1037" s="23">
        <f>IFERROR(__xludf.DUMMYFUNCTION("""COMPUTED_VALUE"""),1.032)</f>
        <v>1.032</v>
      </c>
      <c r="E1037" s="24">
        <f>IFERROR(__xludf.DUMMYFUNCTION("""COMPUTED_VALUE"""),66.0)</f>
        <v>66</v>
      </c>
      <c r="F1037" s="27" t="str">
        <f>IFERROR(__xludf.DUMMYFUNCTION("""COMPUTED_VALUE"""),"BLACK")</f>
        <v>BLACK</v>
      </c>
      <c r="G1037" s="28" t="str">
        <f>IFERROR(__xludf.DUMMYFUNCTION("""COMPUTED_VALUE"""),"First Times a Charm Cider")</f>
        <v>First Times a Charm Cider</v>
      </c>
      <c r="H1037" s="27" t="str">
        <f>IFERROR(__xludf.DUMMYFUNCTION("""COMPUTED_VALUE"""),"")</f>
        <v/>
      </c>
    </row>
    <row r="1038">
      <c r="A1038" s="17"/>
      <c r="B1038" s="23"/>
      <c r="C1038" s="17">
        <f>IFERROR(__xludf.DUMMYFUNCTION("""COMPUTED_VALUE"""),43543.7530584722)</f>
        <v>43543.75306</v>
      </c>
      <c r="D1038" s="23">
        <f>IFERROR(__xludf.DUMMYFUNCTION("""COMPUTED_VALUE"""),1.032)</f>
        <v>1.032</v>
      </c>
      <c r="E1038" s="24">
        <f>IFERROR(__xludf.DUMMYFUNCTION("""COMPUTED_VALUE"""),66.0)</f>
        <v>66</v>
      </c>
      <c r="F1038" s="27" t="str">
        <f>IFERROR(__xludf.DUMMYFUNCTION("""COMPUTED_VALUE"""),"BLACK")</f>
        <v>BLACK</v>
      </c>
      <c r="G1038" s="28" t="str">
        <f>IFERROR(__xludf.DUMMYFUNCTION("""COMPUTED_VALUE"""),"First Times a Charm Cider")</f>
        <v>First Times a Charm Cider</v>
      </c>
      <c r="H1038" s="27" t="str">
        <f>IFERROR(__xludf.DUMMYFUNCTION("""COMPUTED_VALUE"""),"")</f>
        <v/>
      </c>
    </row>
    <row r="1039">
      <c r="A1039" s="17"/>
      <c r="B1039" s="23"/>
      <c r="C1039" s="17">
        <f>IFERROR(__xludf.DUMMYFUNCTION("""COMPUTED_VALUE"""),43543.7426375231)</f>
        <v>43543.74264</v>
      </c>
      <c r="D1039" s="23">
        <f>IFERROR(__xludf.DUMMYFUNCTION("""COMPUTED_VALUE"""),1.032)</f>
        <v>1.032</v>
      </c>
      <c r="E1039" s="24">
        <f>IFERROR(__xludf.DUMMYFUNCTION("""COMPUTED_VALUE"""),66.0)</f>
        <v>66</v>
      </c>
      <c r="F1039" s="27" t="str">
        <f>IFERROR(__xludf.DUMMYFUNCTION("""COMPUTED_VALUE"""),"BLACK")</f>
        <v>BLACK</v>
      </c>
      <c r="G1039" s="28" t="str">
        <f>IFERROR(__xludf.DUMMYFUNCTION("""COMPUTED_VALUE"""),"First Times a Charm Cider")</f>
        <v>First Times a Charm Cider</v>
      </c>
      <c r="H1039" s="27" t="str">
        <f>IFERROR(__xludf.DUMMYFUNCTION("""COMPUTED_VALUE"""),"")</f>
        <v/>
      </c>
    </row>
    <row r="1040">
      <c r="A1040" s="17"/>
      <c r="B1040" s="23"/>
      <c r="C1040" s="17">
        <f>IFERROR(__xludf.DUMMYFUNCTION("""COMPUTED_VALUE"""),43543.7321695486)</f>
        <v>43543.73217</v>
      </c>
      <c r="D1040" s="23">
        <f>IFERROR(__xludf.DUMMYFUNCTION("""COMPUTED_VALUE"""),1.032)</f>
        <v>1.032</v>
      </c>
      <c r="E1040" s="24">
        <f>IFERROR(__xludf.DUMMYFUNCTION("""COMPUTED_VALUE"""),66.0)</f>
        <v>66</v>
      </c>
      <c r="F1040" s="27" t="str">
        <f>IFERROR(__xludf.DUMMYFUNCTION("""COMPUTED_VALUE"""),"BLACK")</f>
        <v>BLACK</v>
      </c>
      <c r="G1040" s="28" t="str">
        <f>IFERROR(__xludf.DUMMYFUNCTION("""COMPUTED_VALUE"""),"First Times a Charm Cider")</f>
        <v>First Times a Charm Cider</v>
      </c>
      <c r="H1040" s="27" t="str">
        <f>IFERROR(__xludf.DUMMYFUNCTION("""COMPUTED_VALUE"""),"")</f>
        <v/>
      </c>
    </row>
    <row r="1041">
      <c r="A1041" s="17"/>
      <c r="B1041" s="23"/>
      <c r="C1041" s="17">
        <f>IFERROR(__xludf.DUMMYFUNCTION("""COMPUTED_VALUE"""),43543.7217465393)</f>
        <v>43543.72175</v>
      </c>
      <c r="D1041" s="23">
        <f>IFERROR(__xludf.DUMMYFUNCTION("""COMPUTED_VALUE"""),1.033)</f>
        <v>1.033</v>
      </c>
      <c r="E1041" s="24">
        <f>IFERROR(__xludf.DUMMYFUNCTION("""COMPUTED_VALUE"""),66.0)</f>
        <v>66</v>
      </c>
      <c r="F1041" s="27" t="str">
        <f>IFERROR(__xludf.DUMMYFUNCTION("""COMPUTED_VALUE"""),"BLACK")</f>
        <v>BLACK</v>
      </c>
      <c r="G1041" s="28" t="str">
        <f>IFERROR(__xludf.DUMMYFUNCTION("""COMPUTED_VALUE"""),"First Times a Charm Cider")</f>
        <v>First Times a Charm Cider</v>
      </c>
      <c r="H1041" s="27" t="str">
        <f>IFERROR(__xludf.DUMMYFUNCTION("""COMPUTED_VALUE"""),"")</f>
        <v/>
      </c>
    </row>
    <row r="1042">
      <c r="A1042" s="17"/>
      <c r="B1042" s="23"/>
      <c r="C1042" s="17">
        <f>IFERROR(__xludf.DUMMYFUNCTION("""COMPUTED_VALUE"""),43543.7113245023)</f>
        <v>43543.71132</v>
      </c>
      <c r="D1042" s="23">
        <f>IFERROR(__xludf.DUMMYFUNCTION("""COMPUTED_VALUE"""),1.032)</f>
        <v>1.032</v>
      </c>
      <c r="E1042" s="24">
        <f>IFERROR(__xludf.DUMMYFUNCTION("""COMPUTED_VALUE"""),66.0)</f>
        <v>66</v>
      </c>
      <c r="F1042" s="27" t="str">
        <f>IFERROR(__xludf.DUMMYFUNCTION("""COMPUTED_VALUE"""),"BLACK")</f>
        <v>BLACK</v>
      </c>
      <c r="G1042" s="28" t="str">
        <f>IFERROR(__xludf.DUMMYFUNCTION("""COMPUTED_VALUE"""),"First Times a Charm Cider")</f>
        <v>First Times a Charm Cider</v>
      </c>
      <c r="H1042" s="27" t="str">
        <f>IFERROR(__xludf.DUMMYFUNCTION("""COMPUTED_VALUE"""),"")</f>
        <v/>
      </c>
    </row>
    <row r="1043">
      <c r="A1043" s="17"/>
      <c r="B1043" s="23"/>
      <c r="C1043" s="17">
        <f>IFERROR(__xludf.DUMMYFUNCTION("""COMPUTED_VALUE"""),43543.7009034143)</f>
        <v>43543.7009</v>
      </c>
      <c r="D1043" s="23">
        <f>IFERROR(__xludf.DUMMYFUNCTION("""COMPUTED_VALUE"""),1.032)</f>
        <v>1.032</v>
      </c>
      <c r="E1043" s="24">
        <f>IFERROR(__xludf.DUMMYFUNCTION("""COMPUTED_VALUE"""),66.0)</f>
        <v>66</v>
      </c>
      <c r="F1043" s="27" t="str">
        <f>IFERROR(__xludf.DUMMYFUNCTION("""COMPUTED_VALUE"""),"BLACK")</f>
        <v>BLACK</v>
      </c>
      <c r="G1043" s="28" t="str">
        <f>IFERROR(__xludf.DUMMYFUNCTION("""COMPUTED_VALUE"""),"First Times a Charm Cider")</f>
        <v>First Times a Charm Cider</v>
      </c>
      <c r="H1043" s="27" t="str">
        <f>IFERROR(__xludf.DUMMYFUNCTION("""COMPUTED_VALUE"""),"")</f>
        <v/>
      </c>
    </row>
    <row r="1044">
      <c r="A1044" s="17"/>
      <c r="B1044" s="23"/>
      <c r="C1044" s="17">
        <f>IFERROR(__xludf.DUMMYFUNCTION("""COMPUTED_VALUE"""),43543.6904833217)</f>
        <v>43543.69048</v>
      </c>
      <c r="D1044" s="23">
        <f>IFERROR(__xludf.DUMMYFUNCTION("""COMPUTED_VALUE"""),1.032)</f>
        <v>1.032</v>
      </c>
      <c r="E1044" s="24">
        <f>IFERROR(__xludf.DUMMYFUNCTION("""COMPUTED_VALUE"""),66.0)</f>
        <v>66</v>
      </c>
      <c r="F1044" s="27" t="str">
        <f>IFERROR(__xludf.DUMMYFUNCTION("""COMPUTED_VALUE"""),"BLACK")</f>
        <v>BLACK</v>
      </c>
      <c r="G1044" s="28" t="str">
        <f>IFERROR(__xludf.DUMMYFUNCTION("""COMPUTED_VALUE"""),"First Times a Charm Cider")</f>
        <v>First Times a Charm Cider</v>
      </c>
      <c r="H1044" s="27" t="str">
        <f>IFERROR(__xludf.DUMMYFUNCTION("""COMPUTED_VALUE"""),"")</f>
        <v/>
      </c>
    </row>
    <row r="1045">
      <c r="A1045" s="17"/>
      <c r="B1045" s="23"/>
      <c r="C1045" s="17">
        <f>IFERROR(__xludf.DUMMYFUNCTION("""COMPUTED_VALUE"""),43543.680061875)</f>
        <v>43543.68006</v>
      </c>
      <c r="D1045" s="23">
        <f>IFERROR(__xludf.DUMMYFUNCTION("""COMPUTED_VALUE"""),1.032)</f>
        <v>1.032</v>
      </c>
      <c r="E1045" s="24">
        <f>IFERROR(__xludf.DUMMYFUNCTION("""COMPUTED_VALUE"""),66.0)</f>
        <v>66</v>
      </c>
      <c r="F1045" s="27" t="str">
        <f>IFERROR(__xludf.DUMMYFUNCTION("""COMPUTED_VALUE"""),"BLACK")</f>
        <v>BLACK</v>
      </c>
      <c r="G1045" s="28" t="str">
        <f>IFERROR(__xludf.DUMMYFUNCTION("""COMPUTED_VALUE"""),"First Times a Charm Cider")</f>
        <v>First Times a Charm Cider</v>
      </c>
      <c r="H1045" s="27" t="str">
        <f>IFERROR(__xludf.DUMMYFUNCTION("""COMPUTED_VALUE"""),"")</f>
        <v/>
      </c>
    </row>
    <row r="1046">
      <c r="A1046" s="17"/>
      <c r="B1046" s="23"/>
      <c r="C1046" s="17">
        <f>IFERROR(__xludf.DUMMYFUNCTION("""COMPUTED_VALUE"""),43543.6696290972)</f>
        <v>43543.66963</v>
      </c>
      <c r="D1046" s="23">
        <f>IFERROR(__xludf.DUMMYFUNCTION("""COMPUTED_VALUE"""),1.032)</f>
        <v>1.032</v>
      </c>
      <c r="E1046" s="24">
        <f>IFERROR(__xludf.DUMMYFUNCTION("""COMPUTED_VALUE"""),66.0)</f>
        <v>66</v>
      </c>
      <c r="F1046" s="27" t="str">
        <f>IFERROR(__xludf.DUMMYFUNCTION("""COMPUTED_VALUE"""),"BLACK")</f>
        <v>BLACK</v>
      </c>
      <c r="G1046" s="28" t="str">
        <f>IFERROR(__xludf.DUMMYFUNCTION("""COMPUTED_VALUE"""),"First Times a Charm Cider")</f>
        <v>First Times a Charm Cider</v>
      </c>
      <c r="H1046" s="27" t="str">
        <f>IFERROR(__xludf.DUMMYFUNCTION("""COMPUTED_VALUE"""),"")</f>
        <v/>
      </c>
    </row>
    <row r="1047">
      <c r="A1047" s="17"/>
      <c r="B1047" s="23"/>
      <c r="C1047" s="17">
        <f>IFERROR(__xludf.DUMMYFUNCTION("""COMPUTED_VALUE"""),43543.6591714351)</f>
        <v>43543.65917</v>
      </c>
      <c r="D1047" s="23">
        <f>IFERROR(__xludf.DUMMYFUNCTION("""COMPUTED_VALUE"""),1.033)</f>
        <v>1.033</v>
      </c>
      <c r="E1047" s="24">
        <f>IFERROR(__xludf.DUMMYFUNCTION("""COMPUTED_VALUE"""),66.0)</f>
        <v>66</v>
      </c>
      <c r="F1047" s="27" t="str">
        <f>IFERROR(__xludf.DUMMYFUNCTION("""COMPUTED_VALUE"""),"BLACK")</f>
        <v>BLACK</v>
      </c>
      <c r="G1047" s="28" t="str">
        <f>IFERROR(__xludf.DUMMYFUNCTION("""COMPUTED_VALUE"""),"First Times a Charm Cider")</f>
        <v>First Times a Charm Cider</v>
      </c>
      <c r="H1047" s="27" t="str">
        <f>IFERROR(__xludf.DUMMYFUNCTION("""COMPUTED_VALUE"""),"")</f>
        <v/>
      </c>
    </row>
    <row r="1048">
      <c r="A1048" s="17"/>
      <c r="B1048" s="23"/>
      <c r="C1048" s="17">
        <f>IFERROR(__xludf.DUMMYFUNCTION("""COMPUTED_VALUE"""),43543.6487393634)</f>
        <v>43543.64874</v>
      </c>
      <c r="D1048" s="23">
        <f>IFERROR(__xludf.DUMMYFUNCTION("""COMPUTED_VALUE"""),1.033)</f>
        <v>1.033</v>
      </c>
      <c r="E1048" s="24">
        <f>IFERROR(__xludf.DUMMYFUNCTION("""COMPUTED_VALUE"""),66.0)</f>
        <v>66</v>
      </c>
      <c r="F1048" s="27" t="str">
        <f>IFERROR(__xludf.DUMMYFUNCTION("""COMPUTED_VALUE"""),"BLACK")</f>
        <v>BLACK</v>
      </c>
      <c r="G1048" s="28" t="str">
        <f>IFERROR(__xludf.DUMMYFUNCTION("""COMPUTED_VALUE"""),"First Times a Charm Cider")</f>
        <v>First Times a Charm Cider</v>
      </c>
      <c r="H1048" s="27" t="str">
        <f>IFERROR(__xludf.DUMMYFUNCTION("""COMPUTED_VALUE"""),"")</f>
        <v/>
      </c>
    </row>
    <row r="1049">
      <c r="A1049" s="17"/>
      <c r="B1049" s="23"/>
      <c r="C1049" s="17">
        <f>IFERROR(__xludf.DUMMYFUNCTION("""COMPUTED_VALUE"""),43543.6383177662)</f>
        <v>43543.63832</v>
      </c>
      <c r="D1049" s="23">
        <f>IFERROR(__xludf.DUMMYFUNCTION("""COMPUTED_VALUE"""),1.032)</f>
        <v>1.032</v>
      </c>
      <c r="E1049" s="24">
        <f>IFERROR(__xludf.DUMMYFUNCTION("""COMPUTED_VALUE"""),66.0)</f>
        <v>66</v>
      </c>
      <c r="F1049" s="27" t="str">
        <f>IFERROR(__xludf.DUMMYFUNCTION("""COMPUTED_VALUE"""),"BLACK")</f>
        <v>BLACK</v>
      </c>
      <c r="G1049" s="28" t="str">
        <f>IFERROR(__xludf.DUMMYFUNCTION("""COMPUTED_VALUE"""),"First Times a Charm Cider")</f>
        <v>First Times a Charm Cider</v>
      </c>
      <c r="H1049" s="27" t="str">
        <f>IFERROR(__xludf.DUMMYFUNCTION("""COMPUTED_VALUE"""),"")</f>
        <v/>
      </c>
    </row>
    <row r="1050">
      <c r="A1050" s="17"/>
      <c r="B1050" s="23"/>
      <c r="C1050" s="17">
        <f>IFERROR(__xludf.DUMMYFUNCTION("""COMPUTED_VALUE"""),43543.6278945486)</f>
        <v>43543.62789</v>
      </c>
      <c r="D1050" s="23">
        <f>IFERROR(__xludf.DUMMYFUNCTION("""COMPUTED_VALUE"""),1.033)</f>
        <v>1.033</v>
      </c>
      <c r="E1050" s="24">
        <f>IFERROR(__xludf.DUMMYFUNCTION("""COMPUTED_VALUE"""),66.0)</f>
        <v>66</v>
      </c>
      <c r="F1050" s="27" t="str">
        <f>IFERROR(__xludf.DUMMYFUNCTION("""COMPUTED_VALUE"""),"BLACK")</f>
        <v>BLACK</v>
      </c>
      <c r="G1050" s="28" t="str">
        <f>IFERROR(__xludf.DUMMYFUNCTION("""COMPUTED_VALUE"""),"First Times a Charm Cider")</f>
        <v>First Times a Charm Cider</v>
      </c>
      <c r="H1050" s="27" t="str">
        <f>IFERROR(__xludf.DUMMYFUNCTION("""COMPUTED_VALUE"""),"")</f>
        <v/>
      </c>
    </row>
    <row r="1051">
      <c r="A1051" s="17"/>
      <c r="B1051" s="23"/>
      <c r="C1051" s="17">
        <f>IFERROR(__xludf.DUMMYFUNCTION("""COMPUTED_VALUE"""),43543.6174174074)</f>
        <v>43543.61742</v>
      </c>
      <c r="D1051" s="23">
        <f>IFERROR(__xludf.DUMMYFUNCTION("""COMPUTED_VALUE"""),1.033)</f>
        <v>1.033</v>
      </c>
      <c r="E1051" s="24">
        <f>IFERROR(__xludf.DUMMYFUNCTION("""COMPUTED_VALUE"""),66.0)</f>
        <v>66</v>
      </c>
      <c r="F1051" s="27" t="str">
        <f>IFERROR(__xludf.DUMMYFUNCTION("""COMPUTED_VALUE"""),"BLACK")</f>
        <v>BLACK</v>
      </c>
      <c r="G1051" s="28" t="str">
        <f>IFERROR(__xludf.DUMMYFUNCTION("""COMPUTED_VALUE"""),"First Times a Charm Cider")</f>
        <v>First Times a Charm Cider</v>
      </c>
      <c r="H1051" s="27" t="str">
        <f>IFERROR(__xludf.DUMMYFUNCTION("""COMPUTED_VALUE"""),"")</f>
        <v/>
      </c>
    </row>
    <row r="1052">
      <c r="A1052" s="17"/>
      <c r="B1052" s="23"/>
      <c r="C1052" s="17">
        <f>IFERROR(__xludf.DUMMYFUNCTION("""COMPUTED_VALUE"""),43543.6069976388)</f>
        <v>43543.607</v>
      </c>
      <c r="D1052" s="23">
        <f>IFERROR(__xludf.DUMMYFUNCTION("""COMPUTED_VALUE"""),1.033)</f>
        <v>1.033</v>
      </c>
      <c r="E1052" s="24">
        <f>IFERROR(__xludf.DUMMYFUNCTION("""COMPUTED_VALUE"""),66.0)</f>
        <v>66</v>
      </c>
      <c r="F1052" s="27" t="str">
        <f>IFERROR(__xludf.DUMMYFUNCTION("""COMPUTED_VALUE"""),"BLACK")</f>
        <v>BLACK</v>
      </c>
      <c r="G1052" s="28" t="str">
        <f>IFERROR(__xludf.DUMMYFUNCTION("""COMPUTED_VALUE"""),"First Times a Charm Cider")</f>
        <v>First Times a Charm Cider</v>
      </c>
      <c r="H1052" s="27" t="str">
        <f>IFERROR(__xludf.DUMMYFUNCTION("""COMPUTED_VALUE"""),"")</f>
        <v/>
      </c>
    </row>
    <row r="1053">
      <c r="A1053" s="17"/>
      <c r="B1053" s="23"/>
      <c r="C1053" s="17">
        <f>IFERROR(__xludf.DUMMYFUNCTION("""COMPUTED_VALUE"""),43543.5965413773)</f>
        <v>43543.59654</v>
      </c>
      <c r="D1053" s="23">
        <f>IFERROR(__xludf.DUMMYFUNCTION("""COMPUTED_VALUE"""),1.033)</f>
        <v>1.033</v>
      </c>
      <c r="E1053" s="24">
        <f>IFERROR(__xludf.DUMMYFUNCTION("""COMPUTED_VALUE"""),66.0)</f>
        <v>66</v>
      </c>
      <c r="F1053" s="27" t="str">
        <f>IFERROR(__xludf.DUMMYFUNCTION("""COMPUTED_VALUE"""),"BLACK")</f>
        <v>BLACK</v>
      </c>
      <c r="G1053" s="28" t="str">
        <f>IFERROR(__xludf.DUMMYFUNCTION("""COMPUTED_VALUE"""),"First Times a Charm Cider")</f>
        <v>First Times a Charm Cider</v>
      </c>
      <c r="H1053" s="27" t="str">
        <f>IFERROR(__xludf.DUMMYFUNCTION("""COMPUTED_VALUE"""),"")</f>
        <v/>
      </c>
    </row>
    <row r="1054">
      <c r="A1054" s="17"/>
      <c r="B1054" s="23"/>
      <c r="C1054" s="17">
        <f>IFERROR(__xludf.DUMMYFUNCTION("""COMPUTED_VALUE"""),43543.5860962268)</f>
        <v>43543.5861</v>
      </c>
      <c r="D1054" s="23">
        <f>IFERROR(__xludf.DUMMYFUNCTION("""COMPUTED_VALUE"""),1.033)</f>
        <v>1.033</v>
      </c>
      <c r="E1054" s="24">
        <f>IFERROR(__xludf.DUMMYFUNCTION("""COMPUTED_VALUE"""),66.0)</f>
        <v>66</v>
      </c>
      <c r="F1054" s="27" t="str">
        <f>IFERROR(__xludf.DUMMYFUNCTION("""COMPUTED_VALUE"""),"BLACK")</f>
        <v>BLACK</v>
      </c>
      <c r="G1054" s="28" t="str">
        <f>IFERROR(__xludf.DUMMYFUNCTION("""COMPUTED_VALUE"""),"First Times a Charm Cider")</f>
        <v>First Times a Charm Cider</v>
      </c>
      <c r="H1054" s="27" t="str">
        <f>IFERROR(__xludf.DUMMYFUNCTION("""COMPUTED_VALUE"""),"")</f>
        <v/>
      </c>
    </row>
    <row r="1055">
      <c r="A1055" s="17"/>
      <c r="B1055" s="23"/>
      <c r="C1055" s="17">
        <f>IFERROR(__xludf.DUMMYFUNCTION("""COMPUTED_VALUE"""),43543.5756407638)</f>
        <v>43543.57564</v>
      </c>
      <c r="D1055" s="23">
        <f>IFERROR(__xludf.DUMMYFUNCTION("""COMPUTED_VALUE"""),1.032)</f>
        <v>1.032</v>
      </c>
      <c r="E1055" s="24">
        <f>IFERROR(__xludf.DUMMYFUNCTION("""COMPUTED_VALUE"""),66.0)</f>
        <v>66</v>
      </c>
      <c r="F1055" s="27" t="str">
        <f>IFERROR(__xludf.DUMMYFUNCTION("""COMPUTED_VALUE"""),"BLACK")</f>
        <v>BLACK</v>
      </c>
      <c r="G1055" s="28" t="str">
        <f>IFERROR(__xludf.DUMMYFUNCTION("""COMPUTED_VALUE"""),"First Times a Charm Cider")</f>
        <v>First Times a Charm Cider</v>
      </c>
      <c r="H1055" s="27" t="str">
        <f>IFERROR(__xludf.DUMMYFUNCTION("""COMPUTED_VALUE"""),"")</f>
        <v/>
      </c>
    </row>
    <row r="1056">
      <c r="A1056" s="17"/>
      <c r="B1056" s="23"/>
      <c r="C1056" s="17">
        <f>IFERROR(__xludf.DUMMYFUNCTION("""COMPUTED_VALUE"""),43543.5652092939)</f>
        <v>43543.56521</v>
      </c>
      <c r="D1056" s="23">
        <f>IFERROR(__xludf.DUMMYFUNCTION("""COMPUTED_VALUE"""),1.032)</f>
        <v>1.032</v>
      </c>
      <c r="E1056" s="24">
        <f>IFERROR(__xludf.DUMMYFUNCTION("""COMPUTED_VALUE"""),66.0)</f>
        <v>66</v>
      </c>
      <c r="F1056" s="27" t="str">
        <f>IFERROR(__xludf.DUMMYFUNCTION("""COMPUTED_VALUE"""),"BLACK")</f>
        <v>BLACK</v>
      </c>
      <c r="G1056" s="28" t="str">
        <f>IFERROR(__xludf.DUMMYFUNCTION("""COMPUTED_VALUE"""),"First Times a Charm Cider")</f>
        <v>First Times a Charm Cider</v>
      </c>
      <c r="H1056" s="27" t="str">
        <f>IFERROR(__xludf.DUMMYFUNCTION("""COMPUTED_VALUE"""),"")</f>
        <v/>
      </c>
    </row>
    <row r="1057">
      <c r="A1057" s="17"/>
      <c r="B1057" s="23"/>
      <c r="C1057" s="17">
        <f>IFERROR(__xludf.DUMMYFUNCTION("""COMPUTED_VALUE"""),43543.5547880787)</f>
        <v>43543.55479</v>
      </c>
      <c r="D1057" s="23">
        <f>IFERROR(__xludf.DUMMYFUNCTION("""COMPUTED_VALUE"""),1.033)</f>
        <v>1.033</v>
      </c>
      <c r="E1057" s="24">
        <f>IFERROR(__xludf.DUMMYFUNCTION("""COMPUTED_VALUE"""),66.0)</f>
        <v>66</v>
      </c>
      <c r="F1057" s="27" t="str">
        <f>IFERROR(__xludf.DUMMYFUNCTION("""COMPUTED_VALUE"""),"BLACK")</f>
        <v>BLACK</v>
      </c>
      <c r="G1057" s="28" t="str">
        <f>IFERROR(__xludf.DUMMYFUNCTION("""COMPUTED_VALUE"""),"First Times a Charm Cider")</f>
        <v>First Times a Charm Cider</v>
      </c>
      <c r="H1057" s="27" t="str">
        <f>IFERROR(__xludf.DUMMYFUNCTION("""COMPUTED_VALUE"""),"")</f>
        <v/>
      </c>
    </row>
    <row r="1058">
      <c r="A1058" s="17"/>
      <c r="B1058" s="23"/>
      <c r="C1058" s="17">
        <f>IFERROR(__xludf.DUMMYFUNCTION("""COMPUTED_VALUE"""),43543.5443651273)</f>
        <v>43543.54437</v>
      </c>
      <c r="D1058" s="23">
        <f>IFERROR(__xludf.DUMMYFUNCTION("""COMPUTED_VALUE"""),1.033)</f>
        <v>1.033</v>
      </c>
      <c r="E1058" s="24">
        <f>IFERROR(__xludf.DUMMYFUNCTION("""COMPUTED_VALUE"""),66.0)</f>
        <v>66</v>
      </c>
      <c r="F1058" s="27" t="str">
        <f>IFERROR(__xludf.DUMMYFUNCTION("""COMPUTED_VALUE"""),"BLACK")</f>
        <v>BLACK</v>
      </c>
      <c r="G1058" s="28" t="str">
        <f>IFERROR(__xludf.DUMMYFUNCTION("""COMPUTED_VALUE"""),"First Times a Charm Cider")</f>
        <v>First Times a Charm Cider</v>
      </c>
      <c r="H1058" s="27" t="str">
        <f>IFERROR(__xludf.DUMMYFUNCTION("""COMPUTED_VALUE"""),"")</f>
        <v/>
      </c>
    </row>
    <row r="1059">
      <c r="A1059" s="17"/>
      <c r="B1059" s="23"/>
      <c r="C1059" s="17">
        <f>IFERROR(__xludf.DUMMYFUNCTION("""COMPUTED_VALUE"""),43543.5339084953)</f>
        <v>43543.53391</v>
      </c>
      <c r="D1059" s="23">
        <f>IFERROR(__xludf.DUMMYFUNCTION("""COMPUTED_VALUE"""),1.033)</f>
        <v>1.033</v>
      </c>
      <c r="E1059" s="24">
        <f>IFERROR(__xludf.DUMMYFUNCTION("""COMPUTED_VALUE"""),66.0)</f>
        <v>66</v>
      </c>
      <c r="F1059" s="27" t="str">
        <f>IFERROR(__xludf.DUMMYFUNCTION("""COMPUTED_VALUE"""),"BLACK")</f>
        <v>BLACK</v>
      </c>
      <c r="G1059" s="28" t="str">
        <f>IFERROR(__xludf.DUMMYFUNCTION("""COMPUTED_VALUE"""),"First Times a Charm Cider")</f>
        <v>First Times a Charm Cider</v>
      </c>
      <c r="H1059" s="27" t="str">
        <f>IFERROR(__xludf.DUMMYFUNCTION("""COMPUTED_VALUE"""),"")</f>
        <v/>
      </c>
    </row>
    <row r="1060">
      <c r="A1060" s="17"/>
      <c r="B1060" s="23"/>
      <c r="C1060" s="17">
        <f>IFERROR(__xludf.DUMMYFUNCTION("""COMPUTED_VALUE"""),43543.5234873379)</f>
        <v>43543.52349</v>
      </c>
      <c r="D1060" s="23">
        <f>IFERROR(__xludf.DUMMYFUNCTION("""COMPUTED_VALUE"""),1.033)</f>
        <v>1.033</v>
      </c>
      <c r="E1060" s="24">
        <f>IFERROR(__xludf.DUMMYFUNCTION("""COMPUTED_VALUE"""),66.0)</f>
        <v>66</v>
      </c>
      <c r="F1060" s="27" t="str">
        <f>IFERROR(__xludf.DUMMYFUNCTION("""COMPUTED_VALUE"""),"BLACK")</f>
        <v>BLACK</v>
      </c>
      <c r="G1060" s="28" t="str">
        <f>IFERROR(__xludf.DUMMYFUNCTION("""COMPUTED_VALUE"""),"First Times a Charm Cider")</f>
        <v>First Times a Charm Cider</v>
      </c>
      <c r="H1060" s="27" t="str">
        <f>IFERROR(__xludf.DUMMYFUNCTION("""COMPUTED_VALUE"""),"")</f>
        <v/>
      </c>
    </row>
    <row r="1061">
      <c r="A1061" s="17"/>
      <c r="B1061" s="23"/>
      <c r="C1061" s="17">
        <f>IFERROR(__xludf.DUMMYFUNCTION("""COMPUTED_VALUE"""),43543.5130659027)</f>
        <v>43543.51307</v>
      </c>
      <c r="D1061" s="23">
        <f>IFERROR(__xludf.DUMMYFUNCTION("""COMPUTED_VALUE"""),1.033)</f>
        <v>1.033</v>
      </c>
      <c r="E1061" s="24">
        <f>IFERROR(__xludf.DUMMYFUNCTION("""COMPUTED_VALUE"""),66.0)</f>
        <v>66</v>
      </c>
      <c r="F1061" s="27" t="str">
        <f>IFERROR(__xludf.DUMMYFUNCTION("""COMPUTED_VALUE"""),"BLACK")</f>
        <v>BLACK</v>
      </c>
      <c r="G1061" s="28" t="str">
        <f>IFERROR(__xludf.DUMMYFUNCTION("""COMPUTED_VALUE"""),"First Times a Charm Cider")</f>
        <v>First Times a Charm Cider</v>
      </c>
      <c r="H1061" s="27" t="str">
        <f>IFERROR(__xludf.DUMMYFUNCTION("""COMPUTED_VALUE"""),"")</f>
        <v/>
      </c>
    </row>
    <row r="1062">
      <c r="A1062" s="17"/>
      <c r="B1062" s="23"/>
      <c r="C1062" s="17">
        <f>IFERROR(__xludf.DUMMYFUNCTION("""COMPUTED_VALUE"""),43543.5026337384)</f>
        <v>43543.50263</v>
      </c>
      <c r="D1062" s="23">
        <f>IFERROR(__xludf.DUMMYFUNCTION("""COMPUTED_VALUE"""),1.033)</f>
        <v>1.033</v>
      </c>
      <c r="E1062" s="24">
        <f>IFERROR(__xludf.DUMMYFUNCTION("""COMPUTED_VALUE"""),66.0)</f>
        <v>66</v>
      </c>
      <c r="F1062" s="27" t="str">
        <f>IFERROR(__xludf.DUMMYFUNCTION("""COMPUTED_VALUE"""),"BLACK")</f>
        <v>BLACK</v>
      </c>
      <c r="G1062" s="28" t="str">
        <f>IFERROR(__xludf.DUMMYFUNCTION("""COMPUTED_VALUE"""),"First Times a Charm Cider")</f>
        <v>First Times a Charm Cider</v>
      </c>
      <c r="H1062" s="27" t="str">
        <f>IFERROR(__xludf.DUMMYFUNCTION("""COMPUTED_VALUE"""),"")</f>
        <v/>
      </c>
    </row>
    <row r="1063">
      <c r="A1063" s="17"/>
      <c r="B1063" s="23"/>
      <c r="C1063" s="17">
        <f>IFERROR(__xludf.DUMMYFUNCTION("""COMPUTED_VALUE"""),43543.4922112615)</f>
        <v>43543.49221</v>
      </c>
      <c r="D1063" s="23">
        <f>IFERROR(__xludf.DUMMYFUNCTION("""COMPUTED_VALUE"""),1.033)</f>
        <v>1.033</v>
      </c>
      <c r="E1063" s="24">
        <f>IFERROR(__xludf.DUMMYFUNCTION("""COMPUTED_VALUE"""),66.0)</f>
        <v>66</v>
      </c>
      <c r="F1063" s="27" t="str">
        <f>IFERROR(__xludf.DUMMYFUNCTION("""COMPUTED_VALUE"""),"BLACK")</f>
        <v>BLACK</v>
      </c>
      <c r="G1063" s="28" t="str">
        <f>IFERROR(__xludf.DUMMYFUNCTION("""COMPUTED_VALUE"""),"First Times a Charm Cider")</f>
        <v>First Times a Charm Cider</v>
      </c>
      <c r="H1063" s="27" t="str">
        <f>IFERROR(__xludf.DUMMYFUNCTION("""COMPUTED_VALUE"""),"")</f>
        <v/>
      </c>
    </row>
    <row r="1064">
      <c r="A1064" s="17"/>
      <c r="B1064" s="23"/>
      <c r="C1064" s="17">
        <f>IFERROR(__xludf.DUMMYFUNCTION("""COMPUTED_VALUE"""),43543.4817878125)</f>
        <v>43543.48179</v>
      </c>
      <c r="D1064" s="23">
        <f>IFERROR(__xludf.DUMMYFUNCTION("""COMPUTED_VALUE"""),1.033)</f>
        <v>1.033</v>
      </c>
      <c r="E1064" s="24">
        <f>IFERROR(__xludf.DUMMYFUNCTION("""COMPUTED_VALUE"""),66.0)</f>
        <v>66</v>
      </c>
      <c r="F1064" s="27" t="str">
        <f>IFERROR(__xludf.DUMMYFUNCTION("""COMPUTED_VALUE"""),"BLACK")</f>
        <v>BLACK</v>
      </c>
      <c r="G1064" s="28" t="str">
        <f>IFERROR(__xludf.DUMMYFUNCTION("""COMPUTED_VALUE"""),"First Times a Charm Cider")</f>
        <v>First Times a Charm Cider</v>
      </c>
      <c r="H1064" s="27" t="str">
        <f>IFERROR(__xludf.DUMMYFUNCTION("""COMPUTED_VALUE"""),"")</f>
        <v/>
      </c>
    </row>
    <row r="1065">
      <c r="A1065" s="17"/>
      <c r="B1065" s="23"/>
      <c r="C1065" s="17">
        <f>IFERROR(__xludf.DUMMYFUNCTION("""COMPUTED_VALUE"""),43543.4713666203)</f>
        <v>43543.47137</v>
      </c>
      <c r="D1065" s="23">
        <f>IFERROR(__xludf.DUMMYFUNCTION("""COMPUTED_VALUE"""),1.032)</f>
        <v>1.032</v>
      </c>
      <c r="E1065" s="24">
        <f>IFERROR(__xludf.DUMMYFUNCTION("""COMPUTED_VALUE"""),66.0)</f>
        <v>66</v>
      </c>
      <c r="F1065" s="27" t="str">
        <f>IFERROR(__xludf.DUMMYFUNCTION("""COMPUTED_VALUE"""),"BLACK")</f>
        <v>BLACK</v>
      </c>
      <c r="G1065" s="28" t="str">
        <f>IFERROR(__xludf.DUMMYFUNCTION("""COMPUTED_VALUE"""),"First Times a Charm Cider")</f>
        <v>First Times a Charm Cider</v>
      </c>
      <c r="H1065" s="27" t="str">
        <f>IFERROR(__xludf.DUMMYFUNCTION("""COMPUTED_VALUE"""),"")</f>
        <v/>
      </c>
    </row>
    <row r="1066">
      <c r="A1066" s="17"/>
      <c r="B1066" s="23"/>
      <c r="C1066" s="17">
        <f>IFERROR(__xludf.DUMMYFUNCTION("""COMPUTED_VALUE"""),43543.4609451157)</f>
        <v>43543.46095</v>
      </c>
      <c r="D1066" s="23">
        <f>IFERROR(__xludf.DUMMYFUNCTION("""COMPUTED_VALUE"""),1.033)</f>
        <v>1.033</v>
      </c>
      <c r="E1066" s="24">
        <f>IFERROR(__xludf.DUMMYFUNCTION("""COMPUTED_VALUE"""),66.0)</f>
        <v>66</v>
      </c>
      <c r="F1066" s="27" t="str">
        <f>IFERROR(__xludf.DUMMYFUNCTION("""COMPUTED_VALUE"""),"BLACK")</f>
        <v>BLACK</v>
      </c>
      <c r="G1066" s="28" t="str">
        <f>IFERROR(__xludf.DUMMYFUNCTION("""COMPUTED_VALUE"""),"First Times a Charm Cider")</f>
        <v>First Times a Charm Cider</v>
      </c>
      <c r="H1066" s="27" t="str">
        <f>IFERROR(__xludf.DUMMYFUNCTION("""COMPUTED_VALUE"""),"")</f>
        <v/>
      </c>
    </row>
    <row r="1067">
      <c r="A1067" s="17"/>
      <c r="B1067" s="23"/>
      <c r="C1067" s="17">
        <f>IFERROR(__xludf.DUMMYFUNCTION("""COMPUTED_VALUE"""),43543.4505240046)</f>
        <v>43543.45052</v>
      </c>
      <c r="D1067" s="23">
        <f>IFERROR(__xludf.DUMMYFUNCTION("""COMPUTED_VALUE"""),1.033)</f>
        <v>1.033</v>
      </c>
      <c r="E1067" s="24">
        <f>IFERROR(__xludf.DUMMYFUNCTION("""COMPUTED_VALUE"""),66.0)</f>
        <v>66</v>
      </c>
      <c r="F1067" s="27" t="str">
        <f>IFERROR(__xludf.DUMMYFUNCTION("""COMPUTED_VALUE"""),"BLACK")</f>
        <v>BLACK</v>
      </c>
      <c r="G1067" s="28" t="str">
        <f>IFERROR(__xludf.DUMMYFUNCTION("""COMPUTED_VALUE"""),"First Times a Charm Cider")</f>
        <v>First Times a Charm Cider</v>
      </c>
      <c r="H1067" s="27" t="str">
        <f>IFERROR(__xludf.DUMMYFUNCTION("""COMPUTED_VALUE"""),"")</f>
        <v/>
      </c>
    </row>
    <row r="1068">
      <c r="A1068" s="17"/>
      <c r="B1068" s="23"/>
      <c r="C1068" s="17">
        <f>IFERROR(__xludf.DUMMYFUNCTION("""COMPUTED_VALUE"""),43543.4400892939)</f>
        <v>43543.44009</v>
      </c>
      <c r="D1068" s="23">
        <f>IFERROR(__xludf.DUMMYFUNCTION("""COMPUTED_VALUE"""),1.033)</f>
        <v>1.033</v>
      </c>
      <c r="E1068" s="24">
        <f>IFERROR(__xludf.DUMMYFUNCTION("""COMPUTED_VALUE"""),66.0)</f>
        <v>66</v>
      </c>
      <c r="F1068" s="27" t="str">
        <f>IFERROR(__xludf.DUMMYFUNCTION("""COMPUTED_VALUE"""),"BLACK")</f>
        <v>BLACK</v>
      </c>
      <c r="G1068" s="28" t="str">
        <f>IFERROR(__xludf.DUMMYFUNCTION("""COMPUTED_VALUE"""),"First Times a Charm Cider")</f>
        <v>First Times a Charm Cider</v>
      </c>
      <c r="H1068" s="27" t="str">
        <f>IFERROR(__xludf.DUMMYFUNCTION("""COMPUTED_VALUE"""),"")</f>
        <v/>
      </c>
    </row>
    <row r="1069">
      <c r="A1069" s="17"/>
      <c r="B1069" s="23"/>
      <c r="C1069" s="17">
        <f>IFERROR(__xludf.DUMMYFUNCTION("""COMPUTED_VALUE"""),43543.4296673495)</f>
        <v>43543.42967</v>
      </c>
      <c r="D1069" s="23">
        <f>IFERROR(__xludf.DUMMYFUNCTION("""COMPUTED_VALUE"""),1.033)</f>
        <v>1.033</v>
      </c>
      <c r="E1069" s="24">
        <f>IFERROR(__xludf.DUMMYFUNCTION("""COMPUTED_VALUE"""),66.0)</f>
        <v>66</v>
      </c>
      <c r="F1069" s="27" t="str">
        <f>IFERROR(__xludf.DUMMYFUNCTION("""COMPUTED_VALUE"""),"BLACK")</f>
        <v>BLACK</v>
      </c>
      <c r="G1069" s="28" t="str">
        <f>IFERROR(__xludf.DUMMYFUNCTION("""COMPUTED_VALUE"""),"First Times a Charm Cider")</f>
        <v>First Times a Charm Cider</v>
      </c>
      <c r="H1069" s="27" t="str">
        <f>IFERROR(__xludf.DUMMYFUNCTION("""COMPUTED_VALUE"""),"")</f>
        <v/>
      </c>
    </row>
    <row r="1070">
      <c r="A1070" s="17"/>
      <c r="B1070" s="23"/>
      <c r="C1070" s="17">
        <f>IFERROR(__xludf.DUMMYFUNCTION("""COMPUTED_VALUE"""),43543.4192467245)</f>
        <v>43543.41925</v>
      </c>
      <c r="D1070" s="23">
        <f>IFERROR(__xludf.DUMMYFUNCTION("""COMPUTED_VALUE"""),1.033)</f>
        <v>1.033</v>
      </c>
      <c r="E1070" s="24">
        <f>IFERROR(__xludf.DUMMYFUNCTION("""COMPUTED_VALUE"""),66.0)</f>
        <v>66</v>
      </c>
      <c r="F1070" s="27" t="str">
        <f>IFERROR(__xludf.DUMMYFUNCTION("""COMPUTED_VALUE"""),"BLACK")</f>
        <v>BLACK</v>
      </c>
      <c r="G1070" s="28" t="str">
        <f>IFERROR(__xludf.DUMMYFUNCTION("""COMPUTED_VALUE"""),"First Times a Charm Cider")</f>
        <v>First Times a Charm Cider</v>
      </c>
      <c r="H1070" s="27" t="str">
        <f>IFERROR(__xludf.DUMMYFUNCTION("""COMPUTED_VALUE"""),"")</f>
        <v/>
      </c>
    </row>
    <row r="1071">
      <c r="A1071" s="17"/>
      <c r="B1071" s="23"/>
      <c r="C1071" s="17">
        <f>IFERROR(__xludf.DUMMYFUNCTION("""COMPUTED_VALUE"""),43543.4088153009)</f>
        <v>43543.40882</v>
      </c>
      <c r="D1071" s="23">
        <f>IFERROR(__xludf.DUMMYFUNCTION("""COMPUTED_VALUE"""),1.033)</f>
        <v>1.033</v>
      </c>
      <c r="E1071" s="24">
        <f>IFERROR(__xludf.DUMMYFUNCTION("""COMPUTED_VALUE"""),66.0)</f>
        <v>66</v>
      </c>
      <c r="F1071" s="27" t="str">
        <f>IFERROR(__xludf.DUMMYFUNCTION("""COMPUTED_VALUE"""),"BLACK")</f>
        <v>BLACK</v>
      </c>
      <c r="G1071" s="28" t="str">
        <f>IFERROR(__xludf.DUMMYFUNCTION("""COMPUTED_VALUE"""),"First Times a Charm Cider")</f>
        <v>First Times a Charm Cider</v>
      </c>
      <c r="H1071" s="27" t="str">
        <f>IFERROR(__xludf.DUMMYFUNCTION("""COMPUTED_VALUE"""),"")</f>
        <v/>
      </c>
    </row>
    <row r="1072">
      <c r="A1072" s="17"/>
      <c r="B1072" s="23"/>
      <c r="C1072" s="17">
        <f>IFERROR(__xludf.DUMMYFUNCTION("""COMPUTED_VALUE"""),43543.398392118)</f>
        <v>43543.39839</v>
      </c>
      <c r="D1072" s="23">
        <f>IFERROR(__xludf.DUMMYFUNCTION("""COMPUTED_VALUE"""),1.033)</f>
        <v>1.033</v>
      </c>
      <c r="E1072" s="24">
        <f>IFERROR(__xludf.DUMMYFUNCTION("""COMPUTED_VALUE"""),66.0)</f>
        <v>66</v>
      </c>
      <c r="F1072" s="27" t="str">
        <f>IFERROR(__xludf.DUMMYFUNCTION("""COMPUTED_VALUE"""),"BLACK")</f>
        <v>BLACK</v>
      </c>
      <c r="G1072" s="28" t="str">
        <f>IFERROR(__xludf.DUMMYFUNCTION("""COMPUTED_VALUE"""),"First Times a Charm Cider")</f>
        <v>First Times a Charm Cider</v>
      </c>
      <c r="H1072" s="27" t="str">
        <f>IFERROR(__xludf.DUMMYFUNCTION("""COMPUTED_VALUE"""),"")</f>
        <v/>
      </c>
    </row>
    <row r="1073">
      <c r="A1073" s="17"/>
      <c r="B1073" s="23"/>
      <c r="C1073" s="17">
        <f>IFERROR(__xludf.DUMMYFUNCTION("""COMPUTED_VALUE"""),43543.3879718634)</f>
        <v>43543.38797</v>
      </c>
      <c r="D1073" s="23">
        <f>IFERROR(__xludf.DUMMYFUNCTION("""COMPUTED_VALUE"""),1.033)</f>
        <v>1.033</v>
      </c>
      <c r="E1073" s="24">
        <f>IFERROR(__xludf.DUMMYFUNCTION("""COMPUTED_VALUE"""),66.0)</f>
        <v>66</v>
      </c>
      <c r="F1073" s="27" t="str">
        <f>IFERROR(__xludf.DUMMYFUNCTION("""COMPUTED_VALUE"""),"BLACK")</f>
        <v>BLACK</v>
      </c>
      <c r="G1073" s="28" t="str">
        <f>IFERROR(__xludf.DUMMYFUNCTION("""COMPUTED_VALUE"""),"First Times a Charm Cider")</f>
        <v>First Times a Charm Cider</v>
      </c>
      <c r="H1073" s="27" t="str">
        <f>IFERROR(__xludf.DUMMYFUNCTION("""COMPUTED_VALUE"""),"")</f>
        <v/>
      </c>
    </row>
    <row r="1074">
      <c r="A1074" s="17"/>
      <c r="B1074" s="23"/>
      <c r="C1074" s="17">
        <f>IFERROR(__xludf.DUMMYFUNCTION("""COMPUTED_VALUE"""),43543.377550949)</f>
        <v>43543.37755</v>
      </c>
      <c r="D1074" s="23">
        <f>IFERROR(__xludf.DUMMYFUNCTION("""COMPUTED_VALUE"""),1.033)</f>
        <v>1.033</v>
      </c>
      <c r="E1074" s="24">
        <f>IFERROR(__xludf.DUMMYFUNCTION("""COMPUTED_VALUE"""),66.0)</f>
        <v>66</v>
      </c>
      <c r="F1074" s="27" t="str">
        <f>IFERROR(__xludf.DUMMYFUNCTION("""COMPUTED_VALUE"""),"BLACK")</f>
        <v>BLACK</v>
      </c>
      <c r="G1074" s="28" t="str">
        <f>IFERROR(__xludf.DUMMYFUNCTION("""COMPUTED_VALUE"""),"First Times a Charm Cider")</f>
        <v>First Times a Charm Cider</v>
      </c>
      <c r="H1074" s="27" t="str">
        <f>IFERROR(__xludf.DUMMYFUNCTION("""COMPUTED_VALUE"""),"")</f>
        <v/>
      </c>
    </row>
    <row r="1075">
      <c r="A1075" s="17"/>
      <c r="B1075" s="23"/>
      <c r="C1075" s="17">
        <f>IFERROR(__xludf.DUMMYFUNCTION("""COMPUTED_VALUE"""),43543.3671298263)</f>
        <v>43543.36713</v>
      </c>
      <c r="D1075" s="23">
        <f>IFERROR(__xludf.DUMMYFUNCTION("""COMPUTED_VALUE"""),1.033)</f>
        <v>1.033</v>
      </c>
      <c r="E1075" s="24">
        <f>IFERROR(__xludf.DUMMYFUNCTION("""COMPUTED_VALUE"""),66.0)</f>
        <v>66</v>
      </c>
      <c r="F1075" s="27" t="str">
        <f>IFERROR(__xludf.DUMMYFUNCTION("""COMPUTED_VALUE"""),"BLACK")</f>
        <v>BLACK</v>
      </c>
      <c r="G1075" s="28" t="str">
        <f>IFERROR(__xludf.DUMMYFUNCTION("""COMPUTED_VALUE"""),"First Times a Charm Cider")</f>
        <v>First Times a Charm Cider</v>
      </c>
      <c r="H1075" s="27" t="str">
        <f>IFERROR(__xludf.DUMMYFUNCTION("""COMPUTED_VALUE"""),"")</f>
        <v/>
      </c>
    </row>
    <row r="1076">
      <c r="A1076" s="17"/>
      <c r="B1076" s="23"/>
      <c r="C1076" s="17">
        <f>IFERROR(__xludf.DUMMYFUNCTION("""COMPUTED_VALUE"""),43543.356708449)</f>
        <v>43543.35671</v>
      </c>
      <c r="D1076" s="23">
        <f>IFERROR(__xludf.DUMMYFUNCTION("""COMPUTED_VALUE"""),1.033)</f>
        <v>1.033</v>
      </c>
      <c r="E1076" s="24">
        <f>IFERROR(__xludf.DUMMYFUNCTION("""COMPUTED_VALUE"""),66.0)</f>
        <v>66</v>
      </c>
      <c r="F1076" s="27" t="str">
        <f>IFERROR(__xludf.DUMMYFUNCTION("""COMPUTED_VALUE"""),"BLACK")</f>
        <v>BLACK</v>
      </c>
      <c r="G1076" s="28" t="str">
        <f>IFERROR(__xludf.DUMMYFUNCTION("""COMPUTED_VALUE"""),"First Times a Charm Cider")</f>
        <v>First Times a Charm Cider</v>
      </c>
      <c r="H1076" s="27" t="str">
        <f>IFERROR(__xludf.DUMMYFUNCTION("""COMPUTED_VALUE"""),"")</f>
        <v/>
      </c>
    </row>
    <row r="1077">
      <c r="A1077" s="17"/>
      <c r="B1077" s="23"/>
      <c r="C1077" s="17">
        <f>IFERROR(__xludf.DUMMYFUNCTION("""COMPUTED_VALUE"""),43543.3462867245)</f>
        <v>43543.34629</v>
      </c>
      <c r="D1077" s="23">
        <f>IFERROR(__xludf.DUMMYFUNCTION("""COMPUTED_VALUE"""),1.033)</f>
        <v>1.033</v>
      </c>
      <c r="E1077" s="24">
        <f>IFERROR(__xludf.DUMMYFUNCTION("""COMPUTED_VALUE"""),66.0)</f>
        <v>66</v>
      </c>
      <c r="F1077" s="27" t="str">
        <f>IFERROR(__xludf.DUMMYFUNCTION("""COMPUTED_VALUE"""),"BLACK")</f>
        <v>BLACK</v>
      </c>
      <c r="G1077" s="28" t="str">
        <f>IFERROR(__xludf.DUMMYFUNCTION("""COMPUTED_VALUE"""),"First Times a Charm Cider")</f>
        <v>First Times a Charm Cider</v>
      </c>
      <c r="H1077" s="27" t="str">
        <f>IFERROR(__xludf.DUMMYFUNCTION("""COMPUTED_VALUE"""),"")</f>
        <v/>
      </c>
    </row>
    <row r="1078">
      <c r="A1078" s="17"/>
      <c r="B1078" s="23"/>
      <c r="C1078" s="17">
        <f>IFERROR(__xludf.DUMMYFUNCTION("""COMPUTED_VALUE"""),43543.3358412615)</f>
        <v>43543.33584</v>
      </c>
      <c r="D1078" s="23">
        <f>IFERROR(__xludf.DUMMYFUNCTION("""COMPUTED_VALUE"""),1.033)</f>
        <v>1.033</v>
      </c>
      <c r="E1078" s="24">
        <f>IFERROR(__xludf.DUMMYFUNCTION("""COMPUTED_VALUE"""),66.0)</f>
        <v>66</v>
      </c>
      <c r="F1078" s="27" t="str">
        <f>IFERROR(__xludf.DUMMYFUNCTION("""COMPUTED_VALUE"""),"BLACK")</f>
        <v>BLACK</v>
      </c>
      <c r="G1078" s="28" t="str">
        <f>IFERROR(__xludf.DUMMYFUNCTION("""COMPUTED_VALUE"""),"First Times a Charm Cider")</f>
        <v>First Times a Charm Cider</v>
      </c>
      <c r="H1078" s="27" t="str">
        <f>IFERROR(__xludf.DUMMYFUNCTION("""COMPUTED_VALUE"""),"")</f>
        <v/>
      </c>
    </row>
    <row r="1079">
      <c r="A1079" s="17"/>
      <c r="B1079" s="23"/>
      <c r="C1079" s="17">
        <f>IFERROR(__xludf.DUMMYFUNCTION("""COMPUTED_VALUE"""),43543.3254070254)</f>
        <v>43543.32541</v>
      </c>
      <c r="D1079" s="23">
        <f>IFERROR(__xludf.DUMMYFUNCTION("""COMPUTED_VALUE"""),1.033)</f>
        <v>1.033</v>
      </c>
      <c r="E1079" s="24">
        <f>IFERROR(__xludf.DUMMYFUNCTION("""COMPUTED_VALUE"""),66.0)</f>
        <v>66</v>
      </c>
      <c r="F1079" s="27" t="str">
        <f>IFERROR(__xludf.DUMMYFUNCTION("""COMPUTED_VALUE"""),"BLACK")</f>
        <v>BLACK</v>
      </c>
      <c r="G1079" s="28" t="str">
        <f>IFERROR(__xludf.DUMMYFUNCTION("""COMPUTED_VALUE"""),"First Times a Charm Cider")</f>
        <v>First Times a Charm Cider</v>
      </c>
      <c r="H1079" s="27" t="str">
        <f>IFERROR(__xludf.DUMMYFUNCTION("""COMPUTED_VALUE"""),"")</f>
        <v/>
      </c>
    </row>
    <row r="1080">
      <c r="A1080" s="17"/>
      <c r="B1080" s="23"/>
      <c r="C1080" s="17">
        <f>IFERROR(__xludf.DUMMYFUNCTION("""COMPUTED_VALUE"""),43543.3149749305)</f>
        <v>43543.31497</v>
      </c>
      <c r="D1080" s="23">
        <f>IFERROR(__xludf.DUMMYFUNCTION("""COMPUTED_VALUE"""),1.033)</f>
        <v>1.033</v>
      </c>
      <c r="E1080" s="24">
        <f>IFERROR(__xludf.DUMMYFUNCTION("""COMPUTED_VALUE"""),66.0)</f>
        <v>66</v>
      </c>
      <c r="F1080" s="27" t="str">
        <f>IFERROR(__xludf.DUMMYFUNCTION("""COMPUTED_VALUE"""),"BLACK")</f>
        <v>BLACK</v>
      </c>
      <c r="G1080" s="28" t="str">
        <f>IFERROR(__xludf.DUMMYFUNCTION("""COMPUTED_VALUE"""),"First Times a Charm Cider")</f>
        <v>First Times a Charm Cider</v>
      </c>
      <c r="H1080" s="27" t="str">
        <f>IFERROR(__xludf.DUMMYFUNCTION("""COMPUTED_VALUE"""),"")</f>
        <v/>
      </c>
    </row>
    <row r="1081">
      <c r="A1081" s="17"/>
      <c r="B1081" s="23"/>
      <c r="C1081" s="17">
        <f>IFERROR(__xludf.DUMMYFUNCTION("""COMPUTED_VALUE"""),43543.3045308333)</f>
        <v>43543.30453</v>
      </c>
      <c r="D1081" s="23">
        <f>IFERROR(__xludf.DUMMYFUNCTION("""COMPUTED_VALUE"""),1.033)</f>
        <v>1.033</v>
      </c>
      <c r="E1081" s="24">
        <f>IFERROR(__xludf.DUMMYFUNCTION("""COMPUTED_VALUE"""),66.0)</f>
        <v>66</v>
      </c>
      <c r="F1081" s="27" t="str">
        <f>IFERROR(__xludf.DUMMYFUNCTION("""COMPUTED_VALUE"""),"BLACK")</f>
        <v>BLACK</v>
      </c>
      <c r="G1081" s="28" t="str">
        <f>IFERROR(__xludf.DUMMYFUNCTION("""COMPUTED_VALUE"""),"First Times a Charm Cider")</f>
        <v>First Times a Charm Cider</v>
      </c>
      <c r="H1081" s="27" t="str">
        <f>IFERROR(__xludf.DUMMYFUNCTION("""COMPUTED_VALUE"""),"")</f>
        <v/>
      </c>
    </row>
    <row r="1082">
      <c r="A1082" s="17"/>
      <c r="B1082" s="23"/>
      <c r="C1082" s="17">
        <f>IFERROR(__xludf.DUMMYFUNCTION("""COMPUTED_VALUE"""),43543.2941112615)</f>
        <v>43543.29411</v>
      </c>
      <c r="D1082" s="23">
        <f>IFERROR(__xludf.DUMMYFUNCTION("""COMPUTED_VALUE"""),1.033)</f>
        <v>1.033</v>
      </c>
      <c r="E1082" s="24">
        <f>IFERROR(__xludf.DUMMYFUNCTION("""COMPUTED_VALUE"""),66.0)</f>
        <v>66</v>
      </c>
      <c r="F1082" s="27" t="str">
        <f>IFERROR(__xludf.DUMMYFUNCTION("""COMPUTED_VALUE"""),"BLACK")</f>
        <v>BLACK</v>
      </c>
      <c r="G1082" s="28" t="str">
        <f>IFERROR(__xludf.DUMMYFUNCTION("""COMPUTED_VALUE"""),"First Times a Charm Cider")</f>
        <v>First Times a Charm Cider</v>
      </c>
      <c r="H1082" s="27" t="str">
        <f>IFERROR(__xludf.DUMMYFUNCTION("""COMPUTED_VALUE"""),"")</f>
        <v/>
      </c>
    </row>
    <row r="1083">
      <c r="A1083" s="17"/>
      <c r="B1083" s="23"/>
      <c r="C1083" s="17">
        <f>IFERROR(__xludf.DUMMYFUNCTION("""COMPUTED_VALUE"""),43543.2836894675)</f>
        <v>43543.28369</v>
      </c>
      <c r="D1083" s="23">
        <f>IFERROR(__xludf.DUMMYFUNCTION("""COMPUTED_VALUE"""),1.033)</f>
        <v>1.033</v>
      </c>
      <c r="E1083" s="24">
        <f>IFERROR(__xludf.DUMMYFUNCTION("""COMPUTED_VALUE"""),66.0)</f>
        <v>66</v>
      </c>
      <c r="F1083" s="27" t="str">
        <f>IFERROR(__xludf.DUMMYFUNCTION("""COMPUTED_VALUE"""),"BLACK")</f>
        <v>BLACK</v>
      </c>
      <c r="G1083" s="28" t="str">
        <f>IFERROR(__xludf.DUMMYFUNCTION("""COMPUTED_VALUE"""),"First Times a Charm Cider")</f>
        <v>First Times a Charm Cider</v>
      </c>
      <c r="H1083" s="27" t="str">
        <f>IFERROR(__xludf.DUMMYFUNCTION("""COMPUTED_VALUE"""),"")</f>
        <v/>
      </c>
    </row>
    <row r="1084">
      <c r="A1084" s="17"/>
      <c r="B1084" s="23"/>
      <c r="C1084" s="17">
        <f>IFERROR(__xludf.DUMMYFUNCTION("""COMPUTED_VALUE"""),43543.2732680208)</f>
        <v>43543.27327</v>
      </c>
      <c r="D1084" s="23">
        <f>IFERROR(__xludf.DUMMYFUNCTION("""COMPUTED_VALUE"""),1.033)</f>
        <v>1.033</v>
      </c>
      <c r="E1084" s="24">
        <f>IFERROR(__xludf.DUMMYFUNCTION("""COMPUTED_VALUE"""),67.0)</f>
        <v>67</v>
      </c>
      <c r="F1084" s="27" t="str">
        <f>IFERROR(__xludf.DUMMYFUNCTION("""COMPUTED_VALUE"""),"BLACK")</f>
        <v>BLACK</v>
      </c>
      <c r="G1084" s="28" t="str">
        <f>IFERROR(__xludf.DUMMYFUNCTION("""COMPUTED_VALUE"""),"First Times a Charm Cider")</f>
        <v>First Times a Charm Cider</v>
      </c>
      <c r="H1084" s="27" t="str">
        <f>IFERROR(__xludf.DUMMYFUNCTION("""COMPUTED_VALUE"""),"")</f>
        <v/>
      </c>
    </row>
    <row r="1085">
      <c r="A1085" s="17"/>
      <c r="B1085" s="23"/>
      <c r="C1085" s="17">
        <f>IFERROR(__xludf.DUMMYFUNCTION("""COMPUTED_VALUE"""),43543.2627778703)</f>
        <v>43543.26278</v>
      </c>
      <c r="D1085" s="23">
        <f>IFERROR(__xludf.DUMMYFUNCTION("""COMPUTED_VALUE"""),1.033)</f>
        <v>1.033</v>
      </c>
      <c r="E1085" s="24">
        <f>IFERROR(__xludf.DUMMYFUNCTION("""COMPUTED_VALUE"""),67.0)</f>
        <v>67</v>
      </c>
      <c r="F1085" s="27" t="str">
        <f>IFERROR(__xludf.DUMMYFUNCTION("""COMPUTED_VALUE"""),"BLACK")</f>
        <v>BLACK</v>
      </c>
      <c r="G1085" s="28" t="str">
        <f>IFERROR(__xludf.DUMMYFUNCTION("""COMPUTED_VALUE"""),"First Times a Charm Cider")</f>
        <v>First Times a Charm Cider</v>
      </c>
      <c r="H1085" s="27" t="str">
        <f>IFERROR(__xludf.DUMMYFUNCTION("""COMPUTED_VALUE"""),"")</f>
        <v/>
      </c>
    </row>
    <row r="1086">
      <c r="A1086" s="17"/>
      <c r="B1086" s="23"/>
      <c r="C1086" s="17">
        <f>IFERROR(__xludf.DUMMYFUNCTION("""COMPUTED_VALUE"""),43543.2523555671)</f>
        <v>43543.25236</v>
      </c>
      <c r="D1086" s="23">
        <f>IFERROR(__xludf.DUMMYFUNCTION("""COMPUTED_VALUE"""),1.033)</f>
        <v>1.033</v>
      </c>
      <c r="E1086" s="24">
        <f>IFERROR(__xludf.DUMMYFUNCTION("""COMPUTED_VALUE"""),67.0)</f>
        <v>67</v>
      </c>
      <c r="F1086" s="27" t="str">
        <f>IFERROR(__xludf.DUMMYFUNCTION("""COMPUTED_VALUE"""),"BLACK")</f>
        <v>BLACK</v>
      </c>
      <c r="G1086" s="28" t="str">
        <f>IFERROR(__xludf.DUMMYFUNCTION("""COMPUTED_VALUE"""),"First Times a Charm Cider")</f>
        <v>First Times a Charm Cider</v>
      </c>
      <c r="H1086" s="27" t="str">
        <f>IFERROR(__xludf.DUMMYFUNCTION("""COMPUTED_VALUE"""),"")</f>
        <v/>
      </c>
    </row>
    <row r="1087">
      <c r="A1087" s="17"/>
      <c r="B1087" s="23"/>
      <c r="C1087" s="17">
        <f>IFERROR(__xludf.DUMMYFUNCTION("""COMPUTED_VALUE"""),43543.241933368)</f>
        <v>43543.24193</v>
      </c>
      <c r="D1087" s="23">
        <f>IFERROR(__xludf.DUMMYFUNCTION("""COMPUTED_VALUE"""),1.033)</f>
        <v>1.033</v>
      </c>
      <c r="E1087" s="24">
        <f>IFERROR(__xludf.DUMMYFUNCTION("""COMPUTED_VALUE"""),67.0)</f>
        <v>67</v>
      </c>
      <c r="F1087" s="27" t="str">
        <f>IFERROR(__xludf.DUMMYFUNCTION("""COMPUTED_VALUE"""),"BLACK")</f>
        <v>BLACK</v>
      </c>
      <c r="G1087" s="28" t="str">
        <f>IFERROR(__xludf.DUMMYFUNCTION("""COMPUTED_VALUE"""),"First Times a Charm Cider")</f>
        <v>First Times a Charm Cider</v>
      </c>
      <c r="H1087" s="27" t="str">
        <f>IFERROR(__xludf.DUMMYFUNCTION("""COMPUTED_VALUE"""),"")</f>
        <v/>
      </c>
    </row>
    <row r="1088">
      <c r="A1088" s="17"/>
      <c r="B1088" s="23"/>
      <c r="C1088" s="17">
        <f>IFERROR(__xludf.DUMMYFUNCTION("""COMPUTED_VALUE"""),43543.2315119097)</f>
        <v>43543.23151</v>
      </c>
      <c r="D1088" s="23">
        <f>IFERROR(__xludf.DUMMYFUNCTION("""COMPUTED_VALUE"""),1.033)</f>
        <v>1.033</v>
      </c>
      <c r="E1088" s="24">
        <f>IFERROR(__xludf.DUMMYFUNCTION("""COMPUTED_VALUE"""),67.0)</f>
        <v>67</v>
      </c>
      <c r="F1088" s="27" t="str">
        <f>IFERROR(__xludf.DUMMYFUNCTION("""COMPUTED_VALUE"""),"BLACK")</f>
        <v>BLACK</v>
      </c>
      <c r="G1088" s="28" t="str">
        <f>IFERROR(__xludf.DUMMYFUNCTION("""COMPUTED_VALUE"""),"First Times a Charm Cider")</f>
        <v>First Times a Charm Cider</v>
      </c>
      <c r="H1088" s="27" t="str">
        <f>IFERROR(__xludf.DUMMYFUNCTION("""COMPUTED_VALUE"""),"")</f>
        <v/>
      </c>
    </row>
    <row r="1089">
      <c r="A1089" s="17"/>
      <c r="B1089" s="23"/>
      <c r="C1089" s="17">
        <f>IFERROR(__xludf.DUMMYFUNCTION("""COMPUTED_VALUE"""),43543.2210901041)</f>
        <v>43543.22109</v>
      </c>
      <c r="D1089" s="23">
        <f>IFERROR(__xludf.DUMMYFUNCTION("""COMPUTED_VALUE"""),1.033)</f>
        <v>1.033</v>
      </c>
      <c r="E1089" s="24">
        <f>IFERROR(__xludf.DUMMYFUNCTION("""COMPUTED_VALUE"""),67.0)</f>
        <v>67</v>
      </c>
      <c r="F1089" s="27" t="str">
        <f>IFERROR(__xludf.DUMMYFUNCTION("""COMPUTED_VALUE"""),"BLACK")</f>
        <v>BLACK</v>
      </c>
      <c r="G1089" s="28" t="str">
        <f>IFERROR(__xludf.DUMMYFUNCTION("""COMPUTED_VALUE"""),"First Times a Charm Cider")</f>
        <v>First Times a Charm Cider</v>
      </c>
      <c r="H1089" s="27" t="str">
        <f>IFERROR(__xludf.DUMMYFUNCTION("""COMPUTED_VALUE"""),"")</f>
        <v/>
      </c>
    </row>
    <row r="1090">
      <c r="A1090" s="17"/>
      <c r="B1090" s="23"/>
      <c r="C1090" s="17">
        <f>IFERROR(__xludf.DUMMYFUNCTION("""COMPUTED_VALUE"""),43543.2106708449)</f>
        <v>43543.21067</v>
      </c>
      <c r="D1090" s="23">
        <f>IFERROR(__xludf.DUMMYFUNCTION("""COMPUTED_VALUE"""),1.033)</f>
        <v>1.033</v>
      </c>
      <c r="E1090" s="24">
        <f>IFERROR(__xludf.DUMMYFUNCTION("""COMPUTED_VALUE"""),67.0)</f>
        <v>67</v>
      </c>
      <c r="F1090" s="27" t="str">
        <f>IFERROR(__xludf.DUMMYFUNCTION("""COMPUTED_VALUE"""),"BLACK")</f>
        <v>BLACK</v>
      </c>
      <c r="G1090" s="28" t="str">
        <f>IFERROR(__xludf.DUMMYFUNCTION("""COMPUTED_VALUE"""),"First Times a Charm Cider")</f>
        <v>First Times a Charm Cider</v>
      </c>
      <c r="H1090" s="27" t="str">
        <f>IFERROR(__xludf.DUMMYFUNCTION("""COMPUTED_VALUE"""),"")</f>
        <v/>
      </c>
    </row>
    <row r="1091">
      <c r="A1091" s="17"/>
      <c r="B1091" s="23"/>
      <c r="C1091" s="17">
        <f>IFERROR(__xludf.DUMMYFUNCTION("""COMPUTED_VALUE"""),43543.2002256712)</f>
        <v>43543.20023</v>
      </c>
      <c r="D1091" s="23">
        <f>IFERROR(__xludf.DUMMYFUNCTION("""COMPUTED_VALUE"""),1.033)</f>
        <v>1.033</v>
      </c>
      <c r="E1091" s="24">
        <f>IFERROR(__xludf.DUMMYFUNCTION("""COMPUTED_VALUE"""),67.0)</f>
        <v>67</v>
      </c>
      <c r="F1091" s="27" t="str">
        <f>IFERROR(__xludf.DUMMYFUNCTION("""COMPUTED_VALUE"""),"BLACK")</f>
        <v>BLACK</v>
      </c>
      <c r="G1091" s="28" t="str">
        <f>IFERROR(__xludf.DUMMYFUNCTION("""COMPUTED_VALUE"""),"First Times a Charm Cider")</f>
        <v>First Times a Charm Cider</v>
      </c>
      <c r="H1091" s="27" t="str">
        <f>IFERROR(__xludf.DUMMYFUNCTION("""COMPUTED_VALUE"""),"")</f>
        <v/>
      </c>
    </row>
    <row r="1092">
      <c r="A1092" s="17"/>
      <c r="B1092" s="23"/>
      <c r="C1092" s="17">
        <f>IFERROR(__xludf.DUMMYFUNCTION("""COMPUTED_VALUE"""),43543.1897933564)</f>
        <v>43543.18979</v>
      </c>
      <c r="D1092" s="23">
        <f>IFERROR(__xludf.DUMMYFUNCTION("""COMPUTED_VALUE"""),1.033)</f>
        <v>1.033</v>
      </c>
      <c r="E1092" s="24">
        <f>IFERROR(__xludf.DUMMYFUNCTION("""COMPUTED_VALUE"""),67.0)</f>
        <v>67</v>
      </c>
      <c r="F1092" s="27" t="str">
        <f>IFERROR(__xludf.DUMMYFUNCTION("""COMPUTED_VALUE"""),"BLACK")</f>
        <v>BLACK</v>
      </c>
      <c r="G1092" s="28" t="str">
        <f>IFERROR(__xludf.DUMMYFUNCTION("""COMPUTED_VALUE"""),"First Times a Charm Cider")</f>
        <v>First Times a Charm Cider</v>
      </c>
      <c r="H1092" s="27" t="str">
        <f>IFERROR(__xludf.DUMMYFUNCTION("""COMPUTED_VALUE"""),"")</f>
        <v/>
      </c>
    </row>
    <row r="1093">
      <c r="A1093" s="17"/>
      <c r="B1093" s="23"/>
      <c r="C1093" s="17">
        <f>IFERROR(__xludf.DUMMYFUNCTION("""COMPUTED_VALUE"""),43543.1793618402)</f>
        <v>43543.17936</v>
      </c>
      <c r="D1093" s="23">
        <f>IFERROR(__xludf.DUMMYFUNCTION("""COMPUTED_VALUE"""),1.033)</f>
        <v>1.033</v>
      </c>
      <c r="E1093" s="24">
        <f>IFERROR(__xludf.DUMMYFUNCTION("""COMPUTED_VALUE"""),67.0)</f>
        <v>67</v>
      </c>
      <c r="F1093" s="27" t="str">
        <f>IFERROR(__xludf.DUMMYFUNCTION("""COMPUTED_VALUE"""),"BLACK")</f>
        <v>BLACK</v>
      </c>
      <c r="G1093" s="28" t="str">
        <f>IFERROR(__xludf.DUMMYFUNCTION("""COMPUTED_VALUE"""),"First Times a Charm Cider")</f>
        <v>First Times a Charm Cider</v>
      </c>
      <c r="H1093" s="27" t="str">
        <f>IFERROR(__xludf.DUMMYFUNCTION("""COMPUTED_VALUE"""),"")</f>
        <v/>
      </c>
    </row>
    <row r="1094">
      <c r="A1094" s="17"/>
      <c r="B1094" s="23"/>
      <c r="C1094" s="17">
        <f>IFERROR(__xludf.DUMMYFUNCTION("""COMPUTED_VALUE"""),43543.16891625)</f>
        <v>43543.16892</v>
      </c>
      <c r="D1094" s="23">
        <f>IFERROR(__xludf.DUMMYFUNCTION("""COMPUTED_VALUE"""),1.033)</f>
        <v>1.033</v>
      </c>
      <c r="E1094" s="24">
        <f>IFERROR(__xludf.DUMMYFUNCTION("""COMPUTED_VALUE"""),67.0)</f>
        <v>67</v>
      </c>
      <c r="F1094" s="27" t="str">
        <f>IFERROR(__xludf.DUMMYFUNCTION("""COMPUTED_VALUE"""),"BLACK")</f>
        <v>BLACK</v>
      </c>
      <c r="G1094" s="28" t="str">
        <f>IFERROR(__xludf.DUMMYFUNCTION("""COMPUTED_VALUE"""),"First Times a Charm Cider")</f>
        <v>First Times a Charm Cider</v>
      </c>
      <c r="H1094" s="27" t="str">
        <f>IFERROR(__xludf.DUMMYFUNCTION("""COMPUTED_VALUE"""),"")</f>
        <v/>
      </c>
    </row>
    <row r="1095">
      <c r="A1095" s="17"/>
      <c r="B1095" s="23"/>
      <c r="C1095" s="17">
        <f>IFERROR(__xludf.DUMMYFUNCTION("""COMPUTED_VALUE"""),43543.1584714467)</f>
        <v>43543.15847</v>
      </c>
      <c r="D1095" s="23">
        <f>IFERROR(__xludf.DUMMYFUNCTION("""COMPUTED_VALUE"""),1.033)</f>
        <v>1.033</v>
      </c>
      <c r="E1095" s="24">
        <f>IFERROR(__xludf.DUMMYFUNCTION("""COMPUTED_VALUE"""),67.0)</f>
        <v>67</v>
      </c>
      <c r="F1095" s="27" t="str">
        <f>IFERROR(__xludf.DUMMYFUNCTION("""COMPUTED_VALUE"""),"BLACK")</f>
        <v>BLACK</v>
      </c>
      <c r="G1095" s="28" t="str">
        <f>IFERROR(__xludf.DUMMYFUNCTION("""COMPUTED_VALUE"""),"First Times a Charm Cider")</f>
        <v>First Times a Charm Cider</v>
      </c>
      <c r="H1095" s="27" t="str">
        <f>IFERROR(__xludf.DUMMYFUNCTION("""COMPUTED_VALUE"""),"")</f>
        <v/>
      </c>
    </row>
    <row r="1096">
      <c r="A1096" s="17"/>
      <c r="B1096" s="23"/>
      <c r="C1096" s="17">
        <f>IFERROR(__xludf.DUMMYFUNCTION("""COMPUTED_VALUE"""),43543.1480385301)</f>
        <v>43543.14804</v>
      </c>
      <c r="D1096" s="23">
        <f>IFERROR(__xludf.DUMMYFUNCTION("""COMPUTED_VALUE"""),1.033)</f>
        <v>1.033</v>
      </c>
      <c r="E1096" s="24">
        <f>IFERROR(__xludf.DUMMYFUNCTION("""COMPUTED_VALUE"""),67.0)</f>
        <v>67</v>
      </c>
      <c r="F1096" s="27" t="str">
        <f>IFERROR(__xludf.DUMMYFUNCTION("""COMPUTED_VALUE"""),"BLACK")</f>
        <v>BLACK</v>
      </c>
      <c r="G1096" s="28" t="str">
        <f>IFERROR(__xludf.DUMMYFUNCTION("""COMPUTED_VALUE"""),"First Times a Charm Cider")</f>
        <v>First Times a Charm Cider</v>
      </c>
      <c r="H1096" s="27" t="str">
        <f>IFERROR(__xludf.DUMMYFUNCTION("""COMPUTED_VALUE"""),"")</f>
        <v/>
      </c>
    </row>
    <row r="1097">
      <c r="A1097" s="17"/>
      <c r="B1097" s="23"/>
      <c r="C1097" s="17">
        <f>IFERROR(__xludf.DUMMYFUNCTION("""COMPUTED_VALUE"""),43543.1375937963)</f>
        <v>43543.13759</v>
      </c>
      <c r="D1097" s="23">
        <f>IFERROR(__xludf.DUMMYFUNCTION("""COMPUTED_VALUE"""),1.033)</f>
        <v>1.033</v>
      </c>
      <c r="E1097" s="24">
        <f>IFERROR(__xludf.DUMMYFUNCTION("""COMPUTED_VALUE"""),67.0)</f>
        <v>67</v>
      </c>
      <c r="F1097" s="27" t="str">
        <f>IFERROR(__xludf.DUMMYFUNCTION("""COMPUTED_VALUE"""),"BLACK")</f>
        <v>BLACK</v>
      </c>
      <c r="G1097" s="28" t="str">
        <f>IFERROR(__xludf.DUMMYFUNCTION("""COMPUTED_VALUE"""),"First Times a Charm Cider")</f>
        <v>First Times a Charm Cider</v>
      </c>
      <c r="H1097" s="27" t="str">
        <f>IFERROR(__xludf.DUMMYFUNCTION("""COMPUTED_VALUE"""),"")</f>
        <v/>
      </c>
    </row>
    <row r="1098">
      <c r="A1098" s="17"/>
      <c r="B1098" s="23"/>
      <c r="C1098" s="17">
        <f>IFERROR(__xludf.DUMMYFUNCTION("""COMPUTED_VALUE"""),43543.1271730902)</f>
        <v>43543.12717</v>
      </c>
      <c r="D1098" s="23">
        <f>IFERROR(__xludf.DUMMYFUNCTION("""COMPUTED_VALUE"""),1.033)</f>
        <v>1.033</v>
      </c>
      <c r="E1098" s="24">
        <f>IFERROR(__xludf.DUMMYFUNCTION("""COMPUTED_VALUE"""),67.0)</f>
        <v>67</v>
      </c>
      <c r="F1098" s="27" t="str">
        <f>IFERROR(__xludf.DUMMYFUNCTION("""COMPUTED_VALUE"""),"BLACK")</f>
        <v>BLACK</v>
      </c>
      <c r="G1098" s="28" t="str">
        <f>IFERROR(__xludf.DUMMYFUNCTION("""COMPUTED_VALUE"""),"First Times a Charm Cider")</f>
        <v>First Times a Charm Cider</v>
      </c>
      <c r="H1098" s="27" t="str">
        <f>IFERROR(__xludf.DUMMYFUNCTION("""COMPUTED_VALUE"""),"")</f>
        <v/>
      </c>
    </row>
    <row r="1099">
      <c r="A1099" s="17"/>
      <c r="B1099" s="23"/>
      <c r="C1099" s="17">
        <f>IFERROR(__xludf.DUMMYFUNCTION("""COMPUTED_VALUE"""),43543.1167281597)</f>
        <v>43543.11673</v>
      </c>
      <c r="D1099" s="23">
        <f>IFERROR(__xludf.DUMMYFUNCTION("""COMPUTED_VALUE"""),1.033)</f>
        <v>1.033</v>
      </c>
      <c r="E1099" s="24">
        <f>IFERROR(__xludf.DUMMYFUNCTION("""COMPUTED_VALUE"""),67.0)</f>
        <v>67</v>
      </c>
      <c r="F1099" s="27" t="str">
        <f>IFERROR(__xludf.DUMMYFUNCTION("""COMPUTED_VALUE"""),"BLACK")</f>
        <v>BLACK</v>
      </c>
      <c r="G1099" s="28" t="str">
        <f>IFERROR(__xludf.DUMMYFUNCTION("""COMPUTED_VALUE"""),"First Times a Charm Cider")</f>
        <v>First Times a Charm Cider</v>
      </c>
      <c r="H1099" s="27" t="str">
        <f>IFERROR(__xludf.DUMMYFUNCTION("""COMPUTED_VALUE"""),"")</f>
        <v/>
      </c>
    </row>
    <row r="1100">
      <c r="A1100" s="17"/>
      <c r="B1100" s="23"/>
      <c r="C1100" s="17">
        <f>IFERROR(__xludf.DUMMYFUNCTION("""COMPUTED_VALUE"""),43543.1063059143)</f>
        <v>43543.10631</v>
      </c>
      <c r="D1100" s="23">
        <f>IFERROR(__xludf.DUMMYFUNCTION("""COMPUTED_VALUE"""),1.033)</f>
        <v>1.033</v>
      </c>
      <c r="E1100" s="24">
        <f>IFERROR(__xludf.DUMMYFUNCTION("""COMPUTED_VALUE"""),67.0)</f>
        <v>67</v>
      </c>
      <c r="F1100" s="27" t="str">
        <f>IFERROR(__xludf.DUMMYFUNCTION("""COMPUTED_VALUE"""),"BLACK")</f>
        <v>BLACK</v>
      </c>
      <c r="G1100" s="28" t="str">
        <f>IFERROR(__xludf.DUMMYFUNCTION("""COMPUTED_VALUE"""),"First Times a Charm Cider")</f>
        <v>First Times a Charm Cider</v>
      </c>
      <c r="H1100" s="27" t="str">
        <f>IFERROR(__xludf.DUMMYFUNCTION("""COMPUTED_VALUE"""),"")</f>
        <v/>
      </c>
    </row>
    <row r="1101">
      <c r="A1101" s="17"/>
      <c r="B1101" s="23"/>
      <c r="C1101" s="17">
        <f>IFERROR(__xludf.DUMMYFUNCTION("""COMPUTED_VALUE"""),43543.095885243)</f>
        <v>43543.09589</v>
      </c>
      <c r="D1101" s="23">
        <f>IFERROR(__xludf.DUMMYFUNCTION("""COMPUTED_VALUE"""),1.033)</f>
        <v>1.033</v>
      </c>
      <c r="E1101" s="24">
        <f>IFERROR(__xludf.DUMMYFUNCTION("""COMPUTED_VALUE"""),67.0)</f>
        <v>67</v>
      </c>
      <c r="F1101" s="27" t="str">
        <f>IFERROR(__xludf.DUMMYFUNCTION("""COMPUTED_VALUE"""),"BLACK")</f>
        <v>BLACK</v>
      </c>
      <c r="G1101" s="28" t="str">
        <f>IFERROR(__xludf.DUMMYFUNCTION("""COMPUTED_VALUE"""),"First Times a Charm Cider")</f>
        <v>First Times a Charm Cider</v>
      </c>
      <c r="H1101" s="27" t="str">
        <f>IFERROR(__xludf.DUMMYFUNCTION("""COMPUTED_VALUE"""),"")</f>
        <v/>
      </c>
    </row>
    <row r="1102">
      <c r="A1102" s="17"/>
      <c r="B1102" s="23"/>
      <c r="C1102" s="17">
        <f>IFERROR(__xludf.DUMMYFUNCTION("""COMPUTED_VALUE"""),43543.0854644328)</f>
        <v>43543.08546</v>
      </c>
      <c r="D1102" s="23">
        <f>IFERROR(__xludf.DUMMYFUNCTION("""COMPUTED_VALUE"""),1.033)</f>
        <v>1.033</v>
      </c>
      <c r="E1102" s="24">
        <f>IFERROR(__xludf.DUMMYFUNCTION("""COMPUTED_VALUE"""),67.0)</f>
        <v>67</v>
      </c>
      <c r="F1102" s="27" t="str">
        <f>IFERROR(__xludf.DUMMYFUNCTION("""COMPUTED_VALUE"""),"BLACK")</f>
        <v>BLACK</v>
      </c>
      <c r="G1102" s="28" t="str">
        <f>IFERROR(__xludf.DUMMYFUNCTION("""COMPUTED_VALUE"""),"First Times a Charm Cider")</f>
        <v>First Times a Charm Cider</v>
      </c>
      <c r="H1102" s="27" t="str">
        <f>IFERROR(__xludf.DUMMYFUNCTION("""COMPUTED_VALUE"""),"")</f>
        <v/>
      </c>
    </row>
    <row r="1103">
      <c r="A1103" s="17"/>
      <c r="B1103" s="23"/>
      <c r="C1103" s="17">
        <f>IFERROR(__xludf.DUMMYFUNCTION("""COMPUTED_VALUE"""),43543.0749843287)</f>
        <v>43543.07498</v>
      </c>
      <c r="D1103" s="23">
        <f>IFERROR(__xludf.DUMMYFUNCTION("""COMPUTED_VALUE"""),1.033)</f>
        <v>1.033</v>
      </c>
      <c r="E1103" s="24">
        <f>IFERROR(__xludf.DUMMYFUNCTION("""COMPUTED_VALUE"""),67.0)</f>
        <v>67</v>
      </c>
      <c r="F1103" s="27" t="str">
        <f>IFERROR(__xludf.DUMMYFUNCTION("""COMPUTED_VALUE"""),"BLACK")</f>
        <v>BLACK</v>
      </c>
      <c r="G1103" s="28" t="str">
        <f>IFERROR(__xludf.DUMMYFUNCTION("""COMPUTED_VALUE"""),"First Times a Charm Cider")</f>
        <v>First Times a Charm Cider</v>
      </c>
      <c r="H1103" s="27" t="str">
        <f>IFERROR(__xludf.DUMMYFUNCTION("""COMPUTED_VALUE"""),"")</f>
        <v/>
      </c>
    </row>
    <row r="1104">
      <c r="A1104" s="17"/>
      <c r="B1104" s="23"/>
      <c r="C1104" s="17">
        <f>IFERROR(__xludf.DUMMYFUNCTION("""COMPUTED_VALUE"""),43543.0645613541)</f>
        <v>43543.06456</v>
      </c>
      <c r="D1104" s="23">
        <f>IFERROR(__xludf.DUMMYFUNCTION("""COMPUTED_VALUE"""),1.033)</f>
        <v>1.033</v>
      </c>
      <c r="E1104" s="24">
        <f>IFERROR(__xludf.DUMMYFUNCTION("""COMPUTED_VALUE"""),67.0)</f>
        <v>67</v>
      </c>
      <c r="F1104" s="27" t="str">
        <f>IFERROR(__xludf.DUMMYFUNCTION("""COMPUTED_VALUE"""),"BLACK")</f>
        <v>BLACK</v>
      </c>
      <c r="G1104" s="28" t="str">
        <f>IFERROR(__xludf.DUMMYFUNCTION("""COMPUTED_VALUE"""),"First Times a Charm Cider")</f>
        <v>First Times a Charm Cider</v>
      </c>
      <c r="H1104" s="27" t="str">
        <f>IFERROR(__xludf.DUMMYFUNCTION("""COMPUTED_VALUE"""),"")</f>
        <v/>
      </c>
    </row>
    <row r="1105">
      <c r="A1105" s="17"/>
      <c r="B1105" s="23"/>
      <c r="C1105" s="17">
        <f>IFERROR(__xludf.DUMMYFUNCTION("""COMPUTED_VALUE"""),43543.0541305439)</f>
        <v>43543.05413</v>
      </c>
      <c r="D1105" s="23">
        <f>IFERROR(__xludf.DUMMYFUNCTION("""COMPUTED_VALUE"""),1.033)</f>
        <v>1.033</v>
      </c>
      <c r="E1105" s="24">
        <f>IFERROR(__xludf.DUMMYFUNCTION("""COMPUTED_VALUE"""),67.0)</f>
        <v>67</v>
      </c>
      <c r="F1105" s="27" t="str">
        <f>IFERROR(__xludf.DUMMYFUNCTION("""COMPUTED_VALUE"""),"BLACK")</f>
        <v>BLACK</v>
      </c>
      <c r="G1105" s="28" t="str">
        <f>IFERROR(__xludf.DUMMYFUNCTION("""COMPUTED_VALUE"""),"First Times a Charm Cider")</f>
        <v>First Times a Charm Cider</v>
      </c>
      <c r="H1105" s="27" t="str">
        <f>IFERROR(__xludf.DUMMYFUNCTION("""COMPUTED_VALUE"""),"")</f>
        <v/>
      </c>
    </row>
    <row r="1106">
      <c r="A1106" s="17"/>
      <c r="B1106" s="23"/>
      <c r="C1106" s="17">
        <f>IFERROR(__xludf.DUMMYFUNCTION("""COMPUTED_VALUE"""),43543.043707662)</f>
        <v>43543.04371</v>
      </c>
      <c r="D1106" s="23">
        <f>IFERROR(__xludf.DUMMYFUNCTION("""COMPUTED_VALUE"""),1.033)</f>
        <v>1.033</v>
      </c>
      <c r="E1106" s="24">
        <f>IFERROR(__xludf.DUMMYFUNCTION("""COMPUTED_VALUE"""),66.0)</f>
        <v>66</v>
      </c>
      <c r="F1106" s="27" t="str">
        <f>IFERROR(__xludf.DUMMYFUNCTION("""COMPUTED_VALUE"""),"BLACK")</f>
        <v>BLACK</v>
      </c>
      <c r="G1106" s="28" t="str">
        <f>IFERROR(__xludf.DUMMYFUNCTION("""COMPUTED_VALUE"""),"First Times a Charm Cider")</f>
        <v>First Times a Charm Cider</v>
      </c>
      <c r="H1106" s="27" t="str">
        <f>IFERROR(__xludf.DUMMYFUNCTION("""COMPUTED_VALUE"""),"")</f>
        <v/>
      </c>
    </row>
    <row r="1107">
      <c r="A1107" s="17"/>
      <c r="B1107" s="23"/>
      <c r="C1107" s="17">
        <f>IFERROR(__xludf.DUMMYFUNCTION("""COMPUTED_VALUE"""),43543.0332861805)</f>
        <v>43543.03329</v>
      </c>
      <c r="D1107" s="23">
        <f>IFERROR(__xludf.DUMMYFUNCTION("""COMPUTED_VALUE"""),1.033)</f>
        <v>1.033</v>
      </c>
      <c r="E1107" s="24">
        <f>IFERROR(__xludf.DUMMYFUNCTION("""COMPUTED_VALUE"""),67.0)</f>
        <v>67</v>
      </c>
      <c r="F1107" s="27" t="str">
        <f>IFERROR(__xludf.DUMMYFUNCTION("""COMPUTED_VALUE"""),"BLACK")</f>
        <v>BLACK</v>
      </c>
      <c r="G1107" s="28" t="str">
        <f>IFERROR(__xludf.DUMMYFUNCTION("""COMPUTED_VALUE"""),"First Times a Charm Cider")</f>
        <v>First Times a Charm Cider</v>
      </c>
      <c r="H1107" s="27" t="str">
        <f>IFERROR(__xludf.DUMMYFUNCTION("""COMPUTED_VALUE"""),"")</f>
        <v/>
      </c>
    </row>
    <row r="1108">
      <c r="A1108" s="17"/>
      <c r="B1108" s="23"/>
      <c r="C1108" s="17">
        <f>IFERROR(__xludf.DUMMYFUNCTION("""COMPUTED_VALUE"""),43543.0228425694)</f>
        <v>43543.02284</v>
      </c>
      <c r="D1108" s="23">
        <f>IFERROR(__xludf.DUMMYFUNCTION("""COMPUTED_VALUE"""),1.033)</f>
        <v>1.033</v>
      </c>
      <c r="E1108" s="24">
        <f>IFERROR(__xludf.DUMMYFUNCTION("""COMPUTED_VALUE"""),66.0)</f>
        <v>66</v>
      </c>
      <c r="F1108" s="27" t="str">
        <f>IFERROR(__xludf.DUMMYFUNCTION("""COMPUTED_VALUE"""),"BLACK")</f>
        <v>BLACK</v>
      </c>
      <c r="G1108" s="28" t="str">
        <f>IFERROR(__xludf.DUMMYFUNCTION("""COMPUTED_VALUE"""),"First Times a Charm Cider")</f>
        <v>First Times a Charm Cider</v>
      </c>
      <c r="H1108" s="27" t="str">
        <f>IFERROR(__xludf.DUMMYFUNCTION("""COMPUTED_VALUE"""),"")</f>
        <v/>
      </c>
    </row>
    <row r="1109">
      <c r="A1109" s="17"/>
      <c r="B1109" s="23"/>
      <c r="C1109" s="17">
        <f>IFERROR(__xludf.DUMMYFUNCTION("""COMPUTED_VALUE"""),43543.012409699)</f>
        <v>43543.01241</v>
      </c>
      <c r="D1109" s="23">
        <f>IFERROR(__xludf.DUMMYFUNCTION("""COMPUTED_VALUE"""),1.033)</f>
        <v>1.033</v>
      </c>
      <c r="E1109" s="24">
        <f>IFERROR(__xludf.DUMMYFUNCTION("""COMPUTED_VALUE"""),66.0)</f>
        <v>66</v>
      </c>
      <c r="F1109" s="27" t="str">
        <f>IFERROR(__xludf.DUMMYFUNCTION("""COMPUTED_VALUE"""),"BLACK")</f>
        <v>BLACK</v>
      </c>
      <c r="G1109" s="28" t="str">
        <f>IFERROR(__xludf.DUMMYFUNCTION("""COMPUTED_VALUE"""),"First Times a Charm Cider")</f>
        <v>First Times a Charm Cider</v>
      </c>
      <c r="H1109" s="27" t="str">
        <f>IFERROR(__xludf.DUMMYFUNCTION("""COMPUTED_VALUE"""),"")</f>
        <v/>
      </c>
    </row>
    <row r="1110">
      <c r="A1110" s="17"/>
      <c r="B1110" s="23"/>
      <c r="C1110" s="17">
        <f>IFERROR(__xludf.DUMMYFUNCTION("""COMPUTED_VALUE"""),43543.0019892361)</f>
        <v>43543.00199</v>
      </c>
      <c r="D1110" s="23">
        <f>IFERROR(__xludf.DUMMYFUNCTION("""COMPUTED_VALUE"""),1.033)</f>
        <v>1.033</v>
      </c>
      <c r="E1110" s="24">
        <f>IFERROR(__xludf.DUMMYFUNCTION("""COMPUTED_VALUE"""),66.0)</f>
        <v>66</v>
      </c>
      <c r="F1110" s="27" t="str">
        <f>IFERROR(__xludf.DUMMYFUNCTION("""COMPUTED_VALUE"""),"BLACK")</f>
        <v>BLACK</v>
      </c>
      <c r="G1110" s="28" t="str">
        <f>IFERROR(__xludf.DUMMYFUNCTION("""COMPUTED_VALUE"""),"First Times a Charm Cider")</f>
        <v>First Times a Charm Cider</v>
      </c>
      <c r="H1110" s="27" t="str">
        <f>IFERROR(__xludf.DUMMYFUNCTION("""COMPUTED_VALUE"""),"")</f>
        <v/>
      </c>
    </row>
    <row r="1111">
      <c r="A1111" s="17"/>
      <c r="B1111" s="23"/>
      <c r="C1111" s="17">
        <f>IFERROR(__xludf.DUMMYFUNCTION("""COMPUTED_VALUE"""),43542.991569699)</f>
        <v>43542.99157</v>
      </c>
      <c r="D1111" s="23">
        <f>IFERROR(__xludf.DUMMYFUNCTION("""COMPUTED_VALUE"""),1.034)</f>
        <v>1.034</v>
      </c>
      <c r="E1111" s="24">
        <f>IFERROR(__xludf.DUMMYFUNCTION("""COMPUTED_VALUE"""),66.0)</f>
        <v>66</v>
      </c>
      <c r="F1111" s="27" t="str">
        <f>IFERROR(__xludf.DUMMYFUNCTION("""COMPUTED_VALUE"""),"BLACK")</f>
        <v>BLACK</v>
      </c>
      <c r="G1111" s="28" t="str">
        <f>IFERROR(__xludf.DUMMYFUNCTION("""COMPUTED_VALUE"""),"First Times a Charm Cider")</f>
        <v>First Times a Charm Cider</v>
      </c>
      <c r="H1111" s="27" t="str">
        <f>IFERROR(__xludf.DUMMYFUNCTION("""COMPUTED_VALUE"""),"")</f>
        <v/>
      </c>
    </row>
    <row r="1112">
      <c r="A1112" s="17"/>
      <c r="B1112" s="23"/>
      <c r="C1112" s="17">
        <f>IFERROR(__xludf.DUMMYFUNCTION("""COMPUTED_VALUE"""),43542.981147905)</f>
        <v>43542.98115</v>
      </c>
      <c r="D1112" s="23">
        <f>IFERROR(__xludf.DUMMYFUNCTION("""COMPUTED_VALUE"""),1.033)</f>
        <v>1.033</v>
      </c>
      <c r="E1112" s="24">
        <f>IFERROR(__xludf.DUMMYFUNCTION("""COMPUTED_VALUE"""),66.0)</f>
        <v>66</v>
      </c>
      <c r="F1112" s="27" t="str">
        <f>IFERROR(__xludf.DUMMYFUNCTION("""COMPUTED_VALUE"""),"BLACK")</f>
        <v>BLACK</v>
      </c>
      <c r="G1112" s="28" t="str">
        <f>IFERROR(__xludf.DUMMYFUNCTION("""COMPUTED_VALUE"""),"First Times a Charm Cider")</f>
        <v>First Times a Charm Cider</v>
      </c>
      <c r="H1112" s="27" t="str">
        <f>IFERROR(__xludf.DUMMYFUNCTION("""COMPUTED_VALUE"""),"")</f>
        <v/>
      </c>
    </row>
    <row r="1113">
      <c r="A1113" s="17"/>
      <c r="B1113" s="23"/>
      <c r="C1113" s="17">
        <f>IFERROR(__xludf.DUMMYFUNCTION("""COMPUTED_VALUE"""),43542.9707155208)</f>
        <v>43542.97072</v>
      </c>
      <c r="D1113" s="23">
        <f>IFERROR(__xludf.DUMMYFUNCTION("""COMPUTED_VALUE"""),1.033)</f>
        <v>1.033</v>
      </c>
      <c r="E1113" s="24">
        <f>IFERROR(__xludf.DUMMYFUNCTION("""COMPUTED_VALUE"""),66.0)</f>
        <v>66</v>
      </c>
      <c r="F1113" s="27" t="str">
        <f>IFERROR(__xludf.DUMMYFUNCTION("""COMPUTED_VALUE"""),"BLACK")</f>
        <v>BLACK</v>
      </c>
      <c r="G1113" s="28" t="str">
        <f>IFERROR(__xludf.DUMMYFUNCTION("""COMPUTED_VALUE"""),"First Times a Charm Cider")</f>
        <v>First Times a Charm Cider</v>
      </c>
      <c r="H1113" s="27" t="str">
        <f>IFERROR(__xludf.DUMMYFUNCTION("""COMPUTED_VALUE"""),"")</f>
        <v/>
      </c>
    </row>
    <row r="1114">
      <c r="A1114" s="17"/>
      <c r="B1114" s="23"/>
      <c r="C1114" s="17">
        <f>IFERROR(__xludf.DUMMYFUNCTION("""COMPUTED_VALUE"""),43542.9602589699)</f>
        <v>43542.96026</v>
      </c>
      <c r="D1114" s="23">
        <f>IFERROR(__xludf.DUMMYFUNCTION("""COMPUTED_VALUE"""),1.033)</f>
        <v>1.033</v>
      </c>
      <c r="E1114" s="24">
        <f>IFERROR(__xludf.DUMMYFUNCTION("""COMPUTED_VALUE"""),66.0)</f>
        <v>66</v>
      </c>
      <c r="F1114" s="27" t="str">
        <f>IFERROR(__xludf.DUMMYFUNCTION("""COMPUTED_VALUE"""),"BLACK")</f>
        <v>BLACK</v>
      </c>
      <c r="G1114" s="28" t="str">
        <f>IFERROR(__xludf.DUMMYFUNCTION("""COMPUTED_VALUE"""),"First Times a Charm Cider")</f>
        <v>First Times a Charm Cider</v>
      </c>
      <c r="H1114" s="27" t="str">
        <f>IFERROR(__xludf.DUMMYFUNCTION("""COMPUTED_VALUE"""),"")</f>
        <v/>
      </c>
    </row>
    <row r="1115">
      <c r="A1115" s="17"/>
      <c r="B1115" s="23"/>
      <c r="C1115" s="17">
        <f>IFERROR(__xludf.DUMMYFUNCTION("""COMPUTED_VALUE"""),43542.9498132638)</f>
        <v>43542.94981</v>
      </c>
      <c r="D1115" s="23">
        <f>IFERROR(__xludf.DUMMYFUNCTION("""COMPUTED_VALUE"""),1.033)</f>
        <v>1.033</v>
      </c>
      <c r="E1115" s="24">
        <f>IFERROR(__xludf.DUMMYFUNCTION("""COMPUTED_VALUE"""),66.0)</f>
        <v>66</v>
      </c>
      <c r="F1115" s="27" t="str">
        <f>IFERROR(__xludf.DUMMYFUNCTION("""COMPUTED_VALUE"""),"BLACK")</f>
        <v>BLACK</v>
      </c>
      <c r="G1115" s="28" t="str">
        <f>IFERROR(__xludf.DUMMYFUNCTION("""COMPUTED_VALUE"""),"First Times a Charm Cider")</f>
        <v>First Times a Charm Cider</v>
      </c>
      <c r="H1115" s="27" t="str">
        <f>IFERROR(__xludf.DUMMYFUNCTION("""COMPUTED_VALUE"""),"")</f>
        <v/>
      </c>
    </row>
    <row r="1116">
      <c r="A1116" s="17"/>
      <c r="B1116" s="23"/>
      <c r="C1116" s="17">
        <f>IFERROR(__xludf.DUMMYFUNCTION("""COMPUTED_VALUE"""),43542.9393787615)</f>
        <v>43542.93938</v>
      </c>
      <c r="D1116" s="23">
        <f>IFERROR(__xludf.DUMMYFUNCTION("""COMPUTED_VALUE"""),1.034)</f>
        <v>1.034</v>
      </c>
      <c r="E1116" s="24">
        <f>IFERROR(__xludf.DUMMYFUNCTION("""COMPUTED_VALUE"""),66.0)</f>
        <v>66</v>
      </c>
      <c r="F1116" s="27" t="str">
        <f>IFERROR(__xludf.DUMMYFUNCTION("""COMPUTED_VALUE"""),"BLACK")</f>
        <v>BLACK</v>
      </c>
      <c r="G1116" s="28" t="str">
        <f>IFERROR(__xludf.DUMMYFUNCTION("""COMPUTED_VALUE"""),"First Times a Charm Cider")</f>
        <v>First Times a Charm Cider</v>
      </c>
      <c r="H1116" s="27" t="str">
        <f>IFERROR(__xludf.DUMMYFUNCTION("""COMPUTED_VALUE"""),"")</f>
        <v/>
      </c>
    </row>
    <row r="1117">
      <c r="A1117" s="17"/>
      <c r="B1117" s="23"/>
      <c r="C1117" s="17">
        <f>IFERROR(__xludf.DUMMYFUNCTION("""COMPUTED_VALUE"""),43542.9289113888)</f>
        <v>43542.92891</v>
      </c>
      <c r="D1117" s="23">
        <f>IFERROR(__xludf.DUMMYFUNCTION("""COMPUTED_VALUE"""),1.034)</f>
        <v>1.034</v>
      </c>
      <c r="E1117" s="24">
        <f>IFERROR(__xludf.DUMMYFUNCTION("""COMPUTED_VALUE"""),66.0)</f>
        <v>66</v>
      </c>
      <c r="F1117" s="27" t="str">
        <f>IFERROR(__xludf.DUMMYFUNCTION("""COMPUTED_VALUE"""),"BLACK")</f>
        <v>BLACK</v>
      </c>
      <c r="G1117" s="28" t="str">
        <f>IFERROR(__xludf.DUMMYFUNCTION("""COMPUTED_VALUE"""),"First Times a Charm Cider")</f>
        <v>First Times a Charm Cider</v>
      </c>
      <c r="H1117" s="27" t="str">
        <f>IFERROR(__xludf.DUMMYFUNCTION("""COMPUTED_VALUE"""),"")</f>
        <v/>
      </c>
    </row>
    <row r="1118">
      <c r="A1118" s="17"/>
      <c r="B1118" s="23"/>
      <c r="C1118" s="17">
        <f>IFERROR(__xludf.DUMMYFUNCTION("""COMPUTED_VALUE"""),43542.9184902199)</f>
        <v>43542.91849</v>
      </c>
      <c r="D1118" s="23">
        <f>IFERROR(__xludf.DUMMYFUNCTION("""COMPUTED_VALUE"""),1.034)</f>
        <v>1.034</v>
      </c>
      <c r="E1118" s="24">
        <f>IFERROR(__xludf.DUMMYFUNCTION("""COMPUTED_VALUE"""),66.0)</f>
        <v>66</v>
      </c>
      <c r="F1118" s="27" t="str">
        <f>IFERROR(__xludf.DUMMYFUNCTION("""COMPUTED_VALUE"""),"BLACK")</f>
        <v>BLACK</v>
      </c>
      <c r="G1118" s="28" t="str">
        <f>IFERROR(__xludf.DUMMYFUNCTION("""COMPUTED_VALUE"""),"First Times a Charm Cider")</f>
        <v>First Times a Charm Cider</v>
      </c>
      <c r="H1118" s="27" t="str">
        <f>IFERROR(__xludf.DUMMYFUNCTION("""COMPUTED_VALUE"""),"")</f>
        <v/>
      </c>
    </row>
    <row r="1119">
      <c r="A1119" s="17"/>
      <c r="B1119" s="23"/>
      <c r="C1119" s="17">
        <f>IFERROR(__xludf.DUMMYFUNCTION("""COMPUTED_VALUE"""),43542.9080568287)</f>
        <v>43542.90806</v>
      </c>
      <c r="D1119" s="23">
        <f>IFERROR(__xludf.DUMMYFUNCTION("""COMPUTED_VALUE"""),1.033)</f>
        <v>1.033</v>
      </c>
      <c r="E1119" s="24">
        <f>IFERROR(__xludf.DUMMYFUNCTION("""COMPUTED_VALUE"""),66.0)</f>
        <v>66</v>
      </c>
      <c r="F1119" s="27" t="str">
        <f>IFERROR(__xludf.DUMMYFUNCTION("""COMPUTED_VALUE"""),"BLACK")</f>
        <v>BLACK</v>
      </c>
      <c r="G1119" s="28" t="str">
        <f>IFERROR(__xludf.DUMMYFUNCTION("""COMPUTED_VALUE"""),"First Times a Charm Cider")</f>
        <v>First Times a Charm Cider</v>
      </c>
      <c r="H1119" s="27" t="str">
        <f>IFERROR(__xludf.DUMMYFUNCTION("""COMPUTED_VALUE"""),"")</f>
        <v/>
      </c>
    </row>
    <row r="1120">
      <c r="A1120" s="17"/>
      <c r="B1120" s="23"/>
      <c r="C1120" s="17">
        <f>IFERROR(__xludf.DUMMYFUNCTION("""COMPUTED_VALUE"""),43542.897636875)</f>
        <v>43542.89764</v>
      </c>
      <c r="D1120" s="23">
        <f>IFERROR(__xludf.DUMMYFUNCTION("""COMPUTED_VALUE"""),1.034)</f>
        <v>1.034</v>
      </c>
      <c r="E1120" s="24">
        <f>IFERROR(__xludf.DUMMYFUNCTION("""COMPUTED_VALUE"""),66.0)</f>
        <v>66</v>
      </c>
      <c r="F1120" s="27" t="str">
        <f>IFERROR(__xludf.DUMMYFUNCTION("""COMPUTED_VALUE"""),"BLACK")</f>
        <v>BLACK</v>
      </c>
      <c r="G1120" s="28" t="str">
        <f>IFERROR(__xludf.DUMMYFUNCTION("""COMPUTED_VALUE"""),"First Times a Charm Cider")</f>
        <v>First Times a Charm Cider</v>
      </c>
      <c r="H1120" s="27" t="str">
        <f>IFERROR(__xludf.DUMMYFUNCTION("""COMPUTED_VALUE"""),"")</f>
        <v/>
      </c>
    </row>
    <row r="1121">
      <c r="A1121" s="17"/>
      <c r="B1121" s="23"/>
      <c r="C1121" s="17">
        <f>IFERROR(__xludf.DUMMYFUNCTION("""COMPUTED_VALUE"""),43542.8872154976)</f>
        <v>43542.88722</v>
      </c>
      <c r="D1121" s="23">
        <f>IFERROR(__xludf.DUMMYFUNCTION("""COMPUTED_VALUE"""),1.033)</f>
        <v>1.033</v>
      </c>
      <c r="E1121" s="24">
        <f>IFERROR(__xludf.DUMMYFUNCTION("""COMPUTED_VALUE"""),66.0)</f>
        <v>66</v>
      </c>
      <c r="F1121" s="27" t="str">
        <f>IFERROR(__xludf.DUMMYFUNCTION("""COMPUTED_VALUE"""),"BLACK")</f>
        <v>BLACK</v>
      </c>
      <c r="G1121" s="28" t="str">
        <f>IFERROR(__xludf.DUMMYFUNCTION("""COMPUTED_VALUE"""),"First Times a Charm Cider")</f>
        <v>First Times a Charm Cider</v>
      </c>
      <c r="H1121" s="27" t="str">
        <f>IFERROR(__xludf.DUMMYFUNCTION("""COMPUTED_VALUE"""),"")</f>
        <v/>
      </c>
    </row>
    <row r="1122">
      <c r="A1122" s="17"/>
      <c r="B1122" s="23"/>
      <c r="C1122" s="17">
        <f>IFERROR(__xludf.DUMMYFUNCTION("""COMPUTED_VALUE"""),43542.8767950115)</f>
        <v>43542.8768</v>
      </c>
      <c r="D1122" s="23">
        <f>IFERROR(__xludf.DUMMYFUNCTION("""COMPUTED_VALUE"""),1.034)</f>
        <v>1.034</v>
      </c>
      <c r="E1122" s="24">
        <f>IFERROR(__xludf.DUMMYFUNCTION("""COMPUTED_VALUE"""),66.0)</f>
        <v>66</v>
      </c>
      <c r="F1122" s="27" t="str">
        <f>IFERROR(__xludf.DUMMYFUNCTION("""COMPUTED_VALUE"""),"BLACK")</f>
        <v>BLACK</v>
      </c>
      <c r="G1122" s="28" t="str">
        <f>IFERROR(__xludf.DUMMYFUNCTION("""COMPUTED_VALUE"""),"First Times a Charm Cider")</f>
        <v>First Times a Charm Cider</v>
      </c>
      <c r="H1122" s="27" t="str">
        <f>IFERROR(__xludf.DUMMYFUNCTION("""COMPUTED_VALUE"""),"")</f>
        <v/>
      </c>
    </row>
    <row r="1123">
      <c r="A1123" s="17"/>
      <c r="B1123" s="23"/>
      <c r="C1123" s="17">
        <f>IFERROR(__xludf.DUMMYFUNCTION("""COMPUTED_VALUE"""),43542.8663755439)</f>
        <v>43542.86638</v>
      </c>
      <c r="D1123" s="23">
        <f>IFERROR(__xludf.DUMMYFUNCTION("""COMPUTED_VALUE"""),1.034)</f>
        <v>1.034</v>
      </c>
      <c r="E1123" s="24">
        <f>IFERROR(__xludf.DUMMYFUNCTION("""COMPUTED_VALUE"""),66.0)</f>
        <v>66</v>
      </c>
      <c r="F1123" s="27" t="str">
        <f>IFERROR(__xludf.DUMMYFUNCTION("""COMPUTED_VALUE"""),"BLACK")</f>
        <v>BLACK</v>
      </c>
      <c r="G1123" s="28" t="str">
        <f>IFERROR(__xludf.DUMMYFUNCTION("""COMPUTED_VALUE"""),"First Times a Charm Cider")</f>
        <v>First Times a Charm Cider</v>
      </c>
      <c r="H1123" s="27" t="str">
        <f>IFERROR(__xludf.DUMMYFUNCTION("""COMPUTED_VALUE"""),"")</f>
        <v/>
      </c>
    </row>
    <row r="1124">
      <c r="A1124" s="17"/>
      <c r="B1124" s="23"/>
      <c r="C1124" s="17">
        <f>IFERROR(__xludf.DUMMYFUNCTION("""COMPUTED_VALUE"""),43542.855908831)</f>
        <v>43542.85591</v>
      </c>
      <c r="D1124" s="23">
        <f>IFERROR(__xludf.DUMMYFUNCTION("""COMPUTED_VALUE"""),1.034)</f>
        <v>1.034</v>
      </c>
      <c r="E1124" s="24">
        <f>IFERROR(__xludf.DUMMYFUNCTION("""COMPUTED_VALUE"""),66.0)</f>
        <v>66</v>
      </c>
      <c r="F1124" s="27" t="str">
        <f>IFERROR(__xludf.DUMMYFUNCTION("""COMPUTED_VALUE"""),"BLACK")</f>
        <v>BLACK</v>
      </c>
      <c r="G1124" s="28" t="str">
        <f>IFERROR(__xludf.DUMMYFUNCTION("""COMPUTED_VALUE"""),"First Times a Charm Cider")</f>
        <v>First Times a Charm Cider</v>
      </c>
      <c r="H1124" s="27" t="str">
        <f>IFERROR(__xludf.DUMMYFUNCTION("""COMPUTED_VALUE"""),"")</f>
        <v/>
      </c>
    </row>
    <row r="1125">
      <c r="A1125" s="17"/>
      <c r="B1125" s="23"/>
      <c r="C1125" s="17">
        <f>IFERROR(__xludf.DUMMYFUNCTION("""COMPUTED_VALUE"""),43542.8454746527)</f>
        <v>43542.84547</v>
      </c>
      <c r="D1125" s="23">
        <f>IFERROR(__xludf.DUMMYFUNCTION("""COMPUTED_VALUE"""),1.034)</f>
        <v>1.034</v>
      </c>
      <c r="E1125" s="24">
        <f>IFERROR(__xludf.DUMMYFUNCTION("""COMPUTED_VALUE"""),66.0)</f>
        <v>66</v>
      </c>
      <c r="F1125" s="27" t="str">
        <f>IFERROR(__xludf.DUMMYFUNCTION("""COMPUTED_VALUE"""),"BLACK")</f>
        <v>BLACK</v>
      </c>
      <c r="G1125" s="28" t="str">
        <f>IFERROR(__xludf.DUMMYFUNCTION("""COMPUTED_VALUE"""),"First Times a Charm Cider")</f>
        <v>First Times a Charm Cider</v>
      </c>
      <c r="H1125" s="27" t="str">
        <f>IFERROR(__xludf.DUMMYFUNCTION("""COMPUTED_VALUE"""),"")</f>
        <v/>
      </c>
    </row>
    <row r="1126">
      <c r="A1126" s="17"/>
      <c r="B1126" s="23"/>
      <c r="C1126" s="17">
        <f>IFERROR(__xludf.DUMMYFUNCTION("""COMPUTED_VALUE"""),43542.8350418865)</f>
        <v>43542.83504</v>
      </c>
      <c r="D1126" s="23">
        <f>IFERROR(__xludf.DUMMYFUNCTION("""COMPUTED_VALUE"""),1.034)</f>
        <v>1.034</v>
      </c>
      <c r="E1126" s="24">
        <f>IFERROR(__xludf.DUMMYFUNCTION("""COMPUTED_VALUE"""),66.0)</f>
        <v>66</v>
      </c>
      <c r="F1126" s="27" t="str">
        <f>IFERROR(__xludf.DUMMYFUNCTION("""COMPUTED_VALUE"""),"BLACK")</f>
        <v>BLACK</v>
      </c>
      <c r="G1126" s="28" t="str">
        <f>IFERROR(__xludf.DUMMYFUNCTION("""COMPUTED_VALUE"""),"First Times a Charm Cider")</f>
        <v>First Times a Charm Cider</v>
      </c>
      <c r="H1126" s="27" t="str">
        <f>IFERROR(__xludf.DUMMYFUNCTION("""COMPUTED_VALUE"""),"")</f>
        <v/>
      </c>
    </row>
    <row r="1127">
      <c r="A1127" s="17"/>
      <c r="B1127" s="23"/>
      <c r="C1127" s="17">
        <f>IFERROR(__xludf.DUMMYFUNCTION("""COMPUTED_VALUE"""),43542.824597824)</f>
        <v>43542.8246</v>
      </c>
      <c r="D1127" s="23">
        <f>IFERROR(__xludf.DUMMYFUNCTION("""COMPUTED_VALUE"""),1.034)</f>
        <v>1.034</v>
      </c>
      <c r="E1127" s="24">
        <f>IFERROR(__xludf.DUMMYFUNCTION("""COMPUTED_VALUE"""),66.0)</f>
        <v>66</v>
      </c>
      <c r="F1127" s="27" t="str">
        <f>IFERROR(__xludf.DUMMYFUNCTION("""COMPUTED_VALUE"""),"BLACK")</f>
        <v>BLACK</v>
      </c>
      <c r="G1127" s="28" t="str">
        <f>IFERROR(__xludf.DUMMYFUNCTION("""COMPUTED_VALUE"""),"First Times a Charm Cider")</f>
        <v>First Times a Charm Cider</v>
      </c>
      <c r="H1127" s="27" t="str">
        <f>IFERROR(__xludf.DUMMYFUNCTION("""COMPUTED_VALUE"""),"")</f>
        <v/>
      </c>
    </row>
    <row r="1128">
      <c r="A1128" s="17"/>
      <c r="B1128" s="23"/>
      <c r="C1128" s="17">
        <f>IFERROR(__xludf.DUMMYFUNCTION("""COMPUTED_VALUE"""),43542.8141764583)</f>
        <v>43542.81418</v>
      </c>
      <c r="D1128" s="23">
        <f>IFERROR(__xludf.DUMMYFUNCTION("""COMPUTED_VALUE"""),1.034)</f>
        <v>1.034</v>
      </c>
      <c r="E1128" s="24">
        <f>IFERROR(__xludf.DUMMYFUNCTION("""COMPUTED_VALUE"""),66.0)</f>
        <v>66</v>
      </c>
      <c r="F1128" s="27" t="str">
        <f>IFERROR(__xludf.DUMMYFUNCTION("""COMPUTED_VALUE"""),"BLACK")</f>
        <v>BLACK</v>
      </c>
      <c r="G1128" s="28" t="str">
        <f>IFERROR(__xludf.DUMMYFUNCTION("""COMPUTED_VALUE"""),"First Times a Charm Cider")</f>
        <v>First Times a Charm Cider</v>
      </c>
      <c r="H1128" s="27" t="str">
        <f>IFERROR(__xludf.DUMMYFUNCTION("""COMPUTED_VALUE"""),"")</f>
        <v/>
      </c>
    </row>
    <row r="1129">
      <c r="A1129" s="17"/>
      <c r="B1129" s="23"/>
      <c r="C1129" s="17">
        <f>IFERROR(__xludf.DUMMYFUNCTION("""COMPUTED_VALUE"""),43542.8037545254)</f>
        <v>43542.80375</v>
      </c>
      <c r="D1129" s="23">
        <f>IFERROR(__xludf.DUMMYFUNCTION("""COMPUTED_VALUE"""),1.034)</f>
        <v>1.034</v>
      </c>
      <c r="E1129" s="24">
        <f>IFERROR(__xludf.DUMMYFUNCTION("""COMPUTED_VALUE"""),66.0)</f>
        <v>66</v>
      </c>
      <c r="F1129" s="27" t="str">
        <f>IFERROR(__xludf.DUMMYFUNCTION("""COMPUTED_VALUE"""),"BLACK")</f>
        <v>BLACK</v>
      </c>
      <c r="G1129" s="28" t="str">
        <f>IFERROR(__xludf.DUMMYFUNCTION("""COMPUTED_VALUE"""),"First Times a Charm Cider")</f>
        <v>First Times a Charm Cider</v>
      </c>
      <c r="H1129" s="27" t="str">
        <f>IFERROR(__xludf.DUMMYFUNCTION("""COMPUTED_VALUE"""),"")</f>
        <v/>
      </c>
    </row>
    <row r="1130">
      <c r="A1130" s="17"/>
      <c r="B1130" s="23"/>
      <c r="C1130" s="17">
        <f>IFERROR(__xludf.DUMMYFUNCTION("""COMPUTED_VALUE"""),43542.7933340046)</f>
        <v>43542.79333</v>
      </c>
      <c r="D1130" s="23">
        <f>IFERROR(__xludf.DUMMYFUNCTION("""COMPUTED_VALUE"""),1.034)</f>
        <v>1.034</v>
      </c>
      <c r="E1130" s="24">
        <f>IFERROR(__xludf.DUMMYFUNCTION("""COMPUTED_VALUE"""),66.0)</f>
        <v>66</v>
      </c>
      <c r="F1130" s="27" t="str">
        <f>IFERROR(__xludf.DUMMYFUNCTION("""COMPUTED_VALUE"""),"BLACK")</f>
        <v>BLACK</v>
      </c>
      <c r="G1130" s="28" t="str">
        <f>IFERROR(__xludf.DUMMYFUNCTION("""COMPUTED_VALUE"""),"First Times a Charm Cider")</f>
        <v>First Times a Charm Cider</v>
      </c>
      <c r="H1130" s="27" t="str">
        <f>IFERROR(__xludf.DUMMYFUNCTION("""COMPUTED_VALUE"""),"")</f>
        <v/>
      </c>
    </row>
    <row r="1131">
      <c r="A1131" s="17"/>
      <c r="B1131" s="23"/>
      <c r="C1131" s="17">
        <f>IFERROR(__xludf.DUMMYFUNCTION("""COMPUTED_VALUE"""),43542.7829030902)</f>
        <v>43542.7829</v>
      </c>
      <c r="D1131" s="23">
        <f>IFERROR(__xludf.DUMMYFUNCTION("""COMPUTED_VALUE"""),1.034)</f>
        <v>1.034</v>
      </c>
      <c r="E1131" s="24">
        <f>IFERROR(__xludf.DUMMYFUNCTION("""COMPUTED_VALUE"""),66.0)</f>
        <v>66</v>
      </c>
      <c r="F1131" s="27" t="str">
        <f>IFERROR(__xludf.DUMMYFUNCTION("""COMPUTED_VALUE"""),"BLACK")</f>
        <v>BLACK</v>
      </c>
      <c r="G1131" s="28" t="str">
        <f>IFERROR(__xludf.DUMMYFUNCTION("""COMPUTED_VALUE"""),"First Times a Charm Cider")</f>
        <v>First Times a Charm Cider</v>
      </c>
      <c r="H1131" s="27" t="str">
        <f>IFERROR(__xludf.DUMMYFUNCTION("""COMPUTED_VALUE"""),"")</f>
        <v/>
      </c>
    </row>
    <row r="1132">
      <c r="A1132" s="17"/>
      <c r="B1132" s="23"/>
      <c r="C1132" s="17">
        <f>IFERROR(__xludf.DUMMYFUNCTION("""COMPUTED_VALUE"""),43542.7724815277)</f>
        <v>43542.77248</v>
      </c>
      <c r="D1132" s="23">
        <f>IFERROR(__xludf.DUMMYFUNCTION("""COMPUTED_VALUE"""),1.034)</f>
        <v>1.034</v>
      </c>
      <c r="E1132" s="24">
        <f>IFERROR(__xludf.DUMMYFUNCTION("""COMPUTED_VALUE"""),66.0)</f>
        <v>66</v>
      </c>
      <c r="F1132" s="27" t="str">
        <f>IFERROR(__xludf.DUMMYFUNCTION("""COMPUTED_VALUE"""),"BLACK")</f>
        <v>BLACK</v>
      </c>
      <c r="G1132" s="28" t="str">
        <f>IFERROR(__xludf.DUMMYFUNCTION("""COMPUTED_VALUE"""),"First Times a Charm Cider")</f>
        <v>First Times a Charm Cider</v>
      </c>
      <c r="H1132" s="27" t="str">
        <f>IFERROR(__xludf.DUMMYFUNCTION("""COMPUTED_VALUE"""),"")</f>
        <v/>
      </c>
    </row>
    <row r="1133">
      <c r="A1133" s="17"/>
      <c r="B1133" s="23"/>
      <c r="C1133" s="17">
        <f>IFERROR(__xludf.DUMMYFUNCTION("""COMPUTED_VALUE"""),43542.7620492592)</f>
        <v>43542.76205</v>
      </c>
      <c r="D1133" s="23">
        <f>IFERROR(__xludf.DUMMYFUNCTION("""COMPUTED_VALUE"""),1.034)</f>
        <v>1.034</v>
      </c>
      <c r="E1133" s="24">
        <f>IFERROR(__xludf.DUMMYFUNCTION("""COMPUTED_VALUE"""),66.0)</f>
        <v>66</v>
      </c>
      <c r="F1133" s="27" t="str">
        <f>IFERROR(__xludf.DUMMYFUNCTION("""COMPUTED_VALUE"""),"BLACK")</f>
        <v>BLACK</v>
      </c>
      <c r="G1133" s="28" t="str">
        <f>IFERROR(__xludf.DUMMYFUNCTION("""COMPUTED_VALUE"""),"First Times a Charm Cider")</f>
        <v>First Times a Charm Cider</v>
      </c>
      <c r="H1133" s="27" t="str">
        <f>IFERROR(__xludf.DUMMYFUNCTION("""COMPUTED_VALUE"""),"")</f>
        <v/>
      </c>
    </row>
    <row r="1134">
      <c r="A1134" s="17"/>
      <c r="B1134" s="23"/>
      <c r="C1134" s="17">
        <f>IFERROR(__xludf.DUMMYFUNCTION("""COMPUTED_VALUE"""),43542.7516166087)</f>
        <v>43542.75162</v>
      </c>
      <c r="D1134" s="23">
        <f>IFERROR(__xludf.DUMMYFUNCTION("""COMPUTED_VALUE"""),1.034)</f>
        <v>1.034</v>
      </c>
      <c r="E1134" s="24">
        <f>IFERROR(__xludf.DUMMYFUNCTION("""COMPUTED_VALUE"""),66.0)</f>
        <v>66</v>
      </c>
      <c r="F1134" s="27" t="str">
        <f>IFERROR(__xludf.DUMMYFUNCTION("""COMPUTED_VALUE"""),"BLACK")</f>
        <v>BLACK</v>
      </c>
      <c r="G1134" s="28" t="str">
        <f>IFERROR(__xludf.DUMMYFUNCTION("""COMPUTED_VALUE"""),"First Times a Charm Cider")</f>
        <v>First Times a Charm Cider</v>
      </c>
      <c r="H1134" s="27" t="str">
        <f>IFERROR(__xludf.DUMMYFUNCTION("""COMPUTED_VALUE"""),"")</f>
        <v/>
      </c>
    </row>
    <row r="1135">
      <c r="A1135" s="17"/>
      <c r="B1135" s="23"/>
      <c r="C1135" s="17">
        <f>IFERROR(__xludf.DUMMYFUNCTION("""COMPUTED_VALUE"""),43542.7411626851)</f>
        <v>43542.74116</v>
      </c>
      <c r="D1135" s="23">
        <f>IFERROR(__xludf.DUMMYFUNCTION("""COMPUTED_VALUE"""),1.034)</f>
        <v>1.034</v>
      </c>
      <c r="E1135" s="24">
        <f>IFERROR(__xludf.DUMMYFUNCTION("""COMPUTED_VALUE"""),66.0)</f>
        <v>66</v>
      </c>
      <c r="F1135" s="27" t="str">
        <f>IFERROR(__xludf.DUMMYFUNCTION("""COMPUTED_VALUE"""),"BLACK")</f>
        <v>BLACK</v>
      </c>
      <c r="G1135" s="28" t="str">
        <f>IFERROR(__xludf.DUMMYFUNCTION("""COMPUTED_VALUE"""),"First Times a Charm Cider")</f>
        <v>First Times a Charm Cider</v>
      </c>
      <c r="H1135" s="27" t="str">
        <f>IFERROR(__xludf.DUMMYFUNCTION("""COMPUTED_VALUE"""),"")</f>
        <v/>
      </c>
    </row>
    <row r="1136">
      <c r="A1136" s="17"/>
      <c r="B1136" s="23"/>
      <c r="C1136" s="17">
        <f>IFERROR(__xludf.DUMMYFUNCTION("""COMPUTED_VALUE"""),43542.730706331)</f>
        <v>43542.73071</v>
      </c>
      <c r="D1136" s="23">
        <f>IFERROR(__xludf.DUMMYFUNCTION("""COMPUTED_VALUE"""),1.034)</f>
        <v>1.034</v>
      </c>
      <c r="E1136" s="24">
        <f>IFERROR(__xludf.DUMMYFUNCTION("""COMPUTED_VALUE"""),66.0)</f>
        <v>66</v>
      </c>
      <c r="F1136" s="27" t="str">
        <f>IFERROR(__xludf.DUMMYFUNCTION("""COMPUTED_VALUE"""),"BLACK")</f>
        <v>BLACK</v>
      </c>
      <c r="G1136" s="28" t="str">
        <f>IFERROR(__xludf.DUMMYFUNCTION("""COMPUTED_VALUE"""),"First Times a Charm Cider")</f>
        <v>First Times a Charm Cider</v>
      </c>
      <c r="H1136" s="27" t="str">
        <f>IFERROR(__xludf.DUMMYFUNCTION("""COMPUTED_VALUE"""),"")</f>
        <v/>
      </c>
    </row>
    <row r="1137">
      <c r="A1137" s="17"/>
      <c r="B1137" s="23"/>
      <c r="C1137" s="17">
        <f>IFERROR(__xludf.DUMMYFUNCTION("""COMPUTED_VALUE"""),43542.7202482523)</f>
        <v>43542.72025</v>
      </c>
      <c r="D1137" s="23">
        <f>IFERROR(__xludf.DUMMYFUNCTION("""COMPUTED_VALUE"""),1.034)</f>
        <v>1.034</v>
      </c>
      <c r="E1137" s="24">
        <f>IFERROR(__xludf.DUMMYFUNCTION("""COMPUTED_VALUE"""),66.0)</f>
        <v>66</v>
      </c>
      <c r="F1137" s="27" t="str">
        <f>IFERROR(__xludf.DUMMYFUNCTION("""COMPUTED_VALUE"""),"BLACK")</f>
        <v>BLACK</v>
      </c>
      <c r="G1137" s="28" t="str">
        <f>IFERROR(__xludf.DUMMYFUNCTION("""COMPUTED_VALUE"""),"First Times a Charm Cider")</f>
        <v>First Times a Charm Cider</v>
      </c>
      <c r="H1137" s="27" t="str">
        <f>IFERROR(__xludf.DUMMYFUNCTION("""COMPUTED_VALUE"""),"")</f>
        <v/>
      </c>
    </row>
    <row r="1138">
      <c r="A1138" s="17"/>
      <c r="B1138" s="23"/>
      <c r="C1138" s="17">
        <f>IFERROR(__xludf.DUMMYFUNCTION("""COMPUTED_VALUE"""),43542.7097692824)</f>
        <v>43542.70977</v>
      </c>
      <c r="D1138" s="23">
        <f>IFERROR(__xludf.DUMMYFUNCTION("""COMPUTED_VALUE"""),1.034)</f>
        <v>1.034</v>
      </c>
      <c r="E1138" s="24">
        <f>IFERROR(__xludf.DUMMYFUNCTION("""COMPUTED_VALUE"""),66.0)</f>
        <v>66</v>
      </c>
      <c r="F1138" s="27" t="str">
        <f>IFERROR(__xludf.DUMMYFUNCTION("""COMPUTED_VALUE"""),"BLACK")</f>
        <v>BLACK</v>
      </c>
      <c r="G1138" s="28" t="str">
        <f>IFERROR(__xludf.DUMMYFUNCTION("""COMPUTED_VALUE"""),"First Times a Charm Cider")</f>
        <v>First Times a Charm Cider</v>
      </c>
      <c r="H1138" s="27" t="str">
        <f>IFERROR(__xludf.DUMMYFUNCTION("""COMPUTED_VALUE"""),"")</f>
        <v/>
      </c>
    </row>
    <row r="1139">
      <c r="A1139" s="17"/>
      <c r="B1139" s="23"/>
      <c r="C1139" s="17">
        <f>IFERROR(__xludf.DUMMYFUNCTION("""COMPUTED_VALUE"""),43542.69933728)</f>
        <v>43542.69934</v>
      </c>
      <c r="D1139" s="23">
        <f>IFERROR(__xludf.DUMMYFUNCTION("""COMPUTED_VALUE"""),1.034)</f>
        <v>1.034</v>
      </c>
      <c r="E1139" s="24">
        <f>IFERROR(__xludf.DUMMYFUNCTION("""COMPUTED_VALUE"""),66.0)</f>
        <v>66</v>
      </c>
      <c r="F1139" s="27" t="str">
        <f>IFERROR(__xludf.DUMMYFUNCTION("""COMPUTED_VALUE"""),"BLACK")</f>
        <v>BLACK</v>
      </c>
      <c r="G1139" s="28" t="str">
        <f>IFERROR(__xludf.DUMMYFUNCTION("""COMPUTED_VALUE"""),"First Times a Charm Cider")</f>
        <v>First Times a Charm Cider</v>
      </c>
      <c r="H1139" s="27" t="str">
        <f>IFERROR(__xludf.DUMMYFUNCTION("""COMPUTED_VALUE"""),"")</f>
        <v/>
      </c>
    </row>
    <row r="1140">
      <c r="A1140" s="17"/>
      <c r="B1140" s="23"/>
      <c r="C1140" s="17">
        <f>IFERROR(__xludf.DUMMYFUNCTION("""COMPUTED_VALUE"""),43542.6888699768)</f>
        <v>43542.68887</v>
      </c>
      <c r="D1140" s="23">
        <f>IFERROR(__xludf.DUMMYFUNCTION("""COMPUTED_VALUE"""),1.034)</f>
        <v>1.034</v>
      </c>
      <c r="E1140" s="24">
        <f>IFERROR(__xludf.DUMMYFUNCTION("""COMPUTED_VALUE"""),66.0)</f>
        <v>66</v>
      </c>
      <c r="F1140" s="27" t="str">
        <f>IFERROR(__xludf.DUMMYFUNCTION("""COMPUTED_VALUE"""),"BLACK")</f>
        <v>BLACK</v>
      </c>
      <c r="G1140" s="28" t="str">
        <f>IFERROR(__xludf.DUMMYFUNCTION("""COMPUTED_VALUE"""),"First Times a Charm Cider")</f>
        <v>First Times a Charm Cider</v>
      </c>
      <c r="H1140" s="27" t="str">
        <f>IFERROR(__xludf.DUMMYFUNCTION("""COMPUTED_VALUE"""),"")</f>
        <v/>
      </c>
    </row>
    <row r="1141">
      <c r="A1141" s="17"/>
      <c r="B1141" s="23"/>
      <c r="C1141" s="17">
        <f>IFERROR(__xludf.DUMMYFUNCTION("""COMPUTED_VALUE"""),43542.6784354282)</f>
        <v>43542.67844</v>
      </c>
      <c r="D1141" s="23">
        <f>IFERROR(__xludf.DUMMYFUNCTION("""COMPUTED_VALUE"""),1.034)</f>
        <v>1.034</v>
      </c>
      <c r="E1141" s="24">
        <f>IFERROR(__xludf.DUMMYFUNCTION("""COMPUTED_VALUE"""),66.0)</f>
        <v>66</v>
      </c>
      <c r="F1141" s="27" t="str">
        <f>IFERROR(__xludf.DUMMYFUNCTION("""COMPUTED_VALUE"""),"BLACK")</f>
        <v>BLACK</v>
      </c>
      <c r="G1141" s="28" t="str">
        <f>IFERROR(__xludf.DUMMYFUNCTION("""COMPUTED_VALUE"""),"First Times a Charm Cider")</f>
        <v>First Times a Charm Cider</v>
      </c>
      <c r="H1141" s="27" t="str">
        <f>IFERROR(__xludf.DUMMYFUNCTION("""COMPUTED_VALUE"""),"")</f>
        <v/>
      </c>
    </row>
    <row r="1142">
      <c r="A1142" s="17"/>
      <c r="B1142" s="23"/>
      <c r="C1142" s="17">
        <f>IFERROR(__xludf.DUMMYFUNCTION("""COMPUTED_VALUE"""),43542.6680141088)</f>
        <v>43542.66801</v>
      </c>
      <c r="D1142" s="23">
        <f>IFERROR(__xludf.DUMMYFUNCTION("""COMPUTED_VALUE"""),1.034)</f>
        <v>1.034</v>
      </c>
      <c r="E1142" s="24">
        <f>IFERROR(__xludf.DUMMYFUNCTION("""COMPUTED_VALUE"""),66.0)</f>
        <v>66</v>
      </c>
      <c r="F1142" s="27" t="str">
        <f>IFERROR(__xludf.DUMMYFUNCTION("""COMPUTED_VALUE"""),"BLACK")</f>
        <v>BLACK</v>
      </c>
      <c r="G1142" s="28" t="str">
        <f>IFERROR(__xludf.DUMMYFUNCTION("""COMPUTED_VALUE"""),"First Times a Charm Cider")</f>
        <v>First Times a Charm Cider</v>
      </c>
      <c r="H1142" s="27" t="str">
        <f>IFERROR(__xludf.DUMMYFUNCTION("""COMPUTED_VALUE"""),"")</f>
        <v/>
      </c>
    </row>
    <row r="1143">
      <c r="A1143" s="17"/>
      <c r="B1143" s="23"/>
      <c r="C1143" s="17">
        <f>IFERROR(__xludf.DUMMYFUNCTION("""COMPUTED_VALUE"""),43542.6575358564)</f>
        <v>43542.65754</v>
      </c>
      <c r="D1143" s="23">
        <f>IFERROR(__xludf.DUMMYFUNCTION("""COMPUTED_VALUE"""),1.034)</f>
        <v>1.034</v>
      </c>
      <c r="E1143" s="24">
        <f>IFERROR(__xludf.DUMMYFUNCTION("""COMPUTED_VALUE"""),66.0)</f>
        <v>66</v>
      </c>
      <c r="F1143" s="27" t="str">
        <f>IFERROR(__xludf.DUMMYFUNCTION("""COMPUTED_VALUE"""),"BLACK")</f>
        <v>BLACK</v>
      </c>
      <c r="G1143" s="28" t="str">
        <f>IFERROR(__xludf.DUMMYFUNCTION("""COMPUTED_VALUE"""),"First Times a Charm Cider")</f>
        <v>First Times a Charm Cider</v>
      </c>
      <c r="H1143" s="27" t="str">
        <f>IFERROR(__xludf.DUMMYFUNCTION("""COMPUTED_VALUE"""),"")</f>
        <v/>
      </c>
    </row>
    <row r="1144">
      <c r="A1144" s="17"/>
      <c r="B1144" s="23"/>
      <c r="C1144" s="17">
        <f>IFERROR(__xludf.DUMMYFUNCTION("""COMPUTED_VALUE"""),43542.6470789583)</f>
        <v>43542.64708</v>
      </c>
      <c r="D1144" s="23">
        <f>IFERROR(__xludf.DUMMYFUNCTION("""COMPUTED_VALUE"""),1.034)</f>
        <v>1.034</v>
      </c>
      <c r="E1144" s="24">
        <f>IFERROR(__xludf.DUMMYFUNCTION("""COMPUTED_VALUE"""),66.0)</f>
        <v>66</v>
      </c>
      <c r="F1144" s="27" t="str">
        <f>IFERROR(__xludf.DUMMYFUNCTION("""COMPUTED_VALUE"""),"BLACK")</f>
        <v>BLACK</v>
      </c>
      <c r="G1144" s="28" t="str">
        <f>IFERROR(__xludf.DUMMYFUNCTION("""COMPUTED_VALUE"""),"First Times a Charm Cider")</f>
        <v>First Times a Charm Cider</v>
      </c>
      <c r="H1144" s="27" t="str">
        <f>IFERROR(__xludf.DUMMYFUNCTION("""COMPUTED_VALUE"""),"")</f>
        <v/>
      </c>
    </row>
    <row r="1145">
      <c r="A1145" s="17"/>
      <c r="B1145" s="23"/>
      <c r="C1145" s="17">
        <f>IFERROR(__xludf.DUMMYFUNCTION("""COMPUTED_VALUE"""),43542.6366456713)</f>
        <v>43542.63665</v>
      </c>
      <c r="D1145" s="23">
        <f>IFERROR(__xludf.DUMMYFUNCTION("""COMPUTED_VALUE"""),1.034)</f>
        <v>1.034</v>
      </c>
      <c r="E1145" s="24">
        <f>IFERROR(__xludf.DUMMYFUNCTION("""COMPUTED_VALUE"""),66.0)</f>
        <v>66</v>
      </c>
      <c r="F1145" s="27" t="str">
        <f>IFERROR(__xludf.DUMMYFUNCTION("""COMPUTED_VALUE"""),"BLACK")</f>
        <v>BLACK</v>
      </c>
      <c r="G1145" s="28" t="str">
        <f>IFERROR(__xludf.DUMMYFUNCTION("""COMPUTED_VALUE"""),"First Times a Charm Cider")</f>
        <v>First Times a Charm Cider</v>
      </c>
      <c r="H1145" s="27" t="str">
        <f>IFERROR(__xludf.DUMMYFUNCTION("""COMPUTED_VALUE"""),"")</f>
        <v/>
      </c>
    </row>
    <row r="1146">
      <c r="A1146" s="17"/>
      <c r="B1146" s="23"/>
      <c r="C1146" s="17">
        <f>IFERROR(__xludf.DUMMYFUNCTION("""COMPUTED_VALUE"""),43542.6262010416)</f>
        <v>43542.6262</v>
      </c>
      <c r="D1146" s="23">
        <f>IFERROR(__xludf.DUMMYFUNCTION("""COMPUTED_VALUE"""),1.034)</f>
        <v>1.034</v>
      </c>
      <c r="E1146" s="24">
        <f>IFERROR(__xludf.DUMMYFUNCTION("""COMPUTED_VALUE"""),66.0)</f>
        <v>66</v>
      </c>
      <c r="F1146" s="27" t="str">
        <f>IFERROR(__xludf.DUMMYFUNCTION("""COMPUTED_VALUE"""),"BLACK")</f>
        <v>BLACK</v>
      </c>
      <c r="G1146" s="28" t="str">
        <f>IFERROR(__xludf.DUMMYFUNCTION("""COMPUTED_VALUE"""),"First Times a Charm Cider")</f>
        <v>First Times a Charm Cider</v>
      </c>
      <c r="H1146" s="27" t="str">
        <f>IFERROR(__xludf.DUMMYFUNCTION("""COMPUTED_VALUE"""),"")</f>
        <v/>
      </c>
    </row>
    <row r="1147">
      <c r="A1147" s="17"/>
      <c r="B1147" s="23"/>
      <c r="C1147" s="17">
        <f>IFERROR(__xludf.DUMMYFUNCTION("""COMPUTED_VALUE"""),43542.615767037)</f>
        <v>43542.61577</v>
      </c>
      <c r="D1147" s="23">
        <f>IFERROR(__xludf.DUMMYFUNCTION("""COMPUTED_VALUE"""),1.034)</f>
        <v>1.034</v>
      </c>
      <c r="E1147" s="24">
        <f>IFERROR(__xludf.DUMMYFUNCTION("""COMPUTED_VALUE"""),66.0)</f>
        <v>66</v>
      </c>
      <c r="F1147" s="27" t="str">
        <f>IFERROR(__xludf.DUMMYFUNCTION("""COMPUTED_VALUE"""),"BLACK")</f>
        <v>BLACK</v>
      </c>
      <c r="G1147" s="28" t="str">
        <f>IFERROR(__xludf.DUMMYFUNCTION("""COMPUTED_VALUE"""),"First Times a Charm Cider")</f>
        <v>First Times a Charm Cider</v>
      </c>
      <c r="H1147" s="27" t="str">
        <f>IFERROR(__xludf.DUMMYFUNCTION("""COMPUTED_VALUE"""),"")</f>
        <v/>
      </c>
    </row>
    <row r="1148">
      <c r="A1148" s="17"/>
      <c r="B1148" s="23"/>
      <c r="C1148" s="17">
        <f>IFERROR(__xludf.DUMMYFUNCTION("""COMPUTED_VALUE"""),43542.6053334837)</f>
        <v>43542.60533</v>
      </c>
      <c r="D1148" s="23">
        <f>IFERROR(__xludf.DUMMYFUNCTION("""COMPUTED_VALUE"""),1.034)</f>
        <v>1.034</v>
      </c>
      <c r="E1148" s="24">
        <f>IFERROR(__xludf.DUMMYFUNCTION("""COMPUTED_VALUE"""),66.0)</f>
        <v>66</v>
      </c>
      <c r="F1148" s="27" t="str">
        <f>IFERROR(__xludf.DUMMYFUNCTION("""COMPUTED_VALUE"""),"BLACK")</f>
        <v>BLACK</v>
      </c>
      <c r="G1148" s="28" t="str">
        <f>IFERROR(__xludf.DUMMYFUNCTION("""COMPUTED_VALUE"""),"First Times a Charm Cider")</f>
        <v>First Times a Charm Cider</v>
      </c>
      <c r="H1148" s="27" t="str">
        <f>IFERROR(__xludf.DUMMYFUNCTION("""COMPUTED_VALUE"""),"")</f>
        <v/>
      </c>
    </row>
    <row r="1149">
      <c r="A1149" s="17"/>
      <c r="B1149" s="23"/>
      <c r="C1149" s="17">
        <f>IFERROR(__xludf.DUMMYFUNCTION("""COMPUTED_VALUE"""),43542.5948656713)</f>
        <v>43542.59487</v>
      </c>
      <c r="D1149" s="23">
        <f>IFERROR(__xludf.DUMMYFUNCTION("""COMPUTED_VALUE"""),1.034)</f>
        <v>1.034</v>
      </c>
      <c r="E1149" s="24">
        <f>IFERROR(__xludf.DUMMYFUNCTION("""COMPUTED_VALUE"""),66.0)</f>
        <v>66</v>
      </c>
      <c r="F1149" s="27" t="str">
        <f>IFERROR(__xludf.DUMMYFUNCTION("""COMPUTED_VALUE"""),"BLACK")</f>
        <v>BLACK</v>
      </c>
      <c r="G1149" s="28" t="str">
        <f>IFERROR(__xludf.DUMMYFUNCTION("""COMPUTED_VALUE"""),"First Times a Charm Cider")</f>
        <v>First Times a Charm Cider</v>
      </c>
      <c r="H1149" s="27" t="str">
        <f>IFERROR(__xludf.DUMMYFUNCTION("""COMPUTED_VALUE"""),"")</f>
        <v/>
      </c>
    </row>
    <row r="1150">
      <c r="A1150" s="17"/>
      <c r="B1150" s="23"/>
      <c r="C1150" s="17">
        <f>IFERROR(__xludf.DUMMYFUNCTION("""COMPUTED_VALUE"""),43542.5844090972)</f>
        <v>43542.58441</v>
      </c>
      <c r="D1150" s="23">
        <f>IFERROR(__xludf.DUMMYFUNCTION("""COMPUTED_VALUE"""),1.034)</f>
        <v>1.034</v>
      </c>
      <c r="E1150" s="24">
        <f>IFERROR(__xludf.DUMMYFUNCTION("""COMPUTED_VALUE"""),66.0)</f>
        <v>66</v>
      </c>
      <c r="F1150" s="27" t="str">
        <f>IFERROR(__xludf.DUMMYFUNCTION("""COMPUTED_VALUE"""),"BLACK")</f>
        <v>BLACK</v>
      </c>
      <c r="G1150" s="28" t="str">
        <f>IFERROR(__xludf.DUMMYFUNCTION("""COMPUTED_VALUE"""),"First Times a Charm Cider")</f>
        <v>First Times a Charm Cider</v>
      </c>
      <c r="H1150" s="27" t="str">
        <f>IFERROR(__xludf.DUMMYFUNCTION("""COMPUTED_VALUE"""),"")</f>
        <v/>
      </c>
    </row>
    <row r="1151">
      <c r="A1151" s="17"/>
      <c r="B1151" s="23"/>
      <c r="C1151" s="17">
        <f>IFERROR(__xludf.DUMMYFUNCTION("""COMPUTED_VALUE"""),43542.5739877199)</f>
        <v>43542.57399</v>
      </c>
      <c r="D1151" s="23">
        <f>IFERROR(__xludf.DUMMYFUNCTION("""COMPUTED_VALUE"""),1.034)</f>
        <v>1.034</v>
      </c>
      <c r="E1151" s="24">
        <f>IFERROR(__xludf.DUMMYFUNCTION("""COMPUTED_VALUE"""),66.0)</f>
        <v>66</v>
      </c>
      <c r="F1151" s="27" t="str">
        <f>IFERROR(__xludf.DUMMYFUNCTION("""COMPUTED_VALUE"""),"BLACK")</f>
        <v>BLACK</v>
      </c>
      <c r="G1151" s="28" t="str">
        <f>IFERROR(__xludf.DUMMYFUNCTION("""COMPUTED_VALUE"""),"First Times a Charm Cider")</f>
        <v>First Times a Charm Cider</v>
      </c>
      <c r="H1151" s="27" t="str">
        <f>IFERROR(__xludf.DUMMYFUNCTION("""COMPUTED_VALUE"""),"")</f>
        <v/>
      </c>
    </row>
    <row r="1152">
      <c r="A1152" s="17"/>
      <c r="B1152" s="23"/>
      <c r="C1152" s="17">
        <f>IFERROR(__xludf.DUMMYFUNCTION("""COMPUTED_VALUE"""),43542.5635192129)</f>
        <v>43542.56352</v>
      </c>
      <c r="D1152" s="23">
        <f>IFERROR(__xludf.DUMMYFUNCTION("""COMPUTED_VALUE"""),1.034)</f>
        <v>1.034</v>
      </c>
      <c r="E1152" s="24">
        <f>IFERROR(__xludf.DUMMYFUNCTION("""COMPUTED_VALUE"""),66.0)</f>
        <v>66</v>
      </c>
      <c r="F1152" s="27" t="str">
        <f>IFERROR(__xludf.DUMMYFUNCTION("""COMPUTED_VALUE"""),"BLACK")</f>
        <v>BLACK</v>
      </c>
      <c r="G1152" s="28" t="str">
        <f>IFERROR(__xludf.DUMMYFUNCTION("""COMPUTED_VALUE"""),"First Times a Charm Cider")</f>
        <v>First Times a Charm Cider</v>
      </c>
      <c r="H1152" s="27" t="str">
        <f>IFERROR(__xludf.DUMMYFUNCTION("""COMPUTED_VALUE"""),"")</f>
        <v/>
      </c>
    </row>
    <row r="1153">
      <c r="A1153" s="17"/>
      <c r="B1153" s="23"/>
      <c r="C1153" s="17">
        <f>IFERROR(__xludf.DUMMYFUNCTION("""COMPUTED_VALUE"""),43542.5530970949)</f>
        <v>43542.5531</v>
      </c>
      <c r="D1153" s="23">
        <f>IFERROR(__xludf.DUMMYFUNCTION("""COMPUTED_VALUE"""),1.034)</f>
        <v>1.034</v>
      </c>
      <c r="E1153" s="24">
        <f>IFERROR(__xludf.DUMMYFUNCTION("""COMPUTED_VALUE"""),66.0)</f>
        <v>66</v>
      </c>
      <c r="F1153" s="27" t="str">
        <f>IFERROR(__xludf.DUMMYFUNCTION("""COMPUTED_VALUE"""),"BLACK")</f>
        <v>BLACK</v>
      </c>
      <c r="G1153" s="28" t="str">
        <f>IFERROR(__xludf.DUMMYFUNCTION("""COMPUTED_VALUE"""),"First Times a Charm Cider")</f>
        <v>First Times a Charm Cider</v>
      </c>
      <c r="H1153" s="27" t="str">
        <f>IFERROR(__xludf.DUMMYFUNCTION("""COMPUTED_VALUE"""),"")</f>
        <v/>
      </c>
    </row>
    <row r="1154">
      <c r="A1154" s="17"/>
      <c r="B1154" s="23"/>
      <c r="C1154" s="17">
        <f>IFERROR(__xludf.DUMMYFUNCTION("""COMPUTED_VALUE"""),43542.5426504166)</f>
        <v>43542.54265</v>
      </c>
      <c r="D1154" s="23">
        <f>IFERROR(__xludf.DUMMYFUNCTION("""COMPUTED_VALUE"""),1.034)</f>
        <v>1.034</v>
      </c>
      <c r="E1154" s="24">
        <f>IFERROR(__xludf.DUMMYFUNCTION("""COMPUTED_VALUE"""),66.0)</f>
        <v>66</v>
      </c>
      <c r="F1154" s="27" t="str">
        <f>IFERROR(__xludf.DUMMYFUNCTION("""COMPUTED_VALUE"""),"BLACK")</f>
        <v>BLACK</v>
      </c>
      <c r="G1154" s="28" t="str">
        <f>IFERROR(__xludf.DUMMYFUNCTION("""COMPUTED_VALUE"""),"First Times a Charm Cider")</f>
        <v>First Times a Charm Cider</v>
      </c>
      <c r="H1154" s="27" t="str">
        <f>IFERROR(__xludf.DUMMYFUNCTION("""COMPUTED_VALUE"""),"")</f>
        <v/>
      </c>
    </row>
    <row r="1155">
      <c r="A1155" s="17"/>
      <c r="B1155" s="23"/>
      <c r="C1155" s="17">
        <f>IFERROR(__xludf.DUMMYFUNCTION("""COMPUTED_VALUE"""),43542.5322159837)</f>
        <v>43542.53222</v>
      </c>
      <c r="D1155" s="23">
        <f>IFERROR(__xludf.DUMMYFUNCTION("""COMPUTED_VALUE"""),1.034)</f>
        <v>1.034</v>
      </c>
      <c r="E1155" s="24">
        <f>IFERROR(__xludf.DUMMYFUNCTION("""COMPUTED_VALUE"""),66.0)</f>
        <v>66</v>
      </c>
      <c r="F1155" s="27" t="str">
        <f>IFERROR(__xludf.DUMMYFUNCTION("""COMPUTED_VALUE"""),"BLACK")</f>
        <v>BLACK</v>
      </c>
      <c r="G1155" s="28" t="str">
        <f>IFERROR(__xludf.DUMMYFUNCTION("""COMPUTED_VALUE"""),"First Times a Charm Cider")</f>
        <v>First Times a Charm Cider</v>
      </c>
      <c r="H1155" s="27" t="str">
        <f>IFERROR(__xludf.DUMMYFUNCTION("""COMPUTED_VALUE"""),"")</f>
        <v/>
      </c>
    </row>
    <row r="1156">
      <c r="A1156" s="17"/>
      <c r="B1156" s="23"/>
      <c r="C1156" s="17">
        <f>IFERROR(__xludf.DUMMYFUNCTION("""COMPUTED_VALUE"""),43542.521795162)</f>
        <v>43542.5218</v>
      </c>
      <c r="D1156" s="23">
        <f>IFERROR(__xludf.DUMMYFUNCTION("""COMPUTED_VALUE"""),1.034)</f>
        <v>1.034</v>
      </c>
      <c r="E1156" s="24">
        <f>IFERROR(__xludf.DUMMYFUNCTION("""COMPUTED_VALUE"""),66.0)</f>
        <v>66</v>
      </c>
      <c r="F1156" s="27" t="str">
        <f>IFERROR(__xludf.DUMMYFUNCTION("""COMPUTED_VALUE"""),"BLACK")</f>
        <v>BLACK</v>
      </c>
      <c r="G1156" s="28" t="str">
        <f>IFERROR(__xludf.DUMMYFUNCTION("""COMPUTED_VALUE"""),"First Times a Charm Cider")</f>
        <v>First Times a Charm Cider</v>
      </c>
      <c r="H1156" s="27" t="str">
        <f>IFERROR(__xludf.DUMMYFUNCTION("""COMPUTED_VALUE"""),"")</f>
        <v/>
      </c>
    </row>
    <row r="1157">
      <c r="A1157" s="17"/>
      <c r="B1157" s="23"/>
      <c r="C1157" s="17">
        <f>IFERROR(__xludf.DUMMYFUNCTION("""COMPUTED_VALUE"""),43542.511372118)</f>
        <v>43542.51137</v>
      </c>
      <c r="D1157" s="23">
        <f>IFERROR(__xludf.DUMMYFUNCTION("""COMPUTED_VALUE"""),1.034)</f>
        <v>1.034</v>
      </c>
      <c r="E1157" s="24">
        <f>IFERROR(__xludf.DUMMYFUNCTION("""COMPUTED_VALUE"""),66.0)</f>
        <v>66</v>
      </c>
      <c r="F1157" s="27" t="str">
        <f>IFERROR(__xludf.DUMMYFUNCTION("""COMPUTED_VALUE"""),"BLACK")</f>
        <v>BLACK</v>
      </c>
      <c r="G1157" s="28" t="str">
        <f>IFERROR(__xludf.DUMMYFUNCTION("""COMPUTED_VALUE"""),"First Times a Charm Cider")</f>
        <v>First Times a Charm Cider</v>
      </c>
      <c r="H1157" s="27" t="str">
        <f>IFERROR(__xludf.DUMMYFUNCTION("""COMPUTED_VALUE"""),"")</f>
        <v/>
      </c>
    </row>
    <row r="1158">
      <c r="A1158" s="17"/>
      <c r="B1158" s="23"/>
      <c r="C1158" s="17">
        <f>IFERROR(__xludf.DUMMYFUNCTION("""COMPUTED_VALUE"""),43542.5009368981)</f>
        <v>43542.50094</v>
      </c>
      <c r="D1158" s="23">
        <f>IFERROR(__xludf.DUMMYFUNCTION("""COMPUTED_VALUE"""),1.034)</f>
        <v>1.034</v>
      </c>
      <c r="E1158" s="24">
        <f>IFERROR(__xludf.DUMMYFUNCTION("""COMPUTED_VALUE"""),66.0)</f>
        <v>66</v>
      </c>
      <c r="F1158" s="27" t="str">
        <f>IFERROR(__xludf.DUMMYFUNCTION("""COMPUTED_VALUE"""),"BLACK")</f>
        <v>BLACK</v>
      </c>
      <c r="G1158" s="28" t="str">
        <f>IFERROR(__xludf.DUMMYFUNCTION("""COMPUTED_VALUE"""),"First Times a Charm Cider")</f>
        <v>First Times a Charm Cider</v>
      </c>
      <c r="H1158" s="27" t="str">
        <f>IFERROR(__xludf.DUMMYFUNCTION("""COMPUTED_VALUE"""),"")</f>
        <v/>
      </c>
    </row>
    <row r="1159">
      <c r="A1159" s="17"/>
      <c r="B1159" s="23"/>
      <c r="C1159" s="17">
        <f>IFERROR(__xludf.DUMMYFUNCTION("""COMPUTED_VALUE"""),43542.4905047106)</f>
        <v>43542.4905</v>
      </c>
      <c r="D1159" s="23">
        <f>IFERROR(__xludf.DUMMYFUNCTION("""COMPUTED_VALUE"""),1.034)</f>
        <v>1.034</v>
      </c>
      <c r="E1159" s="24">
        <f>IFERROR(__xludf.DUMMYFUNCTION("""COMPUTED_VALUE"""),66.0)</f>
        <v>66</v>
      </c>
      <c r="F1159" s="27" t="str">
        <f>IFERROR(__xludf.DUMMYFUNCTION("""COMPUTED_VALUE"""),"BLACK")</f>
        <v>BLACK</v>
      </c>
      <c r="G1159" s="28" t="str">
        <f>IFERROR(__xludf.DUMMYFUNCTION("""COMPUTED_VALUE"""),"First Times a Charm Cider")</f>
        <v>First Times a Charm Cider</v>
      </c>
      <c r="H1159" s="27" t="str">
        <f>IFERROR(__xludf.DUMMYFUNCTION("""COMPUTED_VALUE"""),"")</f>
        <v/>
      </c>
    </row>
    <row r="1160">
      <c r="A1160" s="17"/>
      <c r="B1160" s="23"/>
      <c r="C1160" s="17">
        <f>IFERROR(__xludf.DUMMYFUNCTION("""COMPUTED_VALUE"""),43542.4800488657)</f>
        <v>43542.48005</v>
      </c>
      <c r="D1160" s="23">
        <f>IFERROR(__xludf.DUMMYFUNCTION("""COMPUTED_VALUE"""),1.034)</f>
        <v>1.034</v>
      </c>
      <c r="E1160" s="24">
        <f>IFERROR(__xludf.DUMMYFUNCTION("""COMPUTED_VALUE"""),66.0)</f>
        <v>66</v>
      </c>
      <c r="F1160" s="27" t="str">
        <f>IFERROR(__xludf.DUMMYFUNCTION("""COMPUTED_VALUE"""),"BLACK")</f>
        <v>BLACK</v>
      </c>
      <c r="G1160" s="28" t="str">
        <f>IFERROR(__xludf.DUMMYFUNCTION("""COMPUTED_VALUE"""),"First Times a Charm Cider")</f>
        <v>First Times a Charm Cider</v>
      </c>
      <c r="H1160" s="27" t="str">
        <f>IFERROR(__xludf.DUMMYFUNCTION("""COMPUTED_VALUE"""),"")</f>
        <v/>
      </c>
    </row>
    <row r="1161">
      <c r="A1161" s="17"/>
      <c r="B1161" s="23"/>
      <c r="C1161" s="17">
        <f>IFERROR(__xludf.DUMMYFUNCTION("""COMPUTED_VALUE"""),43542.4695723726)</f>
        <v>43542.46957</v>
      </c>
      <c r="D1161" s="23">
        <f>IFERROR(__xludf.DUMMYFUNCTION("""COMPUTED_VALUE"""),1.034)</f>
        <v>1.034</v>
      </c>
      <c r="E1161" s="24">
        <f>IFERROR(__xludf.DUMMYFUNCTION("""COMPUTED_VALUE"""),66.0)</f>
        <v>66</v>
      </c>
      <c r="F1161" s="27" t="str">
        <f>IFERROR(__xludf.DUMMYFUNCTION("""COMPUTED_VALUE"""),"BLACK")</f>
        <v>BLACK</v>
      </c>
      <c r="G1161" s="28" t="str">
        <f>IFERROR(__xludf.DUMMYFUNCTION("""COMPUTED_VALUE"""),"First Times a Charm Cider")</f>
        <v>First Times a Charm Cider</v>
      </c>
      <c r="H1161" s="27" t="str">
        <f>IFERROR(__xludf.DUMMYFUNCTION("""COMPUTED_VALUE"""),"")</f>
        <v/>
      </c>
    </row>
    <row r="1162">
      <c r="A1162" s="17"/>
      <c r="B1162" s="23"/>
      <c r="C1162" s="17">
        <f>IFERROR(__xludf.DUMMYFUNCTION("""COMPUTED_VALUE"""),43542.4591501504)</f>
        <v>43542.45915</v>
      </c>
      <c r="D1162" s="23">
        <f>IFERROR(__xludf.DUMMYFUNCTION("""COMPUTED_VALUE"""),1.034)</f>
        <v>1.034</v>
      </c>
      <c r="E1162" s="24">
        <f>IFERROR(__xludf.DUMMYFUNCTION("""COMPUTED_VALUE"""),66.0)</f>
        <v>66</v>
      </c>
      <c r="F1162" s="27" t="str">
        <f>IFERROR(__xludf.DUMMYFUNCTION("""COMPUTED_VALUE"""),"BLACK")</f>
        <v>BLACK</v>
      </c>
      <c r="G1162" s="28" t="str">
        <f>IFERROR(__xludf.DUMMYFUNCTION("""COMPUTED_VALUE"""),"First Times a Charm Cider")</f>
        <v>First Times a Charm Cider</v>
      </c>
      <c r="H1162" s="27" t="str">
        <f>IFERROR(__xludf.DUMMYFUNCTION("""COMPUTED_VALUE"""),"")</f>
        <v/>
      </c>
    </row>
    <row r="1163">
      <c r="A1163" s="17"/>
      <c r="B1163" s="23"/>
      <c r="C1163" s="17">
        <f>IFERROR(__xludf.DUMMYFUNCTION("""COMPUTED_VALUE"""),43542.4487055439)</f>
        <v>43542.44871</v>
      </c>
      <c r="D1163" s="23">
        <f>IFERROR(__xludf.DUMMYFUNCTION("""COMPUTED_VALUE"""),1.034)</f>
        <v>1.034</v>
      </c>
      <c r="E1163" s="24">
        <f>IFERROR(__xludf.DUMMYFUNCTION("""COMPUTED_VALUE"""),66.0)</f>
        <v>66</v>
      </c>
      <c r="F1163" s="27" t="str">
        <f>IFERROR(__xludf.DUMMYFUNCTION("""COMPUTED_VALUE"""),"BLACK")</f>
        <v>BLACK</v>
      </c>
      <c r="G1163" s="28" t="str">
        <f>IFERROR(__xludf.DUMMYFUNCTION("""COMPUTED_VALUE"""),"First Times a Charm Cider")</f>
        <v>First Times a Charm Cider</v>
      </c>
      <c r="H1163" s="27" t="str">
        <f>IFERROR(__xludf.DUMMYFUNCTION("""COMPUTED_VALUE"""),"")</f>
        <v/>
      </c>
    </row>
    <row r="1164">
      <c r="A1164" s="17"/>
      <c r="B1164" s="23"/>
      <c r="C1164" s="17">
        <f>IFERROR(__xludf.DUMMYFUNCTION("""COMPUTED_VALUE"""),43542.4382840625)</f>
        <v>43542.43828</v>
      </c>
      <c r="D1164" s="23">
        <f>IFERROR(__xludf.DUMMYFUNCTION("""COMPUTED_VALUE"""),1.034)</f>
        <v>1.034</v>
      </c>
      <c r="E1164" s="24">
        <f>IFERROR(__xludf.DUMMYFUNCTION("""COMPUTED_VALUE"""),66.0)</f>
        <v>66</v>
      </c>
      <c r="F1164" s="27" t="str">
        <f>IFERROR(__xludf.DUMMYFUNCTION("""COMPUTED_VALUE"""),"BLACK")</f>
        <v>BLACK</v>
      </c>
      <c r="G1164" s="28" t="str">
        <f>IFERROR(__xludf.DUMMYFUNCTION("""COMPUTED_VALUE"""),"First Times a Charm Cider")</f>
        <v>First Times a Charm Cider</v>
      </c>
      <c r="H1164" s="27" t="str">
        <f>IFERROR(__xludf.DUMMYFUNCTION("""COMPUTED_VALUE"""),"")</f>
        <v/>
      </c>
    </row>
    <row r="1165">
      <c r="A1165" s="17"/>
      <c r="B1165" s="23"/>
      <c r="C1165" s="17">
        <f>IFERROR(__xludf.DUMMYFUNCTION("""COMPUTED_VALUE"""),43542.4278498958)</f>
        <v>43542.42785</v>
      </c>
      <c r="D1165" s="23">
        <f>IFERROR(__xludf.DUMMYFUNCTION("""COMPUTED_VALUE"""),1.034)</f>
        <v>1.034</v>
      </c>
      <c r="E1165" s="24">
        <f>IFERROR(__xludf.DUMMYFUNCTION("""COMPUTED_VALUE"""),66.0)</f>
        <v>66</v>
      </c>
      <c r="F1165" s="27" t="str">
        <f>IFERROR(__xludf.DUMMYFUNCTION("""COMPUTED_VALUE"""),"BLACK")</f>
        <v>BLACK</v>
      </c>
      <c r="G1165" s="28" t="str">
        <f>IFERROR(__xludf.DUMMYFUNCTION("""COMPUTED_VALUE"""),"First Times a Charm Cider")</f>
        <v>First Times a Charm Cider</v>
      </c>
      <c r="H1165" s="27" t="str">
        <f>IFERROR(__xludf.DUMMYFUNCTION("""COMPUTED_VALUE"""),"")</f>
        <v/>
      </c>
    </row>
    <row r="1166">
      <c r="A1166" s="17"/>
      <c r="B1166" s="23"/>
      <c r="C1166" s="17">
        <f>IFERROR(__xludf.DUMMYFUNCTION("""COMPUTED_VALUE"""),43542.4174173148)</f>
        <v>43542.41742</v>
      </c>
      <c r="D1166" s="23">
        <f>IFERROR(__xludf.DUMMYFUNCTION("""COMPUTED_VALUE"""),1.034)</f>
        <v>1.034</v>
      </c>
      <c r="E1166" s="24">
        <f>IFERROR(__xludf.DUMMYFUNCTION("""COMPUTED_VALUE"""),66.0)</f>
        <v>66</v>
      </c>
      <c r="F1166" s="27" t="str">
        <f>IFERROR(__xludf.DUMMYFUNCTION("""COMPUTED_VALUE"""),"BLACK")</f>
        <v>BLACK</v>
      </c>
      <c r="G1166" s="28" t="str">
        <f>IFERROR(__xludf.DUMMYFUNCTION("""COMPUTED_VALUE"""),"First Times a Charm Cider")</f>
        <v>First Times a Charm Cider</v>
      </c>
      <c r="H1166" s="27" t="str">
        <f>IFERROR(__xludf.DUMMYFUNCTION("""COMPUTED_VALUE"""),"")</f>
        <v/>
      </c>
    </row>
    <row r="1167">
      <c r="A1167" s="17"/>
      <c r="B1167" s="23"/>
      <c r="C1167" s="17">
        <f>IFERROR(__xludf.DUMMYFUNCTION("""COMPUTED_VALUE"""),43542.4069737847)</f>
        <v>43542.40697</v>
      </c>
      <c r="D1167" s="23">
        <f>IFERROR(__xludf.DUMMYFUNCTION("""COMPUTED_VALUE"""),1.034)</f>
        <v>1.034</v>
      </c>
      <c r="E1167" s="24">
        <f>IFERROR(__xludf.DUMMYFUNCTION("""COMPUTED_VALUE"""),66.0)</f>
        <v>66</v>
      </c>
      <c r="F1167" s="27" t="str">
        <f>IFERROR(__xludf.DUMMYFUNCTION("""COMPUTED_VALUE"""),"BLACK")</f>
        <v>BLACK</v>
      </c>
      <c r="G1167" s="28" t="str">
        <f>IFERROR(__xludf.DUMMYFUNCTION("""COMPUTED_VALUE"""),"First Times a Charm Cider")</f>
        <v>First Times a Charm Cider</v>
      </c>
      <c r="H1167" s="27" t="str">
        <f>IFERROR(__xludf.DUMMYFUNCTION("""COMPUTED_VALUE"""),"")</f>
        <v/>
      </c>
    </row>
    <row r="1168">
      <c r="A1168" s="17"/>
      <c r="B1168" s="23"/>
      <c r="C1168" s="17">
        <f>IFERROR(__xludf.DUMMYFUNCTION("""COMPUTED_VALUE"""),43542.3964581365)</f>
        <v>43542.39646</v>
      </c>
      <c r="D1168" s="23">
        <f>IFERROR(__xludf.DUMMYFUNCTION("""COMPUTED_VALUE"""),1.034)</f>
        <v>1.034</v>
      </c>
      <c r="E1168" s="24">
        <f>IFERROR(__xludf.DUMMYFUNCTION("""COMPUTED_VALUE"""),66.0)</f>
        <v>66</v>
      </c>
      <c r="F1168" s="27" t="str">
        <f>IFERROR(__xludf.DUMMYFUNCTION("""COMPUTED_VALUE"""),"BLACK")</f>
        <v>BLACK</v>
      </c>
      <c r="G1168" s="28" t="str">
        <f>IFERROR(__xludf.DUMMYFUNCTION("""COMPUTED_VALUE"""),"First Times a Charm Cider")</f>
        <v>First Times a Charm Cider</v>
      </c>
      <c r="H1168" s="27" t="str">
        <f>IFERROR(__xludf.DUMMYFUNCTION("""COMPUTED_VALUE"""),"")</f>
        <v/>
      </c>
    </row>
    <row r="1169">
      <c r="A1169" s="17"/>
      <c r="B1169" s="23"/>
      <c r="C1169" s="17">
        <f>IFERROR(__xludf.DUMMYFUNCTION("""COMPUTED_VALUE"""),43542.3860242129)</f>
        <v>43542.38602</v>
      </c>
      <c r="D1169" s="23">
        <f>IFERROR(__xludf.DUMMYFUNCTION("""COMPUTED_VALUE"""),1.034)</f>
        <v>1.034</v>
      </c>
      <c r="E1169" s="24">
        <f>IFERROR(__xludf.DUMMYFUNCTION("""COMPUTED_VALUE"""),66.0)</f>
        <v>66</v>
      </c>
      <c r="F1169" s="27" t="str">
        <f>IFERROR(__xludf.DUMMYFUNCTION("""COMPUTED_VALUE"""),"BLACK")</f>
        <v>BLACK</v>
      </c>
      <c r="G1169" s="28" t="str">
        <f>IFERROR(__xludf.DUMMYFUNCTION("""COMPUTED_VALUE"""),"First Times a Charm Cider")</f>
        <v>First Times a Charm Cider</v>
      </c>
      <c r="H1169" s="27" t="str">
        <f>IFERROR(__xludf.DUMMYFUNCTION("""COMPUTED_VALUE"""),"")</f>
        <v/>
      </c>
    </row>
    <row r="1170">
      <c r="A1170" s="17"/>
      <c r="B1170" s="23"/>
      <c r="C1170" s="17">
        <f>IFERROR(__xludf.DUMMYFUNCTION("""COMPUTED_VALUE"""),43542.3755932638)</f>
        <v>43542.37559</v>
      </c>
      <c r="D1170" s="23">
        <f>IFERROR(__xludf.DUMMYFUNCTION("""COMPUTED_VALUE"""),1.034)</f>
        <v>1.034</v>
      </c>
      <c r="E1170" s="24">
        <f>IFERROR(__xludf.DUMMYFUNCTION("""COMPUTED_VALUE"""),66.0)</f>
        <v>66</v>
      </c>
      <c r="F1170" s="27" t="str">
        <f>IFERROR(__xludf.DUMMYFUNCTION("""COMPUTED_VALUE"""),"BLACK")</f>
        <v>BLACK</v>
      </c>
      <c r="G1170" s="28" t="str">
        <f>IFERROR(__xludf.DUMMYFUNCTION("""COMPUTED_VALUE"""),"First Times a Charm Cider")</f>
        <v>First Times a Charm Cider</v>
      </c>
      <c r="H1170" s="27" t="str">
        <f>IFERROR(__xludf.DUMMYFUNCTION("""COMPUTED_VALUE"""),"")</f>
        <v/>
      </c>
    </row>
    <row r="1171">
      <c r="A1171" s="17"/>
      <c r="B1171" s="23"/>
      <c r="C1171" s="17">
        <f>IFERROR(__xludf.DUMMYFUNCTION("""COMPUTED_VALUE"""),43542.3651502777)</f>
        <v>43542.36515</v>
      </c>
      <c r="D1171" s="23">
        <f>IFERROR(__xludf.DUMMYFUNCTION("""COMPUTED_VALUE"""),1.034)</f>
        <v>1.034</v>
      </c>
      <c r="E1171" s="24">
        <f>IFERROR(__xludf.DUMMYFUNCTION("""COMPUTED_VALUE"""),66.0)</f>
        <v>66</v>
      </c>
      <c r="F1171" s="27" t="str">
        <f>IFERROR(__xludf.DUMMYFUNCTION("""COMPUTED_VALUE"""),"BLACK")</f>
        <v>BLACK</v>
      </c>
      <c r="G1171" s="28" t="str">
        <f>IFERROR(__xludf.DUMMYFUNCTION("""COMPUTED_VALUE"""),"First Times a Charm Cider")</f>
        <v>First Times a Charm Cider</v>
      </c>
      <c r="H1171" s="27" t="str">
        <f>IFERROR(__xludf.DUMMYFUNCTION("""COMPUTED_VALUE"""),"")</f>
        <v/>
      </c>
    </row>
    <row r="1172">
      <c r="A1172" s="17"/>
      <c r="B1172" s="23"/>
      <c r="C1172" s="17">
        <f>IFERROR(__xludf.DUMMYFUNCTION("""COMPUTED_VALUE"""),43542.3547043865)</f>
        <v>43542.3547</v>
      </c>
      <c r="D1172" s="23">
        <f>IFERROR(__xludf.DUMMYFUNCTION("""COMPUTED_VALUE"""),1.034)</f>
        <v>1.034</v>
      </c>
      <c r="E1172" s="24">
        <f>IFERROR(__xludf.DUMMYFUNCTION("""COMPUTED_VALUE"""),66.0)</f>
        <v>66</v>
      </c>
      <c r="F1172" s="27" t="str">
        <f>IFERROR(__xludf.DUMMYFUNCTION("""COMPUTED_VALUE"""),"BLACK")</f>
        <v>BLACK</v>
      </c>
      <c r="G1172" s="28" t="str">
        <f>IFERROR(__xludf.DUMMYFUNCTION("""COMPUTED_VALUE"""),"First Times a Charm Cider")</f>
        <v>First Times a Charm Cider</v>
      </c>
      <c r="H1172" s="27" t="str">
        <f>IFERROR(__xludf.DUMMYFUNCTION("""COMPUTED_VALUE"""),"")</f>
        <v/>
      </c>
    </row>
    <row r="1173">
      <c r="A1173" s="17"/>
      <c r="B1173" s="23"/>
      <c r="C1173" s="17">
        <f>IFERROR(__xludf.DUMMYFUNCTION("""COMPUTED_VALUE"""),43542.344272743)</f>
        <v>43542.34427</v>
      </c>
      <c r="D1173" s="23">
        <f>IFERROR(__xludf.DUMMYFUNCTION("""COMPUTED_VALUE"""),1.034)</f>
        <v>1.034</v>
      </c>
      <c r="E1173" s="24">
        <f>IFERROR(__xludf.DUMMYFUNCTION("""COMPUTED_VALUE"""),66.0)</f>
        <v>66</v>
      </c>
      <c r="F1173" s="27" t="str">
        <f>IFERROR(__xludf.DUMMYFUNCTION("""COMPUTED_VALUE"""),"BLACK")</f>
        <v>BLACK</v>
      </c>
      <c r="G1173" s="28" t="str">
        <f>IFERROR(__xludf.DUMMYFUNCTION("""COMPUTED_VALUE"""),"First Times a Charm Cider")</f>
        <v>First Times a Charm Cider</v>
      </c>
      <c r="H1173" s="27" t="str">
        <f>IFERROR(__xludf.DUMMYFUNCTION("""COMPUTED_VALUE"""),"")</f>
        <v/>
      </c>
    </row>
    <row r="1174">
      <c r="A1174" s="17"/>
      <c r="B1174" s="23"/>
      <c r="C1174" s="17">
        <f>IFERROR(__xludf.DUMMYFUNCTION("""COMPUTED_VALUE"""),43542.3338290046)</f>
        <v>43542.33383</v>
      </c>
      <c r="D1174" s="23">
        <f>IFERROR(__xludf.DUMMYFUNCTION("""COMPUTED_VALUE"""),1.034)</f>
        <v>1.034</v>
      </c>
      <c r="E1174" s="24">
        <f>IFERROR(__xludf.DUMMYFUNCTION("""COMPUTED_VALUE"""),67.0)</f>
        <v>67</v>
      </c>
      <c r="F1174" s="27" t="str">
        <f>IFERROR(__xludf.DUMMYFUNCTION("""COMPUTED_VALUE"""),"BLACK")</f>
        <v>BLACK</v>
      </c>
      <c r="G1174" s="28" t="str">
        <f>IFERROR(__xludf.DUMMYFUNCTION("""COMPUTED_VALUE"""),"First Times a Charm Cider")</f>
        <v>First Times a Charm Cider</v>
      </c>
      <c r="H1174" s="27" t="str">
        <f>IFERROR(__xludf.DUMMYFUNCTION("""COMPUTED_VALUE"""),"")</f>
        <v/>
      </c>
    </row>
    <row r="1175">
      <c r="A1175" s="17"/>
      <c r="B1175" s="23"/>
      <c r="C1175" s="17">
        <f>IFERROR(__xludf.DUMMYFUNCTION("""COMPUTED_VALUE"""),43542.3234096296)</f>
        <v>43542.32341</v>
      </c>
      <c r="D1175" s="23">
        <f>IFERROR(__xludf.DUMMYFUNCTION("""COMPUTED_VALUE"""),1.034)</f>
        <v>1.034</v>
      </c>
      <c r="E1175" s="24">
        <f>IFERROR(__xludf.DUMMYFUNCTION("""COMPUTED_VALUE"""),67.0)</f>
        <v>67</v>
      </c>
      <c r="F1175" s="27" t="str">
        <f>IFERROR(__xludf.DUMMYFUNCTION("""COMPUTED_VALUE"""),"BLACK")</f>
        <v>BLACK</v>
      </c>
      <c r="G1175" s="28" t="str">
        <f>IFERROR(__xludf.DUMMYFUNCTION("""COMPUTED_VALUE"""),"First Times a Charm Cider")</f>
        <v>First Times a Charm Cider</v>
      </c>
      <c r="H1175" s="27" t="str">
        <f>IFERROR(__xludf.DUMMYFUNCTION("""COMPUTED_VALUE"""),"")</f>
        <v/>
      </c>
    </row>
    <row r="1176">
      <c r="A1176" s="17"/>
      <c r="B1176" s="23"/>
      <c r="C1176" s="17">
        <f>IFERROR(__xludf.DUMMYFUNCTION("""COMPUTED_VALUE"""),43542.3129875)</f>
        <v>43542.31299</v>
      </c>
      <c r="D1176" s="23">
        <f>IFERROR(__xludf.DUMMYFUNCTION("""COMPUTED_VALUE"""),1.034)</f>
        <v>1.034</v>
      </c>
      <c r="E1176" s="24">
        <f>IFERROR(__xludf.DUMMYFUNCTION("""COMPUTED_VALUE"""),67.0)</f>
        <v>67</v>
      </c>
      <c r="F1176" s="27" t="str">
        <f>IFERROR(__xludf.DUMMYFUNCTION("""COMPUTED_VALUE"""),"BLACK")</f>
        <v>BLACK</v>
      </c>
      <c r="G1176" s="28" t="str">
        <f>IFERROR(__xludf.DUMMYFUNCTION("""COMPUTED_VALUE"""),"First Times a Charm Cider")</f>
        <v>First Times a Charm Cider</v>
      </c>
      <c r="H1176" s="27" t="str">
        <f>IFERROR(__xludf.DUMMYFUNCTION("""COMPUTED_VALUE"""),"")</f>
        <v/>
      </c>
    </row>
    <row r="1177">
      <c r="A1177" s="17"/>
      <c r="B1177" s="23"/>
      <c r="C1177" s="17">
        <f>IFERROR(__xludf.DUMMYFUNCTION("""COMPUTED_VALUE"""),43542.3025429513)</f>
        <v>43542.30254</v>
      </c>
      <c r="D1177" s="23">
        <f>IFERROR(__xludf.DUMMYFUNCTION("""COMPUTED_VALUE"""),1.034)</f>
        <v>1.034</v>
      </c>
      <c r="E1177" s="24">
        <f>IFERROR(__xludf.DUMMYFUNCTION("""COMPUTED_VALUE"""),67.0)</f>
        <v>67</v>
      </c>
      <c r="F1177" s="27" t="str">
        <f>IFERROR(__xludf.DUMMYFUNCTION("""COMPUTED_VALUE"""),"BLACK")</f>
        <v>BLACK</v>
      </c>
      <c r="G1177" s="28" t="str">
        <f>IFERROR(__xludf.DUMMYFUNCTION("""COMPUTED_VALUE"""),"First Times a Charm Cider")</f>
        <v>First Times a Charm Cider</v>
      </c>
      <c r="H1177" s="27" t="str">
        <f>IFERROR(__xludf.DUMMYFUNCTION("""COMPUTED_VALUE"""),"")</f>
        <v/>
      </c>
    </row>
    <row r="1178">
      <c r="A1178" s="17"/>
      <c r="B1178" s="23"/>
      <c r="C1178" s="17">
        <f>IFERROR(__xludf.DUMMYFUNCTION("""COMPUTED_VALUE"""),43542.2921094675)</f>
        <v>43542.29211</v>
      </c>
      <c r="D1178" s="23">
        <f>IFERROR(__xludf.DUMMYFUNCTION("""COMPUTED_VALUE"""),1.034)</f>
        <v>1.034</v>
      </c>
      <c r="E1178" s="24">
        <f>IFERROR(__xludf.DUMMYFUNCTION("""COMPUTED_VALUE"""),67.0)</f>
        <v>67</v>
      </c>
      <c r="F1178" s="27" t="str">
        <f>IFERROR(__xludf.DUMMYFUNCTION("""COMPUTED_VALUE"""),"BLACK")</f>
        <v>BLACK</v>
      </c>
      <c r="G1178" s="28" t="str">
        <f>IFERROR(__xludf.DUMMYFUNCTION("""COMPUTED_VALUE"""),"First Times a Charm Cider")</f>
        <v>First Times a Charm Cider</v>
      </c>
      <c r="H1178" s="27" t="str">
        <f>IFERROR(__xludf.DUMMYFUNCTION("""COMPUTED_VALUE"""),"")</f>
        <v/>
      </c>
    </row>
    <row r="1179">
      <c r="A1179" s="17"/>
      <c r="B1179" s="23"/>
      <c r="C1179" s="17">
        <f>IFERROR(__xludf.DUMMYFUNCTION("""COMPUTED_VALUE"""),43542.281689375)</f>
        <v>43542.28169</v>
      </c>
      <c r="D1179" s="23">
        <f>IFERROR(__xludf.DUMMYFUNCTION("""COMPUTED_VALUE"""),1.034)</f>
        <v>1.034</v>
      </c>
      <c r="E1179" s="24">
        <f>IFERROR(__xludf.DUMMYFUNCTION("""COMPUTED_VALUE"""),67.0)</f>
        <v>67</v>
      </c>
      <c r="F1179" s="27" t="str">
        <f>IFERROR(__xludf.DUMMYFUNCTION("""COMPUTED_VALUE"""),"BLACK")</f>
        <v>BLACK</v>
      </c>
      <c r="G1179" s="28" t="str">
        <f>IFERROR(__xludf.DUMMYFUNCTION("""COMPUTED_VALUE"""),"First Times a Charm Cider")</f>
        <v>First Times a Charm Cider</v>
      </c>
      <c r="H1179" s="27" t="str">
        <f>IFERROR(__xludf.DUMMYFUNCTION("""COMPUTED_VALUE"""),"")</f>
        <v/>
      </c>
    </row>
    <row r="1180">
      <c r="A1180" s="17"/>
      <c r="B1180" s="23"/>
      <c r="C1180" s="17">
        <f>IFERROR(__xludf.DUMMYFUNCTION("""COMPUTED_VALUE"""),43542.271267118)</f>
        <v>43542.27127</v>
      </c>
      <c r="D1180" s="23">
        <f>IFERROR(__xludf.DUMMYFUNCTION("""COMPUTED_VALUE"""),1.034)</f>
        <v>1.034</v>
      </c>
      <c r="E1180" s="24">
        <f>IFERROR(__xludf.DUMMYFUNCTION("""COMPUTED_VALUE"""),67.0)</f>
        <v>67</v>
      </c>
      <c r="F1180" s="27" t="str">
        <f>IFERROR(__xludf.DUMMYFUNCTION("""COMPUTED_VALUE"""),"BLACK")</f>
        <v>BLACK</v>
      </c>
      <c r="G1180" s="28" t="str">
        <f>IFERROR(__xludf.DUMMYFUNCTION("""COMPUTED_VALUE"""),"First Times a Charm Cider")</f>
        <v>First Times a Charm Cider</v>
      </c>
      <c r="H1180" s="27" t="str">
        <f>IFERROR(__xludf.DUMMYFUNCTION("""COMPUTED_VALUE"""),"")</f>
        <v/>
      </c>
    </row>
    <row r="1181">
      <c r="A1181" s="17"/>
      <c r="B1181" s="23"/>
      <c r="C1181" s="17">
        <f>IFERROR(__xludf.DUMMYFUNCTION("""COMPUTED_VALUE"""),43542.2608340856)</f>
        <v>43542.26083</v>
      </c>
      <c r="D1181" s="23">
        <f>IFERROR(__xludf.DUMMYFUNCTION("""COMPUTED_VALUE"""),1.034)</f>
        <v>1.034</v>
      </c>
      <c r="E1181" s="24">
        <f>IFERROR(__xludf.DUMMYFUNCTION("""COMPUTED_VALUE"""),67.0)</f>
        <v>67</v>
      </c>
      <c r="F1181" s="27" t="str">
        <f>IFERROR(__xludf.DUMMYFUNCTION("""COMPUTED_VALUE"""),"BLACK")</f>
        <v>BLACK</v>
      </c>
      <c r="G1181" s="28" t="str">
        <f>IFERROR(__xludf.DUMMYFUNCTION("""COMPUTED_VALUE"""),"First Times a Charm Cider")</f>
        <v>First Times a Charm Cider</v>
      </c>
      <c r="H1181" s="27" t="str">
        <f>IFERROR(__xludf.DUMMYFUNCTION("""COMPUTED_VALUE"""),"")</f>
        <v/>
      </c>
    </row>
    <row r="1182">
      <c r="A1182" s="17"/>
      <c r="B1182" s="23"/>
      <c r="C1182" s="17">
        <f>IFERROR(__xludf.DUMMYFUNCTION("""COMPUTED_VALUE"""),43542.2503443981)</f>
        <v>43542.25034</v>
      </c>
      <c r="D1182" s="23">
        <f>IFERROR(__xludf.DUMMYFUNCTION("""COMPUTED_VALUE"""),1.034)</f>
        <v>1.034</v>
      </c>
      <c r="E1182" s="24">
        <f>IFERROR(__xludf.DUMMYFUNCTION("""COMPUTED_VALUE"""),67.0)</f>
        <v>67</v>
      </c>
      <c r="F1182" s="27" t="str">
        <f>IFERROR(__xludf.DUMMYFUNCTION("""COMPUTED_VALUE"""),"BLACK")</f>
        <v>BLACK</v>
      </c>
      <c r="G1182" s="28" t="str">
        <f>IFERROR(__xludf.DUMMYFUNCTION("""COMPUTED_VALUE"""),"First Times a Charm Cider")</f>
        <v>First Times a Charm Cider</v>
      </c>
      <c r="H1182" s="27" t="str">
        <f>IFERROR(__xludf.DUMMYFUNCTION("""COMPUTED_VALUE"""),"")</f>
        <v/>
      </c>
    </row>
    <row r="1183">
      <c r="A1183" s="17"/>
      <c r="B1183" s="23"/>
      <c r="C1183" s="17">
        <f>IFERROR(__xludf.DUMMYFUNCTION("""COMPUTED_VALUE"""),43542.2399242245)</f>
        <v>43542.23992</v>
      </c>
      <c r="D1183" s="23">
        <f>IFERROR(__xludf.DUMMYFUNCTION("""COMPUTED_VALUE"""),1.035)</f>
        <v>1.035</v>
      </c>
      <c r="E1183" s="24">
        <f>IFERROR(__xludf.DUMMYFUNCTION("""COMPUTED_VALUE"""),67.0)</f>
        <v>67</v>
      </c>
      <c r="F1183" s="27" t="str">
        <f>IFERROR(__xludf.DUMMYFUNCTION("""COMPUTED_VALUE"""),"BLACK")</f>
        <v>BLACK</v>
      </c>
      <c r="G1183" s="28" t="str">
        <f>IFERROR(__xludf.DUMMYFUNCTION("""COMPUTED_VALUE"""),"First Times a Charm Cider")</f>
        <v>First Times a Charm Cider</v>
      </c>
      <c r="H1183" s="27" t="str">
        <f>IFERROR(__xludf.DUMMYFUNCTION("""COMPUTED_VALUE"""),"")</f>
        <v/>
      </c>
    </row>
    <row r="1184">
      <c r="A1184" s="17"/>
      <c r="B1184" s="23"/>
      <c r="C1184" s="17">
        <f>IFERROR(__xludf.DUMMYFUNCTION("""COMPUTED_VALUE"""),43542.22949125)</f>
        <v>43542.22949</v>
      </c>
      <c r="D1184" s="23">
        <f>IFERROR(__xludf.DUMMYFUNCTION("""COMPUTED_VALUE"""),1.034)</f>
        <v>1.034</v>
      </c>
      <c r="E1184" s="24">
        <f>IFERROR(__xludf.DUMMYFUNCTION("""COMPUTED_VALUE"""),67.0)</f>
        <v>67</v>
      </c>
      <c r="F1184" s="27" t="str">
        <f>IFERROR(__xludf.DUMMYFUNCTION("""COMPUTED_VALUE"""),"BLACK")</f>
        <v>BLACK</v>
      </c>
      <c r="G1184" s="28" t="str">
        <f>IFERROR(__xludf.DUMMYFUNCTION("""COMPUTED_VALUE"""),"First Times a Charm Cider")</f>
        <v>First Times a Charm Cider</v>
      </c>
      <c r="H1184" s="27" t="str">
        <f>IFERROR(__xludf.DUMMYFUNCTION("""COMPUTED_VALUE"""),"")</f>
        <v/>
      </c>
    </row>
    <row r="1185">
      <c r="A1185" s="17"/>
      <c r="B1185" s="23"/>
      <c r="C1185" s="17">
        <f>IFERROR(__xludf.DUMMYFUNCTION("""COMPUTED_VALUE"""),43542.2190695833)</f>
        <v>43542.21907</v>
      </c>
      <c r="D1185" s="23">
        <f>IFERROR(__xludf.DUMMYFUNCTION("""COMPUTED_VALUE"""),1.034)</f>
        <v>1.034</v>
      </c>
      <c r="E1185" s="24">
        <f>IFERROR(__xludf.DUMMYFUNCTION("""COMPUTED_VALUE"""),67.0)</f>
        <v>67</v>
      </c>
      <c r="F1185" s="27" t="str">
        <f>IFERROR(__xludf.DUMMYFUNCTION("""COMPUTED_VALUE"""),"BLACK")</f>
        <v>BLACK</v>
      </c>
      <c r="G1185" s="28" t="str">
        <f>IFERROR(__xludf.DUMMYFUNCTION("""COMPUTED_VALUE"""),"First Times a Charm Cider")</f>
        <v>First Times a Charm Cider</v>
      </c>
      <c r="H1185" s="27" t="str">
        <f>IFERROR(__xludf.DUMMYFUNCTION("""COMPUTED_VALUE"""),"")</f>
        <v/>
      </c>
    </row>
    <row r="1186">
      <c r="A1186" s="17"/>
      <c r="B1186" s="23"/>
      <c r="C1186" s="17">
        <f>IFERROR(__xludf.DUMMYFUNCTION("""COMPUTED_VALUE"""),43542.2086499305)</f>
        <v>43542.20865</v>
      </c>
      <c r="D1186" s="23">
        <f>IFERROR(__xludf.DUMMYFUNCTION("""COMPUTED_VALUE"""),1.034)</f>
        <v>1.034</v>
      </c>
      <c r="E1186" s="24">
        <f>IFERROR(__xludf.DUMMYFUNCTION("""COMPUTED_VALUE"""),67.0)</f>
        <v>67</v>
      </c>
      <c r="F1186" s="27" t="str">
        <f>IFERROR(__xludf.DUMMYFUNCTION("""COMPUTED_VALUE"""),"BLACK")</f>
        <v>BLACK</v>
      </c>
      <c r="G1186" s="28" t="str">
        <f>IFERROR(__xludf.DUMMYFUNCTION("""COMPUTED_VALUE"""),"First Times a Charm Cider")</f>
        <v>First Times a Charm Cider</v>
      </c>
      <c r="H1186" s="27" t="str">
        <f>IFERROR(__xludf.DUMMYFUNCTION("""COMPUTED_VALUE"""),"")</f>
        <v/>
      </c>
    </row>
    <row r="1187">
      <c r="A1187" s="17"/>
      <c r="B1187" s="23"/>
      <c r="C1187" s="17">
        <f>IFERROR(__xludf.DUMMYFUNCTION("""COMPUTED_VALUE"""),43542.1982273032)</f>
        <v>43542.19823</v>
      </c>
      <c r="D1187" s="23">
        <f>IFERROR(__xludf.DUMMYFUNCTION("""COMPUTED_VALUE"""),1.034)</f>
        <v>1.034</v>
      </c>
      <c r="E1187" s="24">
        <f>IFERROR(__xludf.DUMMYFUNCTION("""COMPUTED_VALUE"""),67.0)</f>
        <v>67</v>
      </c>
      <c r="F1187" s="27" t="str">
        <f>IFERROR(__xludf.DUMMYFUNCTION("""COMPUTED_VALUE"""),"BLACK")</f>
        <v>BLACK</v>
      </c>
      <c r="G1187" s="28" t="str">
        <f>IFERROR(__xludf.DUMMYFUNCTION("""COMPUTED_VALUE"""),"First Times a Charm Cider")</f>
        <v>First Times a Charm Cider</v>
      </c>
      <c r="H1187" s="27" t="str">
        <f>IFERROR(__xludf.DUMMYFUNCTION("""COMPUTED_VALUE"""),"")</f>
        <v/>
      </c>
    </row>
    <row r="1188">
      <c r="A1188" s="17"/>
      <c r="B1188" s="23"/>
      <c r="C1188" s="17">
        <f>IFERROR(__xludf.DUMMYFUNCTION("""COMPUTED_VALUE"""),43542.1877712037)</f>
        <v>43542.18777</v>
      </c>
      <c r="D1188" s="23">
        <f>IFERROR(__xludf.DUMMYFUNCTION("""COMPUTED_VALUE"""),1.034)</f>
        <v>1.034</v>
      </c>
      <c r="E1188" s="24">
        <f>IFERROR(__xludf.DUMMYFUNCTION("""COMPUTED_VALUE"""),67.0)</f>
        <v>67</v>
      </c>
      <c r="F1188" s="27" t="str">
        <f>IFERROR(__xludf.DUMMYFUNCTION("""COMPUTED_VALUE"""),"BLACK")</f>
        <v>BLACK</v>
      </c>
      <c r="G1188" s="28" t="str">
        <f>IFERROR(__xludf.DUMMYFUNCTION("""COMPUTED_VALUE"""),"First Times a Charm Cider")</f>
        <v>First Times a Charm Cider</v>
      </c>
      <c r="H1188" s="27" t="str">
        <f>IFERROR(__xludf.DUMMYFUNCTION("""COMPUTED_VALUE"""),"")</f>
        <v/>
      </c>
    </row>
    <row r="1189">
      <c r="A1189" s="17"/>
      <c r="B1189" s="23"/>
      <c r="C1189" s="17">
        <f>IFERROR(__xludf.DUMMYFUNCTION("""COMPUTED_VALUE"""),43542.1773268171)</f>
        <v>43542.17733</v>
      </c>
      <c r="D1189" s="23">
        <f>IFERROR(__xludf.DUMMYFUNCTION("""COMPUTED_VALUE"""),1.034)</f>
        <v>1.034</v>
      </c>
      <c r="E1189" s="24">
        <f>IFERROR(__xludf.DUMMYFUNCTION("""COMPUTED_VALUE"""),67.0)</f>
        <v>67</v>
      </c>
      <c r="F1189" s="27" t="str">
        <f>IFERROR(__xludf.DUMMYFUNCTION("""COMPUTED_VALUE"""),"BLACK")</f>
        <v>BLACK</v>
      </c>
      <c r="G1189" s="28" t="str">
        <f>IFERROR(__xludf.DUMMYFUNCTION("""COMPUTED_VALUE"""),"First Times a Charm Cider")</f>
        <v>First Times a Charm Cider</v>
      </c>
      <c r="H1189" s="27" t="str">
        <f>IFERROR(__xludf.DUMMYFUNCTION("""COMPUTED_VALUE"""),"")</f>
        <v/>
      </c>
    </row>
    <row r="1190">
      <c r="A1190" s="17"/>
      <c r="B1190" s="23"/>
      <c r="C1190" s="17">
        <f>IFERROR(__xludf.DUMMYFUNCTION("""COMPUTED_VALUE"""),43542.1668941782)</f>
        <v>43542.16689</v>
      </c>
      <c r="D1190" s="23">
        <f>IFERROR(__xludf.DUMMYFUNCTION("""COMPUTED_VALUE"""),1.034)</f>
        <v>1.034</v>
      </c>
      <c r="E1190" s="24">
        <f>IFERROR(__xludf.DUMMYFUNCTION("""COMPUTED_VALUE"""),67.0)</f>
        <v>67</v>
      </c>
      <c r="F1190" s="27" t="str">
        <f>IFERROR(__xludf.DUMMYFUNCTION("""COMPUTED_VALUE"""),"BLACK")</f>
        <v>BLACK</v>
      </c>
      <c r="G1190" s="28" t="str">
        <f>IFERROR(__xludf.DUMMYFUNCTION("""COMPUTED_VALUE"""),"First Times a Charm Cider")</f>
        <v>First Times a Charm Cider</v>
      </c>
      <c r="H1190" s="27" t="str">
        <f>IFERROR(__xludf.DUMMYFUNCTION("""COMPUTED_VALUE"""),"")</f>
        <v/>
      </c>
    </row>
    <row r="1191">
      <c r="A1191" s="17"/>
      <c r="B1191" s="23"/>
      <c r="C1191" s="17">
        <f>IFERROR(__xludf.DUMMYFUNCTION("""COMPUTED_VALUE"""),43542.1564735995)</f>
        <v>43542.15647</v>
      </c>
      <c r="D1191" s="23">
        <f>IFERROR(__xludf.DUMMYFUNCTION("""COMPUTED_VALUE"""),1.034)</f>
        <v>1.034</v>
      </c>
      <c r="E1191" s="24">
        <f>IFERROR(__xludf.DUMMYFUNCTION("""COMPUTED_VALUE"""),67.0)</f>
        <v>67</v>
      </c>
      <c r="F1191" s="27" t="str">
        <f>IFERROR(__xludf.DUMMYFUNCTION("""COMPUTED_VALUE"""),"BLACK")</f>
        <v>BLACK</v>
      </c>
      <c r="G1191" s="28" t="str">
        <f>IFERROR(__xludf.DUMMYFUNCTION("""COMPUTED_VALUE"""),"First Times a Charm Cider")</f>
        <v>First Times a Charm Cider</v>
      </c>
      <c r="H1191" s="27" t="str">
        <f>IFERROR(__xludf.DUMMYFUNCTION("""COMPUTED_VALUE"""),"")</f>
        <v/>
      </c>
    </row>
    <row r="1192">
      <c r="A1192" s="17"/>
      <c r="B1192" s="23"/>
      <c r="C1192" s="17">
        <f>IFERROR(__xludf.DUMMYFUNCTION("""COMPUTED_VALUE"""),43542.1460393055)</f>
        <v>43542.14604</v>
      </c>
      <c r="D1192" s="23">
        <f>IFERROR(__xludf.DUMMYFUNCTION("""COMPUTED_VALUE"""),1.035)</f>
        <v>1.035</v>
      </c>
      <c r="E1192" s="24">
        <f>IFERROR(__xludf.DUMMYFUNCTION("""COMPUTED_VALUE"""),67.0)</f>
        <v>67</v>
      </c>
      <c r="F1192" s="27" t="str">
        <f>IFERROR(__xludf.DUMMYFUNCTION("""COMPUTED_VALUE"""),"BLACK")</f>
        <v>BLACK</v>
      </c>
      <c r="G1192" s="28" t="str">
        <f>IFERROR(__xludf.DUMMYFUNCTION("""COMPUTED_VALUE"""),"First Times a Charm Cider")</f>
        <v>First Times a Charm Cider</v>
      </c>
      <c r="H1192" s="27" t="str">
        <f>IFERROR(__xludf.DUMMYFUNCTION("""COMPUTED_VALUE"""),"")</f>
        <v/>
      </c>
    </row>
    <row r="1193">
      <c r="A1193" s="17"/>
      <c r="B1193" s="23"/>
      <c r="C1193" s="17">
        <f>IFERROR(__xludf.DUMMYFUNCTION("""COMPUTED_VALUE"""),43542.135525787)</f>
        <v>43542.13553</v>
      </c>
      <c r="D1193" s="23">
        <f>IFERROR(__xludf.DUMMYFUNCTION("""COMPUTED_VALUE"""),1.034)</f>
        <v>1.034</v>
      </c>
      <c r="E1193" s="24">
        <f>IFERROR(__xludf.DUMMYFUNCTION("""COMPUTED_VALUE"""),67.0)</f>
        <v>67</v>
      </c>
      <c r="F1193" s="27" t="str">
        <f>IFERROR(__xludf.DUMMYFUNCTION("""COMPUTED_VALUE"""),"BLACK")</f>
        <v>BLACK</v>
      </c>
      <c r="G1193" s="28" t="str">
        <f>IFERROR(__xludf.DUMMYFUNCTION("""COMPUTED_VALUE"""),"First Times a Charm Cider")</f>
        <v>First Times a Charm Cider</v>
      </c>
      <c r="H1193" s="27" t="str">
        <f>IFERROR(__xludf.DUMMYFUNCTION("""COMPUTED_VALUE"""),"")</f>
        <v/>
      </c>
    </row>
    <row r="1194">
      <c r="A1194" s="17"/>
      <c r="B1194" s="23"/>
      <c r="C1194" s="17">
        <f>IFERROR(__xludf.DUMMYFUNCTION("""COMPUTED_VALUE"""),43542.1250929629)</f>
        <v>43542.12509</v>
      </c>
      <c r="D1194" s="23">
        <f>IFERROR(__xludf.DUMMYFUNCTION("""COMPUTED_VALUE"""),1.034)</f>
        <v>1.034</v>
      </c>
      <c r="E1194" s="24">
        <f>IFERROR(__xludf.DUMMYFUNCTION("""COMPUTED_VALUE"""),67.0)</f>
        <v>67</v>
      </c>
      <c r="F1194" s="27" t="str">
        <f>IFERROR(__xludf.DUMMYFUNCTION("""COMPUTED_VALUE"""),"BLACK")</f>
        <v>BLACK</v>
      </c>
      <c r="G1194" s="28" t="str">
        <f>IFERROR(__xludf.DUMMYFUNCTION("""COMPUTED_VALUE"""),"First Times a Charm Cider")</f>
        <v>First Times a Charm Cider</v>
      </c>
      <c r="H1194" s="27" t="str">
        <f>IFERROR(__xludf.DUMMYFUNCTION("""COMPUTED_VALUE"""),"")</f>
        <v/>
      </c>
    </row>
    <row r="1195">
      <c r="A1195" s="17"/>
      <c r="B1195" s="23"/>
      <c r="C1195" s="17">
        <f>IFERROR(__xludf.DUMMYFUNCTION("""COMPUTED_VALUE"""),43542.114648449)</f>
        <v>43542.11465</v>
      </c>
      <c r="D1195" s="23">
        <f>IFERROR(__xludf.DUMMYFUNCTION("""COMPUTED_VALUE"""),1.034)</f>
        <v>1.034</v>
      </c>
      <c r="E1195" s="24">
        <f>IFERROR(__xludf.DUMMYFUNCTION("""COMPUTED_VALUE"""),67.0)</f>
        <v>67</v>
      </c>
      <c r="F1195" s="27" t="str">
        <f>IFERROR(__xludf.DUMMYFUNCTION("""COMPUTED_VALUE"""),"BLACK")</f>
        <v>BLACK</v>
      </c>
      <c r="G1195" s="28" t="str">
        <f>IFERROR(__xludf.DUMMYFUNCTION("""COMPUTED_VALUE"""),"First Times a Charm Cider")</f>
        <v>First Times a Charm Cider</v>
      </c>
      <c r="H1195" s="27" t="str">
        <f>IFERROR(__xludf.DUMMYFUNCTION("""COMPUTED_VALUE"""),"")</f>
        <v/>
      </c>
    </row>
    <row r="1196">
      <c r="A1196" s="17"/>
      <c r="B1196" s="23"/>
      <c r="C1196" s="17">
        <f>IFERROR(__xludf.DUMMYFUNCTION("""COMPUTED_VALUE"""),43542.1042024884)</f>
        <v>43542.1042</v>
      </c>
      <c r="D1196" s="23">
        <f>IFERROR(__xludf.DUMMYFUNCTION("""COMPUTED_VALUE"""),1.035)</f>
        <v>1.035</v>
      </c>
      <c r="E1196" s="24">
        <f>IFERROR(__xludf.DUMMYFUNCTION("""COMPUTED_VALUE"""),67.0)</f>
        <v>67</v>
      </c>
      <c r="F1196" s="27" t="str">
        <f>IFERROR(__xludf.DUMMYFUNCTION("""COMPUTED_VALUE"""),"BLACK")</f>
        <v>BLACK</v>
      </c>
      <c r="G1196" s="28" t="str">
        <f>IFERROR(__xludf.DUMMYFUNCTION("""COMPUTED_VALUE"""),"First Times a Charm Cider")</f>
        <v>First Times a Charm Cider</v>
      </c>
      <c r="H1196" s="27" t="str">
        <f>IFERROR(__xludf.DUMMYFUNCTION("""COMPUTED_VALUE"""),"")</f>
        <v/>
      </c>
    </row>
    <row r="1197">
      <c r="A1197" s="17"/>
      <c r="B1197" s="23"/>
      <c r="C1197" s="17">
        <f>IFERROR(__xludf.DUMMYFUNCTION("""COMPUTED_VALUE"""),43542.0937820601)</f>
        <v>43542.09378</v>
      </c>
      <c r="D1197" s="23">
        <f>IFERROR(__xludf.DUMMYFUNCTION("""COMPUTED_VALUE"""),1.035)</f>
        <v>1.035</v>
      </c>
      <c r="E1197" s="24">
        <f>IFERROR(__xludf.DUMMYFUNCTION("""COMPUTED_VALUE"""),67.0)</f>
        <v>67</v>
      </c>
      <c r="F1197" s="27" t="str">
        <f>IFERROR(__xludf.DUMMYFUNCTION("""COMPUTED_VALUE"""),"BLACK")</f>
        <v>BLACK</v>
      </c>
      <c r="G1197" s="28" t="str">
        <f>IFERROR(__xludf.DUMMYFUNCTION("""COMPUTED_VALUE"""),"First Times a Charm Cider")</f>
        <v>First Times a Charm Cider</v>
      </c>
      <c r="H1197" s="27" t="str">
        <f>IFERROR(__xludf.DUMMYFUNCTION("""COMPUTED_VALUE"""),"")</f>
        <v/>
      </c>
    </row>
    <row r="1198">
      <c r="A1198" s="17"/>
      <c r="B1198" s="23"/>
      <c r="C1198" s="17">
        <f>IFERROR(__xludf.DUMMYFUNCTION("""COMPUTED_VALUE"""),43542.0833615856)</f>
        <v>43542.08336</v>
      </c>
      <c r="D1198" s="23">
        <f>IFERROR(__xludf.DUMMYFUNCTION("""COMPUTED_VALUE"""),1.035)</f>
        <v>1.035</v>
      </c>
      <c r="E1198" s="24">
        <f>IFERROR(__xludf.DUMMYFUNCTION("""COMPUTED_VALUE"""),67.0)</f>
        <v>67</v>
      </c>
      <c r="F1198" s="27" t="str">
        <f>IFERROR(__xludf.DUMMYFUNCTION("""COMPUTED_VALUE"""),"BLACK")</f>
        <v>BLACK</v>
      </c>
      <c r="G1198" s="28" t="str">
        <f>IFERROR(__xludf.DUMMYFUNCTION("""COMPUTED_VALUE"""),"First Times a Charm Cider")</f>
        <v>First Times a Charm Cider</v>
      </c>
      <c r="H1198" s="27" t="str">
        <f>IFERROR(__xludf.DUMMYFUNCTION("""COMPUTED_VALUE"""),"")</f>
        <v/>
      </c>
    </row>
    <row r="1199">
      <c r="A1199" s="17"/>
      <c r="B1199" s="23"/>
      <c r="C1199" s="17">
        <f>IFERROR(__xludf.DUMMYFUNCTION("""COMPUTED_VALUE"""),43542.0729295486)</f>
        <v>43542.07293</v>
      </c>
      <c r="D1199" s="23">
        <f>IFERROR(__xludf.DUMMYFUNCTION("""COMPUTED_VALUE"""),1.034)</f>
        <v>1.034</v>
      </c>
      <c r="E1199" s="24">
        <f>IFERROR(__xludf.DUMMYFUNCTION("""COMPUTED_VALUE"""),67.0)</f>
        <v>67</v>
      </c>
      <c r="F1199" s="27" t="str">
        <f>IFERROR(__xludf.DUMMYFUNCTION("""COMPUTED_VALUE"""),"BLACK")</f>
        <v>BLACK</v>
      </c>
      <c r="G1199" s="28" t="str">
        <f>IFERROR(__xludf.DUMMYFUNCTION("""COMPUTED_VALUE"""),"First Times a Charm Cider")</f>
        <v>First Times a Charm Cider</v>
      </c>
      <c r="H1199" s="27" t="str">
        <f>IFERROR(__xludf.DUMMYFUNCTION("""COMPUTED_VALUE"""),"")</f>
        <v/>
      </c>
    </row>
    <row r="1200">
      <c r="A1200" s="17"/>
      <c r="B1200" s="23"/>
      <c r="C1200" s="17">
        <f>IFERROR(__xludf.DUMMYFUNCTION("""COMPUTED_VALUE"""),43542.0624501967)</f>
        <v>43542.06245</v>
      </c>
      <c r="D1200" s="23">
        <f>IFERROR(__xludf.DUMMYFUNCTION("""COMPUTED_VALUE"""),1.035)</f>
        <v>1.035</v>
      </c>
      <c r="E1200" s="24">
        <f>IFERROR(__xludf.DUMMYFUNCTION("""COMPUTED_VALUE"""),67.0)</f>
        <v>67</v>
      </c>
      <c r="F1200" s="27" t="str">
        <f>IFERROR(__xludf.DUMMYFUNCTION("""COMPUTED_VALUE"""),"BLACK")</f>
        <v>BLACK</v>
      </c>
      <c r="G1200" s="28" t="str">
        <f>IFERROR(__xludf.DUMMYFUNCTION("""COMPUTED_VALUE"""),"First Times a Charm Cider")</f>
        <v>First Times a Charm Cider</v>
      </c>
      <c r="H1200" s="27" t="str">
        <f>IFERROR(__xludf.DUMMYFUNCTION("""COMPUTED_VALUE"""),"")</f>
        <v/>
      </c>
    </row>
    <row r="1201">
      <c r="A1201" s="17"/>
      <c r="B1201" s="23"/>
      <c r="C1201" s="17">
        <f>IFERROR(__xludf.DUMMYFUNCTION("""COMPUTED_VALUE"""),43542.0520288078)</f>
        <v>43542.05203</v>
      </c>
      <c r="D1201" s="23">
        <f>IFERROR(__xludf.DUMMYFUNCTION("""COMPUTED_VALUE"""),1.035)</f>
        <v>1.035</v>
      </c>
      <c r="E1201" s="24">
        <f>IFERROR(__xludf.DUMMYFUNCTION("""COMPUTED_VALUE"""),67.0)</f>
        <v>67</v>
      </c>
      <c r="F1201" s="27" t="str">
        <f>IFERROR(__xludf.DUMMYFUNCTION("""COMPUTED_VALUE"""),"BLACK")</f>
        <v>BLACK</v>
      </c>
      <c r="G1201" s="28" t="str">
        <f>IFERROR(__xludf.DUMMYFUNCTION("""COMPUTED_VALUE"""),"First Times a Charm Cider")</f>
        <v>First Times a Charm Cider</v>
      </c>
      <c r="H1201" s="27" t="str">
        <f>IFERROR(__xludf.DUMMYFUNCTION("""COMPUTED_VALUE"""),"")</f>
        <v/>
      </c>
    </row>
    <row r="1202">
      <c r="A1202" s="17"/>
      <c r="B1202" s="23"/>
      <c r="C1202" s="17">
        <f>IFERROR(__xludf.DUMMYFUNCTION("""COMPUTED_VALUE"""),43542.0416092476)</f>
        <v>43542.04161</v>
      </c>
      <c r="D1202" s="23">
        <f>IFERROR(__xludf.DUMMYFUNCTION("""COMPUTED_VALUE"""),1.035)</f>
        <v>1.035</v>
      </c>
      <c r="E1202" s="24">
        <f>IFERROR(__xludf.DUMMYFUNCTION("""COMPUTED_VALUE"""),67.0)</f>
        <v>67</v>
      </c>
      <c r="F1202" s="27" t="str">
        <f>IFERROR(__xludf.DUMMYFUNCTION("""COMPUTED_VALUE"""),"BLACK")</f>
        <v>BLACK</v>
      </c>
      <c r="G1202" s="28" t="str">
        <f>IFERROR(__xludf.DUMMYFUNCTION("""COMPUTED_VALUE"""),"First Times a Charm Cider")</f>
        <v>First Times a Charm Cider</v>
      </c>
      <c r="H1202" s="27" t="str">
        <f>IFERROR(__xludf.DUMMYFUNCTION("""COMPUTED_VALUE"""),"")</f>
        <v/>
      </c>
    </row>
    <row r="1203">
      <c r="A1203" s="17"/>
      <c r="B1203" s="23"/>
      <c r="C1203" s="17">
        <f>IFERROR(__xludf.DUMMYFUNCTION("""COMPUTED_VALUE"""),43542.0311858796)</f>
        <v>43542.03119</v>
      </c>
      <c r="D1203" s="23">
        <f>IFERROR(__xludf.DUMMYFUNCTION("""COMPUTED_VALUE"""),1.035)</f>
        <v>1.035</v>
      </c>
      <c r="E1203" s="24">
        <f>IFERROR(__xludf.DUMMYFUNCTION("""COMPUTED_VALUE"""),67.0)</f>
        <v>67</v>
      </c>
      <c r="F1203" s="27" t="str">
        <f>IFERROR(__xludf.DUMMYFUNCTION("""COMPUTED_VALUE"""),"BLACK")</f>
        <v>BLACK</v>
      </c>
      <c r="G1203" s="28" t="str">
        <f>IFERROR(__xludf.DUMMYFUNCTION("""COMPUTED_VALUE"""),"First Times a Charm Cider")</f>
        <v>First Times a Charm Cider</v>
      </c>
      <c r="H1203" s="27" t="str">
        <f>IFERROR(__xludf.DUMMYFUNCTION("""COMPUTED_VALUE"""),"")</f>
        <v/>
      </c>
    </row>
    <row r="1204">
      <c r="A1204" s="17"/>
      <c r="B1204" s="23"/>
      <c r="C1204" s="17">
        <f>IFERROR(__xludf.DUMMYFUNCTION("""COMPUTED_VALUE"""),43542.0207515856)</f>
        <v>43542.02075</v>
      </c>
      <c r="D1204" s="23">
        <f>IFERROR(__xludf.DUMMYFUNCTION("""COMPUTED_VALUE"""),1.035)</f>
        <v>1.035</v>
      </c>
      <c r="E1204" s="24">
        <f>IFERROR(__xludf.DUMMYFUNCTION("""COMPUTED_VALUE"""),67.0)</f>
        <v>67</v>
      </c>
      <c r="F1204" s="27" t="str">
        <f>IFERROR(__xludf.DUMMYFUNCTION("""COMPUTED_VALUE"""),"BLACK")</f>
        <v>BLACK</v>
      </c>
      <c r="G1204" s="28" t="str">
        <f>IFERROR(__xludf.DUMMYFUNCTION("""COMPUTED_VALUE"""),"First Times a Charm Cider")</f>
        <v>First Times a Charm Cider</v>
      </c>
      <c r="H1204" s="27" t="str">
        <f>IFERROR(__xludf.DUMMYFUNCTION("""COMPUTED_VALUE"""),"")</f>
        <v/>
      </c>
    </row>
    <row r="1205">
      <c r="A1205" s="17"/>
      <c r="B1205" s="23"/>
      <c r="C1205" s="17">
        <f>IFERROR(__xludf.DUMMYFUNCTION("""COMPUTED_VALUE"""),43542.0103282523)</f>
        <v>43542.01033</v>
      </c>
      <c r="D1205" s="23">
        <f>IFERROR(__xludf.DUMMYFUNCTION("""COMPUTED_VALUE"""),1.035)</f>
        <v>1.035</v>
      </c>
      <c r="E1205" s="24">
        <f>IFERROR(__xludf.DUMMYFUNCTION("""COMPUTED_VALUE"""),67.0)</f>
        <v>67</v>
      </c>
      <c r="F1205" s="27" t="str">
        <f>IFERROR(__xludf.DUMMYFUNCTION("""COMPUTED_VALUE"""),"BLACK")</f>
        <v>BLACK</v>
      </c>
      <c r="G1205" s="28" t="str">
        <f>IFERROR(__xludf.DUMMYFUNCTION("""COMPUTED_VALUE"""),"First Times a Charm Cider")</f>
        <v>First Times a Charm Cider</v>
      </c>
      <c r="H1205" s="27" t="str">
        <f>IFERROR(__xludf.DUMMYFUNCTION("""COMPUTED_VALUE"""),"")</f>
        <v/>
      </c>
    </row>
    <row r="1206">
      <c r="A1206" s="17"/>
      <c r="B1206" s="23"/>
      <c r="C1206" s="17">
        <f>IFERROR(__xludf.DUMMYFUNCTION("""COMPUTED_VALUE"""),43541.9999089236)</f>
        <v>43541.99991</v>
      </c>
      <c r="D1206" s="23">
        <f>IFERROR(__xludf.DUMMYFUNCTION("""COMPUTED_VALUE"""),1.035)</f>
        <v>1.035</v>
      </c>
      <c r="E1206" s="24">
        <f>IFERROR(__xludf.DUMMYFUNCTION("""COMPUTED_VALUE"""),67.0)</f>
        <v>67</v>
      </c>
      <c r="F1206" s="27" t="str">
        <f>IFERROR(__xludf.DUMMYFUNCTION("""COMPUTED_VALUE"""),"BLACK")</f>
        <v>BLACK</v>
      </c>
      <c r="G1206" s="28" t="str">
        <f>IFERROR(__xludf.DUMMYFUNCTION("""COMPUTED_VALUE"""),"First Times a Charm Cider")</f>
        <v>First Times a Charm Cider</v>
      </c>
      <c r="H1206" s="27" t="str">
        <f>IFERROR(__xludf.DUMMYFUNCTION("""COMPUTED_VALUE"""),"")</f>
        <v/>
      </c>
    </row>
    <row r="1207">
      <c r="A1207" s="17"/>
      <c r="B1207" s="23"/>
      <c r="C1207" s="17">
        <f>IFERROR(__xludf.DUMMYFUNCTION("""COMPUTED_VALUE"""),43541.9894757638)</f>
        <v>43541.98948</v>
      </c>
      <c r="D1207" s="23">
        <f>IFERROR(__xludf.DUMMYFUNCTION("""COMPUTED_VALUE"""),1.035)</f>
        <v>1.035</v>
      </c>
      <c r="E1207" s="24">
        <f>IFERROR(__xludf.DUMMYFUNCTION("""COMPUTED_VALUE"""),67.0)</f>
        <v>67</v>
      </c>
      <c r="F1207" s="27" t="str">
        <f>IFERROR(__xludf.DUMMYFUNCTION("""COMPUTED_VALUE"""),"BLACK")</f>
        <v>BLACK</v>
      </c>
      <c r="G1207" s="28" t="str">
        <f>IFERROR(__xludf.DUMMYFUNCTION("""COMPUTED_VALUE"""),"First Times a Charm Cider")</f>
        <v>First Times a Charm Cider</v>
      </c>
      <c r="H1207" s="27" t="str">
        <f>IFERROR(__xludf.DUMMYFUNCTION("""COMPUTED_VALUE"""),"")</f>
        <v/>
      </c>
    </row>
    <row r="1208">
      <c r="A1208" s="17"/>
      <c r="B1208" s="23"/>
      <c r="C1208" s="17">
        <f>IFERROR(__xludf.DUMMYFUNCTION("""COMPUTED_VALUE"""),43541.9790424537)</f>
        <v>43541.97904</v>
      </c>
      <c r="D1208" s="23">
        <f>IFERROR(__xludf.DUMMYFUNCTION("""COMPUTED_VALUE"""),1.035)</f>
        <v>1.035</v>
      </c>
      <c r="E1208" s="24">
        <f>IFERROR(__xludf.DUMMYFUNCTION("""COMPUTED_VALUE"""),67.0)</f>
        <v>67</v>
      </c>
      <c r="F1208" s="27" t="str">
        <f>IFERROR(__xludf.DUMMYFUNCTION("""COMPUTED_VALUE"""),"BLACK")</f>
        <v>BLACK</v>
      </c>
      <c r="G1208" s="28" t="str">
        <f>IFERROR(__xludf.DUMMYFUNCTION("""COMPUTED_VALUE"""),"First Times a Charm Cider")</f>
        <v>First Times a Charm Cider</v>
      </c>
      <c r="H1208" s="27" t="str">
        <f>IFERROR(__xludf.DUMMYFUNCTION("""COMPUTED_VALUE"""),"")</f>
        <v/>
      </c>
    </row>
    <row r="1209">
      <c r="A1209" s="17"/>
      <c r="B1209" s="23"/>
      <c r="C1209" s="17">
        <f>IFERROR(__xludf.DUMMYFUNCTION("""COMPUTED_VALUE"""),43541.9686208564)</f>
        <v>43541.96862</v>
      </c>
      <c r="D1209" s="23">
        <f>IFERROR(__xludf.DUMMYFUNCTION("""COMPUTED_VALUE"""),1.035)</f>
        <v>1.035</v>
      </c>
      <c r="E1209" s="24">
        <f>IFERROR(__xludf.DUMMYFUNCTION("""COMPUTED_VALUE"""),67.0)</f>
        <v>67</v>
      </c>
      <c r="F1209" s="27" t="str">
        <f>IFERROR(__xludf.DUMMYFUNCTION("""COMPUTED_VALUE"""),"BLACK")</f>
        <v>BLACK</v>
      </c>
      <c r="G1209" s="28" t="str">
        <f>IFERROR(__xludf.DUMMYFUNCTION("""COMPUTED_VALUE"""),"First Times a Charm Cider")</f>
        <v>First Times a Charm Cider</v>
      </c>
      <c r="H1209" s="27" t="str">
        <f>IFERROR(__xludf.DUMMYFUNCTION("""COMPUTED_VALUE"""),"")</f>
        <v/>
      </c>
    </row>
    <row r="1210">
      <c r="A1210" s="17"/>
      <c r="B1210" s="23"/>
      <c r="C1210" s="17">
        <f>IFERROR(__xludf.DUMMYFUNCTION("""COMPUTED_VALUE"""),43541.958203125)</f>
        <v>43541.9582</v>
      </c>
      <c r="D1210" s="23">
        <f>IFERROR(__xludf.DUMMYFUNCTION("""COMPUTED_VALUE"""),1.035)</f>
        <v>1.035</v>
      </c>
      <c r="E1210" s="24">
        <f>IFERROR(__xludf.DUMMYFUNCTION("""COMPUTED_VALUE"""),67.0)</f>
        <v>67</v>
      </c>
      <c r="F1210" s="27" t="str">
        <f>IFERROR(__xludf.DUMMYFUNCTION("""COMPUTED_VALUE"""),"BLACK")</f>
        <v>BLACK</v>
      </c>
      <c r="G1210" s="28" t="str">
        <f>IFERROR(__xludf.DUMMYFUNCTION("""COMPUTED_VALUE"""),"First Times a Charm Cider")</f>
        <v>First Times a Charm Cider</v>
      </c>
      <c r="H1210" s="27" t="str">
        <f>IFERROR(__xludf.DUMMYFUNCTION("""COMPUTED_VALUE"""),"")</f>
        <v/>
      </c>
    </row>
    <row r="1211">
      <c r="A1211" s="17"/>
      <c r="B1211" s="23"/>
      <c r="C1211" s="17">
        <f>IFERROR(__xludf.DUMMYFUNCTION("""COMPUTED_VALUE"""),43541.9477832638)</f>
        <v>43541.94778</v>
      </c>
      <c r="D1211" s="23">
        <f>IFERROR(__xludf.DUMMYFUNCTION("""COMPUTED_VALUE"""),1.035)</f>
        <v>1.035</v>
      </c>
      <c r="E1211" s="24">
        <f>IFERROR(__xludf.DUMMYFUNCTION("""COMPUTED_VALUE"""),67.0)</f>
        <v>67</v>
      </c>
      <c r="F1211" s="27" t="str">
        <f>IFERROR(__xludf.DUMMYFUNCTION("""COMPUTED_VALUE"""),"BLACK")</f>
        <v>BLACK</v>
      </c>
      <c r="G1211" s="28" t="str">
        <f>IFERROR(__xludf.DUMMYFUNCTION("""COMPUTED_VALUE"""),"First Times a Charm Cider")</f>
        <v>First Times a Charm Cider</v>
      </c>
      <c r="H1211" s="27" t="str">
        <f>IFERROR(__xludf.DUMMYFUNCTION("""COMPUTED_VALUE"""),"")</f>
        <v/>
      </c>
    </row>
    <row r="1212">
      <c r="A1212" s="17"/>
      <c r="B1212" s="23"/>
      <c r="C1212" s="17">
        <f>IFERROR(__xludf.DUMMYFUNCTION("""COMPUTED_VALUE"""),43541.9373622453)</f>
        <v>43541.93736</v>
      </c>
      <c r="D1212" s="23">
        <f>IFERROR(__xludf.DUMMYFUNCTION("""COMPUTED_VALUE"""),1.035)</f>
        <v>1.035</v>
      </c>
      <c r="E1212" s="24">
        <f>IFERROR(__xludf.DUMMYFUNCTION("""COMPUTED_VALUE"""),67.0)</f>
        <v>67</v>
      </c>
      <c r="F1212" s="27" t="str">
        <f>IFERROR(__xludf.DUMMYFUNCTION("""COMPUTED_VALUE"""),"BLACK")</f>
        <v>BLACK</v>
      </c>
      <c r="G1212" s="28" t="str">
        <f>IFERROR(__xludf.DUMMYFUNCTION("""COMPUTED_VALUE"""),"First Times a Charm Cider")</f>
        <v>First Times a Charm Cider</v>
      </c>
      <c r="H1212" s="27" t="str">
        <f>IFERROR(__xludf.DUMMYFUNCTION("""COMPUTED_VALUE"""),"")</f>
        <v/>
      </c>
    </row>
    <row r="1213">
      <c r="A1213" s="17"/>
      <c r="B1213" s="23"/>
      <c r="C1213" s="17">
        <f>IFERROR(__xludf.DUMMYFUNCTION("""COMPUTED_VALUE"""),43541.9269065972)</f>
        <v>43541.92691</v>
      </c>
      <c r="D1213" s="23">
        <f>IFERROR(__xludf.DUMMYFUNCTION("""COMPUTED_VALUE"""),1.035)</f>
        <v>1.035</v>
      </c>
      <c r="E1213" s="24">
        <f>IFERROR(__xludf.DUMMYFUNCTION("""COMPUTED_VALUE"""),67.0)</f>
        <v>67</v>
      </c>
      <c r="F1213" s="27" t="str">
        <f>IFERROR(__xludf.DUMMYFUNCTION("""COMPUTED_VALUE"""),"BLACK")</f>
        <v>BLACK</v>
      </c>
      <c r="G1213" s="28" t="str">
        <f>IFERROR(__xludf.DUMMYFUNCTION("""COMPUTED_VALUE"""),"First Times a Charm Cider")</f>
        <v>First Times a Charm Cider</v>
      </c>
      <c r="H1213" s="27" t="str">
        <f>IFERROR(__xludf.DUMMYFUNCTION("""COMPUTED_VALUE"""),"")</f>
        <v/>
      </c>
    </row>
    <row r="1214">
      <c r="A1214" s="17"/>
      <c r="B1214" s="23"/>
      <c r="C1214" s="17">
        <f>IFERROR(__xludf.DUMMYFUNCTION("""COMPUTED_VALUE"""),43541.9164854282)</f>
        <v>43541.91649</v>
      </c>
      <c r="D1214" s="23">
        <f>IFERROR(__xludf.DUMMYFUNCTION("""COMPUTED_VALUE"""),1.035)</f>
        <v>1.035</v>
      </c>
      <c r="E1214" s="24">
        <f>IFERROR(__xludf.DUMMYFUNCTION("""COMPUTED_VALUE"""),67.0)</f>
        <v>67</v>
      </c>
      <c r="F1214" s="27" t="str">
        <f>IFERROR(__xludf.DUMMYFUNCTION("""COMPUTED_VALUE"""),"BLACK")</f>
        <v>BLACK</v>
      </c>
      <c r="G1214" s="28" t="str">
        <f>IFERROR(__xludf.DUMMYFUNCTION("""COMPUTED_VALUE"""),"First Times a Charm Cider")</f>
        <v>First Times a Charm Cider</v>
      </c>
      <c r="H1214" s="27" t="str">
        <f>IFERROR(__xludf.DUMMYFUNCTION("""COMPUTED_VALUE"""),"")</f>
        <v/>
      </c>
    </row>
    <row r="1215">
      <c r="A1215" s="17"/>
      <c r="B1215" s="23"/>
      <c r="C1215" s="17">
        <f>IFERROR(__xludf.DUMMYFUNCTION("""COMPUTED_VALUE"""),43541.9060651851)</f>
        <v>43541.90607</v>
      </c>
      <c r="D1215" s="23">
        <f>IFERROR(__xludf.DUMMYFUNCTION("""COMPUTED_VALUE"""),1.035)</f>
        <v>1.035</v>
      </c>
      <c r="E1215" s="24">
        <f>IFERROR(__xludf.DUMMYFUNCTION("""COMPUTED_VALUE"""),67.0)</f>
        <v>67</v>
      </c>
      <c r="F1215" s="27" t="str">
        <f>IFERROR(__xludf.DUMMYFUNCTION("""COMPUTED_VALUE"""),"BLACK")</f>
        <v>BLACK</v>
      </c>
      <c r="G1215" s="28" t="str">
        <f>IFERROR(__xludf.DUMMYFUNCTION("""COMPUTED_VALUE"""),"First Times a Charm Cider")</f>
        <v>First Times a Charm Cider</v>
      </c>
      <c r="H1215" s="27" t="str">
        <f>IFERROR(__xludf.DUMMYFUNCTION("""COMPUTED_VALUE"""),"")</f>
        <v/>
      </c>
    </row>
    <row r="1216">
      <c r="A1216" s="17"/>
      <c r="B1216" s="23"/>
      <c r="C1216" s="17">
        <f>IFERROR(__xludf.DUMMYFUNCTION("""COMPUTED_VALUE"""),43541.8955045138)</f>
        <v>43541.8955</v>
      </c>
      <c r="D1216" s="23">
        <f>IFERROR(__xludf.DUMMYFUNCTION("""COMPUTED_VALUE"""),1.035)</f>
        <v>1.035</v>
      </c>
      <c r="E1216" s="24">
        <f>IFERROR(__xludf.DUMMYFUNCTION("""COMPUTED_VALUE"""),67.0)</f>
        <v>67</v>
      </c>
      <c r="F1216" s="27" t="str">
        <f>IFERROR(__xludf.DUMMYFUNCTION("""COMPUTED_VALUE"""),"BLACK")</f>
        <v>BLACK</v>
      </c>
      <c r="G1216" s="28" t="str">
        <f>IFERROR(__xludf.DUMMYFUNCTION("""COMPUTED_VALUE"""),"First Times a Charm Cider")</f>
        <v>First Times a Charm Cider</v>
      </c>
      <c r="H1216" s="27" t="str">
        <f>IFERROR(__xludf.DUMMYFUNCTION("""COMPUTED_VALUE"""),"")</f>
        <v/>
      </c>
    </row>
    <row r="1217">
      <c r="A1217" s="17"/>
      <c r="B1217" s="23"/>
      <c r="C1217" s="17">
        <f>IFERROR(__xludf.DUMMYFUNCTION("""COMPUTED_VALUE"""),43541.8850576851)</f>
        <v>43541.88506</v>
      </c>
      <c r="D1217" s="23">
        <f>IFERROR(__xludf.DUMMYFUNCTION("""COMPUTED_VALUE"""),1.035)</f>
        <v>1.035</v>
      </c>
      <c r="E1217" s="24">
        <f>IFERROR(__xludf.DUMMYFUNCTION("""COMPUTED_VALUE"""),67.0)</f>
        <v>67</v>
      </c>
      <c r="F1217" s="27" t="str">
        <f>IFERROR(__xludf.DUMMYFUNCTION("""COMPUTED_VALUE"""),"BLACK")</f>
        <v>BLACK</v>
      </c>
      <c r="G1217" s="28" t="str">
        <f>IFERROR(__xludf.DUMMYFUNCTION("""COMPUTED_VALUE"""),"First Times a Charm Cider")</f>
        <v>First Times a Charm Cider</v>
      </c>
      <c r="H1217" s="27" t="str">
        <f>IFERROR(__xludf.DUMMYFUNCTION("""COMPUTED_VALUE"""),"")</f>
        <v/>
      </c>
    </row>
    <row r="1218">
      <c r="A1218" s="17"/>
      <c r="B1218" s="23"/>
      <c r="C1218" s="17">
        <f>IFERROR(__xludf.DUMMYFUNCTION("""COMPUTED_VALUE"""),43541.8746243865)</f>
        <v>43541.87462</v>
      </c>
      <c r="D1218" s="23">
        <f>IFERROR(__xludf.DUMMYFUNCTION("""COMPUTED_VALUE"""),1.035)</f>
        <v>1.035</v>
      </c>
      <c r="E1218" s="24">
        <f>IFERROR(__xludf.DUMMYFUNCTION("""COMPUTED_VALUE"""),67.0)</f>
        <v>67</v>
      </c>
      <c r="F1218" s="27" t="str">
        <f>IFERROR(__xludf.DUMMYFUNCTION("""COMPUTED_VALUE"""),"BLACK")</f>
        <v>BLACK</v>
      </c>
      <c r="G1218" s="28" t="str">
        <f>IFERROR(__xludf.DUMMYFUNCTION("""COMPUTED_VALUE"""),"First Times a Charm Cider")</f>
        <v>First Times a Charm Cider</v>
      </c>
      <c r="H1218" s="27" t="str">
        <f>IFERROR(__xludf.DUMMYFUNCTION("""COMPUTED_VALUE"""),"")</f>
        <v/>
      </c>
    </row>
    <row r="1219">
      <c r="A1219" s="17"/>
      <c r="B1219" s="23"/>
      <c r="C1219" s="17">
        <f>IFERROR(__xludf.DUMMYFUNCTION("""COMPUTED_VALUE"""),43541.8642027662)</f>
        <v>43541.8642</v>
      </c>
      <c r="D1219" s="23">
        <f>IFERROR(__xludf.DUMMYFUNCTION("""COMPUTED_VALUE"""),1.035)</f>
        <v>1.035</v>
      </c>
      <c r="E1219" s="24">
        <f>IFERROR(__xludf.DUMMYFUNCTION("""COMPUTED_VALUE"""),67.0)</f>
        <v>67</v>
      </c>
      <c r="F1219" s="27" t="str">
        <f>IFERROR(__xludf.DUMMYFUNCTION("""COMPUTED_VALUE"""),"BLACK")</f>
        <v>BLACK</v>
      </c>
      <c r="G1219" s="28" t="str">
        <f>IFERROR(__xludf.DUMMYFUNCTION("""COMPUTED_VALUE"""),"First Times a Charm Cider")</f>
        <v>First Times a Charm Cider</v>
      </c>
      <c r="H1219" s="27" t="str">
        <f>IFERROR(__xludf.DUMMYFUNCTION("""COMPUTED_VALUE"""),"")</f>
        <v/>
      </c>
    </row>
    <row r="1220">
      <c r="A1220" s="17"/>
      <c r="B1220" s="23"/>
      <c r="C1220" s="17">
        <f>IFERROR(__xludf.DUMMYFUNCTION("""COMPUTED_VALUE"""),43541.8537804976)</f>
        <v>43541.85378</v>
      </c>
      <c r="D1220" s="23">
        <f>IFERROR(__xludf.DUMMYFUNCTION("""COMPUTED_VALUE"""),1.035)</f>
        <v>1.035</v>
      </c>
      <c r="E1220" s="24">
        <f>IFERROR(__xludf.DUMMYFUNCTION("""COMPUTED_VALUE"""),67.0)</f>
        <v>67</v>
      </c>
      <c r="F1220" s="27" t="str">
        <f>IFERROR(__xludf.DUMMYFUNCTION("""COMPUTED_VALUE"""),"BLACK")</f>
        <v>BLACK</v>
      </c>
      <c r="G1220" s="28" t="str">
        <f>IFERROR(__xludf.DUMMYFUNCTION("""COMPUTED_VALUE"""),"First Times a Charm Cider")</f>
        <v>First Times a Charm Cider</v>
      </c>
      <c r="H1220" s="27" t="str">
        <f>IFERROR(__xludf.DUMMYFUNCTION("""COMPUTED_VALUE"""),"")</f>
        <v/>
      </c>
    </row>
    <row r="1221">
      <c r="A1221" s="17"/>
      <c r="B1221" s="23"/>
      <c r="C1221" s="17">
        <f>IFERROR(__xludf.DUMMYFUNCTION("""COMPUTED_VALUE"""),43541.8433124074)</f>
        <v>43541.84331</v>
      </c>
      <c r="D1221" s="23">
        <f>IFERROR(__xludf.DUMMYFUNCTION("""COMPUTED_VALUE"""),1.035)</f>
        <v>1.035</v>
      </c>
      <c r="E1221" s="24">
        <f>IFERROR(__xludf.DUMMYFUNCTION("""COMPUTED_VALUE"""),67.0)</f>
        <v>67</v>
      </c>
      <c r="F1221" s="27" t="str">
        <f>IFERROR(__xludf.DUMMYFUNCTION("""COMPUTED_VALUE"""),"BLACK")</f>
        <v>BLACK</v>
      </c>
      <c r="G1221" s="28" t="str">
        <f>IFERROR(__xludf.DUMMYFUNCTION("""COMPUTED_VALUE"""),"First Times a Charm Cider")</f>
        <v>First Times a Charm Cider</v>
      </c>
      <c r="H1221" s="27" t="str">
        <f>IFERROR(__xludf.DUMMYFUNCTION("""COMPUTED_VALUE"""),"")</f>
        <v/>
      </c>
    </row>
    <row r="1222">
      <c r="A1222" s="17"/>
      <c r="B1222" s="23"/>
      <c r="C1222" s="17">
        <f>IFERROR(__xludf.DUMMYFUNCTION("""COMPUTED_VALUE"""),43541.832879375)</f>
        <v>43541.83288</v>
      </c>
      <c r="D1222" s="23">
        <f>IFERROR(__xludf.DUMMYFUNCTION("""COMPUTED_VALUE"""),1.035)</f>
        <v>1.035</v>
      </c>
      <c r="E1222" s="24">
        <f>IFERROR(__xludf.DUMMYFUNCTION("""COMPUTED_VALUE"""),67.0)</f>
        <v>67</v>
      </c>
      <c r="F1222" s="27" t="str">
        <f>IFERROR(__xludf.DUMMYFUNCTION("""COMPUTED_VALUE"""),"BLACK")</f>
        <v>BLACK</v>
      </c>
      <c r="G1222" s="28" t="str">
        <f>IFERROR(__xludf.DUMMYFUNCTION("""COMPUTED_VALUE"""),"First Times a Charm Cider")</f>
        <v>First Times a Charm Cider</v>
      </c>
      <c r="H1222" s="27" t="str">
        <f>IFERROR(__xludf.DUMMYFUNCTION("""COMPUTED_VALUE"""),"")</f>
        <v/>
      </c>
    </row>
    <row r="1223">
      <c r="A1223" s="17"/>
      <c r="B1223" s="23"/>
      <c r="C1223" s="17">
        <f>IFERROR(__xludf.DUMMYFUNCTION("""COMPUTED_VALUE"""),43541.8222486805)</f>
        <v>43541.82225</v>
      </c>
      <c r="D1223" s="23">
        <f>IFERROR(__xludf.DUMMYFUNCTION("""COMPUTED_VALUE"""),1.035)</f>
        <v>1.035</v>
      </c>
      <c r="E1223" s="24">
        <f>IFERROR(__xludf.DUMMYFUNCTION("""COMPUTED_VALUE"""),67.0)</f>
        <v>67</v>
      </c>
      <c r="F1223" s="27" t="str">
        <f>IFERROR(__xludf.DUMMYFUNCTION("""COMPUTED_VALUE"""),"BLACK")</f>
        <v>BLACK</v>
      </c>
      <c r="G1223" s="28" t="str">
        <f>IFERROR(__xludf.DUMMYFUNCTION("""COMPUTED_VALUE"""),"First Times a Charm Cider")</f>
        <v>First Times a Charm Cider</v>
      </c>
      <c r="H1223" s="27" t="str">
        <f>IFERROR(__xludf.DUMMYFUNCTION("""COMPUTED_VALUE"""),"")</f>
        <v/>
      </c>
    </row>
    <row r="1224">
      <c r="A1224" s="17"/>
      <c r="B1224" s="23"/>
      <c r="C1224" s="17">
        <f>IFERROR(__xludf.DUMMYFUNCTION("""COMPUTED_VALUE"""),43541.811830324)</f>
        <v>43541.81183</v>
      </c>
      <c r="D1224" s="23">
        <f>IFERROR(__xludf.DUMMYFUNCTION("""COMPUTED_VALUE"""),1.035)</f>
        <v>1.035</v>
      </c>
      <c r="E1224" s="24">
        <f>IFERROR(__xludf.DUMMYFUNCTION("""COMPUTED_VALUE"""),67.0)</f>
        <v>67</v>
      </c>
      <c r="F1224" s="27" t="str">
        <f>IFERROR(__xludf.DUMMYFUNCTION("""COMPUTED_VALUE"""),"BLACK")</f>
        <v>BLACK</v>
      </c>
      <c r="G1224" s="28" t="str">
        <f>IFERROR(__xludf.DUMMYFUNCTION("""COMPUTED_VALUE"""),"First Times a Charm Cider")</f>
        <v>First Times a Charm Cider</v>
      </c>
      <c r="H1224" s="27" t="str">
        <f>IFERROR(__xludf.DUMMYFUNCTION("""COMPUTED_VALUE"""),"")</f>
        <v/>
      </c>
    </row>
    <row r="1225">
      <c r="A1225" s="17"/>
      <c r="B1225" s="23"/>
      <c r="C1225" s="17">
        <f>IFERROR(__xludf.DUMMYFUNCTION("""COMPUTED_VALUE"""),43541.80141103)</f>
        <v>43541.80141</v>
      </c>
      <c r="D1225" s="23">
        <f>IFERROR(__xludf.DUMMYFUNCTION("""COMPUTED_VALUE"""),1.035)</f>
        <v>1.035</v>
      </c>
      <c r="E1225" s="24">
        <f>IFERROR(__xludf.DUMMYFUNCTION("""COMPUTED_VALUE"""),67.0)</f>
        <v>67</v>
      </c>
      <c r="F1225" s="27" t="str">
        <f>IFERROR(__xludf.DUMMYFUNCTION("""COMPUTED_VALUE"""),"BLACK")</f>
        <v>BLACK</v>
      </c>
      <c r="G1225" s="28" t="str">
        <f>IFERROR(__xludf.DUMMYFUNCTION("""COMPUTED_VALUE"""),"First Times a Charm Cider")</f>
        <v>First Times a Charm Cider</v>
      </c>
      <c r="H1225" s="27" t="str">
        <f>IFERROR(__xludf.DUMMYFUNCTION("""COMPUTED_VALUE"""),"")</f>
        <v/>
      </c>
    </row>
    <row r="1226">
      <c r="A1226" s="17"/>
      <c r="B1226" s="23"/>
      <c r="C1226" s="17">
        <f>IFERROR(__xludf.DUMMYFUNCTION("""COMPUTED_VALUE"""),43541.7909900694)</f>
        <v>43541.79099</v>
      </c>
      <c r="D1226" s="23">
        <f>IFERROR(__xludf.DUMMYFUNCTION("""COMPUTED_VALUE"""),1.035)</f>
        <v>1.035</v>
      </c>
      <c r="E1226" s="24">
        <f>IFERROR(__xludf.DUMMYFUNCTION("""COMPUTED_VALUE"""),67.0)</f>
        <v>67</v>
      </c>
      <c r="F1226" s="27" t="str">
        <f>IFERROR(__xludf.DUMMYFUNCTION("""COMPUTED_VALUE"""),"BLACK")</f>
        <v>BLACK</v>
      </c>
      <c r="G1226" s="28" t="str">
        <f>IFERROR(__xludf.DUMMYFUNCTION("""COMPUTED_VALUE"""),"First Times a Charm Cider")</f>
        <v>First Times a Charm Cider</v>
      </c>
      <c r="H1226" s="27" t="str">
        <f>IFERROR(__xludf.DUMMYFUNCTION("""COMPUTED_VALUE"""),"")</f>
        <v/>
      </c>
    </row>
    <row r="1227">
      <c r="A1227" s="17"/>
      <c r="B1227" s="23"/>
      <c r="C1227" s="17">
        <f>IFERROR(__xludf.DUMMYFUNCTION("""COMPUTED_VALUE"""),43541.7805689004)</f>
        <v>43541.78057</v>
      </c>
      <c r="D1227" s="23">
        <f>IFERROR(__xludf.DUMMYFUNCTION("""COMPUTED_VALUE"""),1.035)</f>
        <v>1.035</v>
      </c>
      <c r="E1227" s="24">
        <f>IFERROR(__xludf.DUMMYFUNCTION("""COMPUTED_VALUE"""),67.0)</f>
        <v>67</v>
      </c>
      <c r="F1227" s="27" t="str">
        <f>IFERROR(__xludf.DUMMYFUNCTION("""COMPUTED_VALUE"""),"BLACK")</f>
        <v>BLACK</v>
      </c>
      <c r="G1227" s="28" t="str">
        <f>IFERROR(__xludf.DUMMYFUNCTION("""COMPUTED_VALUE"""),"First Times a Charm Cider")</f>
        <v>First Times a Charm Cider</v>
      </c>
      <c r="H1227" s="27" t="str">
        <f>IFERROR(__xludf.DUMMYFUNCTION("""COMPUTED_VALUE"""),"")</f>
        <v/>
      </c>
    </row>
    <row r="1228">
      <c r="A1228" s="17"/>
      <c r="B1228" s="23"/>
      <c r="C1228" s="17">
        <f>IFERROR(__xludf.DUMMYFUNCTION("""COMPUTED_VALUE"""),43541.7700889236)</f>
        <v>43541.77009</v>
      </c>
      <c r="D1228" s="23">
        <f>IFERROR(__xludf.DUMMYFUNCTION("""COMPUTED_VALUE"""),1.035)</f>
        <v>1.035</v>
      </c>
      <c r="E1228" s="24">
        <f>IFERROR(__xludf.DUMMYFUNCTION("""COMPUTED_VALUE"""),67.0)</f>
        <v>67</v>
      </c>
      <c r="F1228" s="27" t="str">
        <f>IFERROR(__xludf.DUMMYFUNCTION("""COMPUTED_VALUE"""),"BLACK")</f>
        <v>BLACK</v>
      </c>
      <c r="G1228" s="28" t="str">
        <f>IFERROR(__xludf.DUMMYFUNCTION("""COMPUTED_VALUE"""),"First Times a Charm Cider")</f>
        <v>First Times a Charm Cider</v>
      </c>
      <c r="H1228" s="27" t="str">
        <f>IFERROR(__xludf.DUMMYFUNCTION("""COMPUTED_VALUE"""),"")</f>
        <v/>
      </c>
    </row>
    <row r="1229">
      <c r="A1229" s="17"/>
      <c r="B1229" s="23"/>
      <c r="C1229" s="17">
        <f>IFERROR(__xludf.DUMMYFUNCTION("""COMPUTED_VALUE"""),43541.7596675231)</f>
        <v>43541.75967</v>
      </c>
      <c r="D1229" s="23">
        <f>IFERROR(__xludf.DUMMYFUNCTION("""COMPUTED_VALUE"""),1.035)</f>
        <v>1.035</v>
      </c>
      <c r="E1229" s="24">
        <f>IFERROR(__xludf.DUMMYFUNCTION("""COMPUTED_VALUE"""),67.0)</f>
        <v>67</v>
      </c>
      <c r="F1229" s="27" t="str">
        <f>IFERROR(__xludf.DUMMYFUNCTION("""COMPUTED_VALUE"""),"BLACK")</f>
        <v>BLACK</v>
      </c>
      <c r="G1229" s="28" t="str">
        <f>IFERROR(__xludf.DUMMYFUNCTION("""COMPUTED_VALUE"""),"First Times a Charm Cider")</f>
        <v>First Times a Charm Cider</v>
      </c>
      <c r="H1229" s="27" t="str">
        <f>IFERROR(__xludf.DUMMYFUNCTION("""COMPUTED_VALUE"""),"")</f>
        <v/>
      </c>
    </row>
    <row r="1230">
      <c r="A1230" s="17"/>
      <c r="B1230" s="23"/>
      <c r="C1230" s="17">
        <f>IFERROR(__xludf.DUMMYFUNCTION("""COMPUTED_VALUE"""),43541.7492476967)</f>
        <v>43541.74925</v>
      </c>
      <c r="D1230" s="23">
        <f>IFERROR(__xludf.DUMMYFUNCTION("""COMPUTED_VALUE"""),1.035)</f>
        <v>1.035</v>
      </c>
      <c r="E1230" s="24">
        <f>IFERROR(__xludf.DUMMYFUNCTION("""COMPUTED_VALUE"""),67.0)</f>
        <v>67</v>
      </c>
      <c r="F1230" s="27" t="str">
        <f>IFERROR(__xludf.DUMMYFUNCTION("""COMPUTED_VALUE"""),"BLACK")</f>
        <v>BLACK</v>
      </c>
      <c r="G1230" s="28" t="str">
        <f>IFERROR(__xludf.DUMMYFUNCTION("""COMPUTED_VALUE"""),"First Times a Charm Cider")</f>
        <v>First Times a Charm Cider</v>
      </c>
      <c r="H1230" s="27" t="str">
        <f>IFERROR(__xludf.DUMMYFUNCTION("""COMPUTED_VALUE"""),"")</f>
        <v/>
      </c>
    </row>
    <row r="1231">
      <c r="A1231" s="17"/>
      <c r="B1231" s="23"/>
      <c r="C1231" s="17">
        <f>IFERROR(__xludf.DUMMYFUNCTION("""COMPUTED_VALUE"""),43541.738825625)</f>
        <v>43541.73883</v>
      </c>
      <c r="D1231" s="23">
        <f>IFERROR(__xludf.DUMMYFUNCTION("""COMPUTED_VALUE"""),1.035)</f>
        <v>1.035</v>
      </c>
      <c r="E1231" s="24">
        <f>IFERROR(__xludf.DUMMYFUNCTION("""COMPUTED_VALUE"""),67.0)</f>
        <v>67</v>
      </c>
      <c r="F1231" s="27" t="str">
        <f>IFERROR(__xludf.DUMMYFUNCTION("""COMPUTED_VALUE"""),"BLACK")</f>
        <v>BLACK</v>
      </c>
      <c r="G1231" s="28" t="str">
        <f>IFERROR(__xludf.DUMMYFUNCTION("""COMPUTED_VALUE"""),"First Times a Charm Cider")</f>
        <v>First Times a Charm Cider</v>
      </c>
      <c r="H1231" s="27" t="str">
        <f>IFERROR(__xludf.DUMMYFUNCTION("""COMPUTED_VALUE"""),"")</f>
        <v/>
      </c>
    </row>
    <row r="1232">
      <c r="A1232" s="17"/>
      <c r="B1232" s="23"/>
      <c r="C1232" s="17">
        <f>IFERROR(__xludf.DUMMYFUNCTION("""COMPUTED_VALUE"""),43541.7284054745)</f>
        <v>43541.72841</v>
      </c>
      <c r="D1232" s="23">
        <f>IFERROR(__xludf.DUMMYFUNCTION("""COMPUTED_VALUE"""),1.035)</f>
        <v>1.035</v>
      </c>
      <c r="E1232" s="24">
        <f>IFERROR(__xludf.DUMMYFUNCTION("""COMPUTED_VALUE"""),67.0)</f>
        <v>67</v>
      </c>
      <c r="F1232" s="27" t="str">
        <f>IFERROR(__xludf.DUMMYFUNCTION("""COMPUTED_VALUE"""),"BLACK")</f>
        <v>BLACK</v>
      </c>
      <c r="G1232" s="28" t="str">
        <f>IFERROR(__xludf.DUMMYFUNCTION("""COMPUTED_VALUE"""),"First Times a Charm Cider")</f>
        <v>First Times a Charm Cider</v>
      </c>
      <c r="H1232" s="27" t="str">
        <f>IFERROR(__xludf.DUMMYFUNCTION("""COMPUTED_VALUE"""),"")</f>
        <v/>
      </c>
    </row>
    <row r="1233">
      <c r="A1233" s="17"/>
      <c r="B1233" s="23"/>
      <c r="C1233" s="17">
        <f>IFERROR(__xludf.DUMMYFUNCTION("""COMPUTED_VALUE"""),43541.7179718981)</f>
        <v>43541.71797</v>
      </c>
      <c r="D1233" s="23">
        <f>IFERROR(__xludf.DUMMYFUNCTION("""COMPUTED_VALUE"""),1.035)</f>
        <v>1.035</v>
      </c>
      <c r="E1233" s="24">
        <f>IFERROR(__xludf.DUMMYFUNCTION("""COMPUTED_VALUE"""),67.0)</f>
        <v>67</v>
      </c>
      <c r="F1233" s="27" t="str">
        <f>IFERROR(__xludf.DUMMYFUNCTION("""COMPUTED_VALUE"""),"BLACK")</f>
        <v>BLACK</v>
      </c>
      <c r="G1233" s="28" t="str">
        <f>IFERROR(__xludf.DUMMYFUNCTION("""COMPUTED_VALUE"""),"First Times a Charm Cider")</f>
        <v>First Times a Charm Cider</v>
      </c>
      <c r="H1233" s="27" t="str">
        <f>IFERROR(__xludf.DUMMYFUNCTION("""COMPUTED_VALUE"""),"")</f>
        <v/>
      </c>
    </row>
    <row r="1234">
      <c r="A1234" s="17"/>
      <c r="B1234" s="23"/>
      <c r="C1234" s="17">
        <f>IFERROR(__xludf.DUMMYFUNCTION("""COMPUTED_VALUE"""),43541.7075392592)</f>
        <v>43541.70754</v>
      </c>
      <c r="D1234" s="23">
        <f>IFERROR(__xludf.DUMMYFUNCTION("""COMPUTED_VALUE"""),1.035)</f>
        <v>1.035</v>
      </c>
      <c r="E1234" s="24">
        <f>IFERROR(__xludf.DUMMYFUNCTION("""COMPUTED_VALUE"""),67.0)</f>
        <v>67</v>
      </c>
      <c r="F1234" s="27" t="str">
        <f>IFERROR(__xludf.DUMMYFUNCTION("""COMPUTED_VALUE"""),"BLACK")</f>
        <v>BLACK</v>
      </c>
      <c r="G1234" s="28" t="str">
        <f>IFERROR(__xludf.DUMMYFUNCTION("""COMPUTED_VALUE"""),"First Times a Charm Cider")</f>
        <v>First Times a Charm Cider</v>
      </c>
      <c r="H1234" s="27" t="str">
        <f>IFERROR(__xludf.DUMMYFUNCTION("""COMPUTED_VALUE"""),"")</f>
        <v/>
      </c>
    </row>
    <row r="1235">
      <c r="A1235" s="17"/>
      <c r="B1235" s="23"/>
      <c r="C1235" s="17">
        <f>IFERROR(__xludf.DUMMYFUNCTION("""COMPUTED_VALUE"""),43541.6971059259)</f>
        <v>43541.69711</v>
      </c>
      <c r="D1235" s="23">
        <f>IFERROR(__xludf.DUMMYFUNCTION("""COMPUTED_VALUE"""),1.035)</f>
        <v>1.035</v>
      </c>
      <c r="E1235" s="24">
        <f>IFERROR(__xludf.DUMMYFUNCTION("""COMPUTED_VALUE"""),67.0)</f>
        <v>67</v>
      </c>
      <c r="F1235" s="27" t="str">
        <f>IFERROR(__xludf.DUMMYFUNCTION("""COMPUTED_VALUE"""),"BLACK")</f>
        <v>BLACK</v>
      </c>
      <c r="G1235" s="28" t="str">
        <f>IFERROR(__xludf.DUMMYFUNCTION("""COMPUTED_VALUE"""),"First Times a Charm Cider")</f>
        <v>First Times a Charm Cider</v>
      </c>
      <c r="H1235" s="27" t="str">
        <f>IFERROR(__xludf.DUMMYFUNCTION("""COMPUTED_VALUE"""),"")</f>
        <v/>
      </c>
    </row>
    <row r="1236">
      <c r="A1236" s="17"/>
      <c r="B1236" s="23"/>
      <c r="C1236" s="17">
        <f>IFERROR(__xludf.DUMMYFUNCTION("""COMPUTED_VALUE"""),43541.6866733217)</f>
        <v>43541.68667</v>
      </c>
      <c r="D1236" s="23">
        <f>IFERROR(__xludf.DUMMYFUNCTION("""COMPUTED_VALUE"""),1.035)</f>
        <v>1.035</v>
      </c>
      <c r="E1236" s="24">
        <f>IFERROR(__xludf.DUMMYFUNCTION("""COMPUTED_VALUE"""),67.0)</f>
        <v>67</v>
      </c>
      <c r="F1236" s="27" t="str">
        <f>IFERROR(__xludf.DUMMYFUNCTION("""COMPUTED_VALUE"""),"BLACK")</f>
        <v>BLACK</v>
      </c>
      <c r="G1236" s="28" t="str">
        <f>IFERROR(__xludf.DUMMYFUNCTION("""COMPUTED_VALUE"""),"First Times a Charm Cider")</f>
        <v>First Times a Charm Cider</v>
      </c>
      <c r="H1236" s="27" t="str">
        <f>IFERROR(__xludf.DUMMYFUNCTION("""COMPUTED_VALUE"""),"")</f>
        <v/>
      </c>
    </row>
    <row r="1237">
      <c r="A1237" s="17"/>
      <c r="B1237" s="23"/>
      <c r="C1237" s="17">
        <f>IFERROR(__xludf.DUMMYFUNCTION("""COMPUTED_VALUE"""),43541.6762527777)</f>
        <v>43541.67625</v>
      </c>
      <c r="D1237" s="23">
        <f>IFERROR(__xludf.DUMMYFUNCTION("""COMPUTED_VALUE"""),1.035)</f>
        <v>1.035</v>
      </c>
      <c r="E1237" s="24">
        <f>IFERROR(__xludf.DUMMYFUNCTION("""COMPUTED_VALUE"""),67.0)</f>
        <v>67</v>
      </c>
      <c r="F1237" s="27" t="str">
        <f>IFERROR(__xludf.DUMMYFUNCTION("""COMPUTED_VALUE"""),"BLACK")</f>
        <v>BLACK</v>
      </c>
      <c r="G1237" s="28" t="str">
        <f>IFERROR(__xludf.DUMMYFUNCTION("""COMPUTED_VALUE"""),"First Times a Charm Cider")</f>
        <v>First Times a Charm Cider</v>
      </c>
      <c r="H1237" s="27" t="str">
        <f>IFERROR(__xludf.DUMMYFUNCTION("""COMPUTED_VALUE"""),"")</f>
        <v/>
      </c>
    </row>
    <row r="1238">
      <c r="A1238" s="17"/>
      <c r="B1238" s="23"/>
      <c r="C1238" s="17">
        <f>IFERROR(__xludf.DUMMYFUNCTION("""COMPUTED_VALUE"""),43541.6658326504)</f>
        <v>43541.66583</v>
      </c>
      <c r="D1238" s="23">
        <f>IFERROR(__xludf.DUMMYFUNCTION("""COMPUTED_VALUE"""),1.035)</f>
        <v>1.035</v>
      </c>
      <c r="E1238" s="24">
        <f>IFERROR(__xludf.DUMMYFUNCTION("""COMPUTED_VALUE"""),66.0)</f>
        <v>66</v>
      </c>
      <c r="F1238" s="27" t="str">
        <f>IFERROR(__xludf.DUMMYFUNCTION("""COMPUTED_VALUE"""),"BLACK")</f>
        <v>BLACK</v>
      </c>
      <c r="G1238" s="28" t="str">
        <f>IFERROR(__xludf.DUMMYFUNCTION("""COMPUTED_VALUE"""),"First Times a Charm Cider")</f>
        <v>First Times a Charm Cider</v>
      </c>
      <c r="H1238" s="27" t="str">
        <f>IFERROR(__xludf.DUMMYFUNCTION("""COMPUTED_VALUE"""),"")</f>
        <v/>
      </c>
    </row>
    <row r="1239">
      <c r="A1239" s="17"/>
      <c r="B1239" s="23"/>
      <c r="C1239" s="17">
        <f>IFERROR(__xludf.DUMMYFUNCTION("""COMPUTED_VALUE"""),43541.6553898148)</f>
        <v>43541.65539</v>
      </c>
      <c r="D1239" s="23">
        <f>IFERROR(__xludf.DUMMYFUNCTION("""COMPUTED_VALUE"""),1.035)</f>
        <v>1.035</v>
      </c>
      <c r="E1239" s="24">
        <f>IFERROR(__xludf.DUMMYFUNCTION("""COMPUTED_VALUE"""),67.0)</f>
        <v>67</v>
      </c>
      <c r="F1239" s="27" t="str">
        <f>IFERROR(__xludf.DUMMYFUNCTION("""COMPUTED_VALUE"""),"BLACK")</f>
        <v>BLACK</v>
      </c>
      <c r="G1239" s="28" t="str">
        <f>IFERROR(__xludf.DUMMYFUNCTION("""COMPUTED_VALUE"""),"First Times a Charm Cider")</f>
        <v>First Times a Charm Cider</v>
      </c>
      <c r="H1239" s="27" t="str">
        <f>IFERROR(__xludf.DUMMYFUNCTION("""COMPUTED_VALUE"""),"")</f>
        <v/>
      </c>
    </row>
    <row r="1240">
      <c r="A1240" s="17"/>
      <c r="B1240" s="23"/>
      <c r="C1240" s="17">
        <f>IFERROR(__xludf.DUMMYFUNCTION("""COMPUTED_VALUE"""),43541.6449443402)</f>
        <v>43541.64494</v>
      </c>
      <c r="D1240" s="23">
        <f>IFERROR(__xludf.DUMMYFUNCTION("""COMPUTED_VALUE"""),1.035)</f>
        <v>1.035</v>
      </c>
      <c r="E1240" s="24">
        <f>IFERROR(__xludf.DUMMYFUNCTION("""COMPUTED_VALUE"""),66.0)</f>
        <v>66</v>
      </c>
      <c r="F1240" s="27" t="str">
        <f>IFERROR(__xludf.DUMMYFUNCTION("""COMPUTED_VALUE"""),"BLACK")</f>
        <v>BLACK</v>
      </c>
      <c r="G1240" s="28" t="str">
        <f>IFERROR(__xludf.DUMMYFUNCTION("""COMPUTED_VALUE"""),"First Times a Charm Cider")</f>
        <v>First Times a Charm Cider</v>
      </c>
      <c r="H1240" s="27" t="str">
        <f>IFERROR(__xludf.DUMMYFUNCTION("""COMPUTED_VALUE"""),"")</f>
        <v/>
      </c>
    </row>
    <row r="1241">
      <c r="A1241" s="17"/>
      <c r="B1241" s="23"/>
      <c r="C1241" s="17">
        <f>IFERROR(__xludf.DUMMYFUNCTION("""COMPUTED_VALUE"""),43541.6345106597)</f>
        <v>43541.63451</v>
      </c>
      <c r="D1241" s="23">
        <f>IFERROR(__xludf.DUMMYFUNCTION("""COMPUTED_VALUE"""),1.035)</f>
        <v>1.035</v>
      </c>
      <c r="E1241" s="24">
        <f>IFERROR(__xludf.DUMMYFUNCTION("""COMPUTED_VALUE"""),66.0)</f>
        <v>66</v>
      </c>
      <c r="F1241" s="27" t="str">
        <f>IFERROR(__xludf.DUMMYFUNCTION("""COMPUTED_VALUE"""),"BLACK")</f>
        <v>BLACK</v>
      </c>
      <c r="G1241" s="28" t="str">
        <f>IFERROR(__xludf.DUMMYFUNCTION("""COMPUTED_VALUE"""),"First Times a Charm Cider")</f>
        <v>First Times a Charm Cider</v>
      </c>
      <c r="H1241" s="27" t="str">
        <f>IFERROR(__xludf.DUMMYFUNCTION("""COMPUTED_VALUE"""),"")</f>
        <v/>
      </c>
    </row>
    <row r="1242">
      <c r="A1242" s="17"/>
      <c r="B1242" s="23"/>
      <c r="C1242" s="17">
        <f>IFERROR(__xludf.DUMMYFUNCTION("""COMPUTED_VALUE"""),43541.6240905787)</f>
        <v>43541.62409</v>
      </c>
      <c r="D1242" s="23">
        <f>IFERROR(__xludf.DUMMYFUNCTION("""COMPUTED_VALUE"""),1.035)</f>
        <v>1.035</v>
      </c>
      <c r="E1242" s="24">
        <f>IFERROR(__xludf.DUMMYFUNCTION("""COMPUTED_VALUE"""),67.0)</f>
        <v>67</v>
      </c>
      <c r="F1242" s="27" t="str">
        <f>IFERROR(__xludf.DUMMYFUNCTION("""COMPUTED_VALUE"""),"BLACK")</f>
        <v>BLACK</v>
      </c>
      <c r="G1242" s="28" t="str">
        <f>IFERROR(__xludf.DUMMYFUNCTION("""COMPUTED_VALUE"""),"First Times a Charm Cider")</f>
        <v>First Times a Charm Cider</v>
      </c>
      <c r="H1242" s="27" t="str">
        <f>IFERROR(__xludf.DUMMYFUNCTION("""COMPUTED_VALUE"""),"")</f>
        <v/>
      </c>
    </row>
    <row r="1243">
      <c r="A1243" s="17"/>
      <c r="B1243" s="23"/>
      <c r="C1243" s="17">
        <f>IFERROR(__xludf.DUMMYFUNCTION("""COMPUTED_VALUE"""),43541.61361)</f>
        <v>43541.61361</v>
      </c>
      <c r="D1243" s="23">
        <f>IFERROR(__xludf.DUMMYFUNCTION("""COMPUTED_VALUE"""),1.035)</f>
        <v>1.035</v>
      </c>
      <c r="E1243" s="24">
        <f>IFERROR(__xludf.DUMMYFUNCTION("""COMPUTED_VALUE"""),66.0)</f>
        <v>66</v>
      </c>
      <c r="F1243" s="27" t="str">
        <f>IFERROR(__xludf.DUMMYFUNCTION("""COMPUTED_VALUE"""),"BLACK")</f>
        <v>BLACK</v>
      </c>
      <c r="G1243" s="28" t="str">
        <f>IFERROR(__xludf.DUMMYFUNCTION("""COMPUTED_VALUE"""),"First Times a Charm Cider")</f>
        <v>First Times a Charm Cider</v>
      </c>
      <c r="H1243" s="27" t="str">
        <f>IFERROR(__xludf.DUMMYFUNCTION("""COMPUTED_VALUE"""),"")</f>
        <v/>
      </c>
    </row>
    <row r="1244">
      <c r="A1244" s="17"/>
      <c r="B1244" s="23"/>
      <c r="C1244" s="17">
        <f>IFERROR(__xludf.DUMMYFUNCTION("""COMPUTED_VALUE"""),43541.6031766088)</f>
        <v>43541.60318</v>
      </c>
      <c r="D1244" s="23">
        <f>IFERROR(__xludf.DUMMYFUNCTION("""COMPUTED_VALUE"""),1.035)</f>
        <v>1.035</v>
      </c>
      <c r="E1244" s="24">
        <f>IFERROR(__xludf.DUMMYFUNCTION("""COMPUTED_VALUE"""),66.0)</f>
        <v>66</v>
      </c>
      <c r="F1244" s="27" t="str">
        <f>IFERROR(__xludf.DUMMYFUNCTION("""COMPUTED_VALUE"""),"BLACK")</f>
        <v>BLACK</v>
      </c>
      <c r="G1244" s="28" t="str">
        <f>IFERROR(__xludf.DUMMYFUNCTION("""COMPUTED_VALUE"""),"First Times a Charm Cider")</f>
        <v>First Times a Charm Cider</v>
      </c>
      <c r="H1244" s="27" t="str">
        <f>IFERROR(__xludf.DUMMYFUNCTION("""COMPUTED_VALUE"""),"")</f>
        <v/>
      </c>
    </row>
    <row r="1245">
      <c r="A1245" s="17"/>
      <c r="B1245" s="23"/>
      <c r="C1245" s="17">
        <f>IFERROR(__xludf.DUMMYFUNCTION("""COMPUTED_VALUE"""),43541.5927551041)</f>
        <v>43541.59276</v>
      </c>
      <c r="D1245" s="23">
        <f>IFERROR(__xludf.DUMMYFUNCTION("""COMPUTED_VALUE"""),1.035)</f>
        <v>1.035</v>
      </c>
      <c r="E1245" s="24">
        <f>IFERROR(__xludf.DUMMYFUNCTION("""COMPUTED_VALUE"""),66.0)</f>
        <v>66</v>
      </c>
      <c r="F1245" s="27" t="str">
        <f>IFERROR(__xludf.DUMMYFUNCTION("""COMPUTED_VALUE"""),"BLACK")</f>
        <v>BLACK</v>
      </c>
      <c r="G1245" s="28" t="str">
        <f>IFERROR(__xludf.DUMMYFUNCTION("""COMPUTED_VALUE"""),"First Times a Charm Cider")</f>
        <v>First Times a Charm Cider</v>
      </c>
      <c r="H1245" s="27" t="str">
        <f>IFERROR(__xludf.DUMMYFUNCTION("""COMPUTED_VALUE"""),"")</f>
        <v/>
      </c>
    </row>
    <row r="1246">
      <c r="A1246" s="17"/>
      <c r="B1246" s="23"/>
      <c r="C1246" s="17">
        <f>IFERROR(__xludf.DUMMYFUNCTION("""COMPUTED_VALUE"""),43541.5823108912)</f>
        <v>43541.58231</v>
      </c>
      <c r="D1246" s="23">
        <f>IFERROR(__xludf.DUMMYFUNCTION("""COMPUTED_VALUE"""),1.036)</f>
        <v>1.036</v>
      </c>
      <c r="E1246" s="24">
        <f>IFERROR(__xludf.DUMMYFUNCTION("""COMPUTED_VALUE"""),66.0)</f>
        <v>66</v>
      </c>
      <c r="F1246" s="27" t="str">
        <f>IFERROR(__xludf.DUMMYFUNCTION("""COMPUTED_VALUE"""),"BLACK")</f>
        <v>BLACK</v>
      </c>
      <c r="G1246" s="28" t="str">
        <f>IFERROR(__xludf.DUMMYFUNCTION("""COMPUTED_VALUE"""),"First Times a Charm Cider")</f>
        <v>First Times a Charm Cider</v>
      </c>
      <c r="H1246" s="27" t="str">
        <f>IFERROR(__xludf.DUMMYFUNCTION("""COMPUTED_VALUE"""),"")</f>
        <v/>
      </c>
    </row>
    <row r="1247">
      <c r="A1247" s="17"/>
      <c r="B1247" s="23"/>
      <c r="C1247" s="17">
        <f>IFERROR(__xludf.DUMMYFUNCTION("""COMPUTED_VALUE"""),43541.5718884722)</f>
        <v>43541.57189</v>
      </c>
      <c r="D1247" s="23">
        <f>IFERROR(__xludf.DUMMYFUNCTION("""COMPUTED_VALUE"""),1.035)</f>
        <v>1.035</v>
      </c>
      <c r="E1247" s="24">
        <f>IFERROR(__xludf.DUMMYFUNCTION("""COMPUTED_VALUE"""),66.0)</f>
        <v>66</v>
      </c>
      <c r="F1247" s="27" t="str">
        <f>IFERROR(__xludf.DUMMYFUNCTION("""COMPUTED_VALUE"""),"BLACK")</f>
        <v>BLACK</v>
      </c>
      <c r="G1247" s="28" t="str">
        <f>IFERROR(__xludf.DUMMYFUNCTION("""COMPUTED_VALUE"""),"First Times a Charm Cider")</f>
        <v>First Times a Charm Cider</v>
      </c>
      <c r="H1247" s="27" t="str">
        <f>IFERROR(__xludf.DUMMYFUNCTION("""COMPUTED_VALUE"""),"")</f>
        <v/>
      </c>
    </row>
    <row r="1248">
      <c r="A1248" s="17"/>
      <c r="B1248" s="23"/>
      <c r="C1248" s="17">
        <f>IFERROR(__xludf.DUMMYFUNCTION("""COMPUTED_VALUE"""),43541.5614657986)</f>
        <v>43541.56147</v>
      </c>
      <c r="D1248" s="23">
        <f>IFERROR(__xludf.DUMMYFUNCTION("""COMPUTED_VALUE"""),1.035)</f>
        <v>1.035</v>
      </c>
      <c r="E1248" s="24">
        <f>IFERROR(__xludf.DUMMYFUNCTION("""COMPUTED_VALUE"""),66.0)</f>
        <v>66</v>
      </c>
      <c r="F1248" s="27" t="str">
        <f>IFERROR(__xludf.DUMMYFUNCTION("""COMPUTED_VALUE"""),"BLACK")</f>
        <v>BLACK</v>
      </c>
      <c r="G1248" s="28" t="str">
        <f>IFERROR(__xludf.DUMMYFUNCTION("""COMPUTED_VALUE"""),"First Times a Charm Cider")</f>
        <v>First Times a Charm Cider</v>
      </c>
      <c r="H1248" s="27" t="str">
        <f>IFERROR(__xludf.DUMMYFUNCTION("""COMPUTED_VALUE"""),"")</f>
        <v/>
      </c>
    </row>
    <row r="1249">
      <c r="A1249" s="17"/>
      <c r="B1249" s="23"/>
      <c r="C1249" s="17">
        <f>IFERROR(__xludf.DUMMYFUNCTION("""COMPUTED_VALUE"""),43541.5510445949)</f>
        <v>43541.55104</v>
      </c>
      <c r="D1249" s="23">
        <f>IFERROR(__xludf.DUMMYFUNCTION("""COMPUTED_VALUE"""),1.035)</f>
        <v>1.035</v>
      </c>
      <c r="E1249" s="24">
        <f>IFERROR(__xludf.DUMMYFUNCTION("""COMPUTED_VALUE"""),66.0)</f>
        <v>66</v>
      </c>
      <c r="F1249" s="27" t="str">
        <f>IFERROR(__xludf.DUMMYFUNCTION("""COMPUTED_VALUE"""),"BLACK")</f>
        <v>BLACK</v>
      </c>
      <c r="G1249" s="28" t="str">
        <f>IFERROR(__xludf.DUMMYFUNCTION("""COMPUTED_VALUE"""),"First Times a Charm Cider")</f>
        <v>First Times a Charm Cider</v>
      </c>
      <c r="H1249" s="27" t="str">
        <f>IFERROR(__xludf.DUMMYFUNCTION("""COMPUTED_VALUE"""),"")</f>
        <v/>
      </c>
    </row>
    <row r="1250">
      <c r="A1250" s="17"/>
      <c r="B1250" s="23"/>
      <c r="C1250" s="17">
        <f>IFERROR(__xludf.DUMMYFUNCTION("""COMPUTED_VALUE"""),43541.5406231365)</f>
        <v>43541.54062</v>
      </c>
      <c r="D1250" s="23">
        <f>IFERROR(__xludf.DUMMYFUNCTION("""COMPUTED_VALUE"""),1.035)</f>
        <v>1.035</v>
      </c>
      <c r="E1250" s="24">
        <f>IFERROR(__xludf.DUMMYFUNCTION("""COMPUTED_VALUE"""),66.0)</f>
        <v>66</v>
      </c>
      <c r="F1250" s="27" t="str">
        <f>IFERROR(__xludf.DUMMYFUNCTION("""COMPUTED_VALUE"""),"BLACK")</f>
        <v>BLACK</v>
      </c>
      <c r="G1250" s="28" t="str">
        <f>IFERROR(__xludf.DUMMYFUNCTION("""COMPUTED_VALUE"""),"First Times a Charm Cider")</f>
        <v>First Times a Charm Cider</v>
      </c>
      <c r="H1250" s="27" t="str">
        <f>IFERROR(__xludf.DUMMYFUNCTION("""COMPUTED_VALUE"""),"")</f>
        <v/>
      </c>
    </row>
    <row r="1251">
      <c r="A1251" s="17"/>
      <c r="B1251" s="23"/>
      <c r="C1251" s="17">
        <f>IFERROR(__xludf.DUMMYFUNCTION("""COMPUTED_VALUE"""),43541.5302028472)</f>
        <v>43541.5302</v>
      </c>
      <c r="D1251" s="23">
        <f>IFERROR(__xludf.DUMMYFUNCTION("""COMPUTED_VALUE"""),1.035)</f>
        <v>1.035</v>
      </c>
      <c r="E1251" s="24">
        <f>IFERROR(__xludf.DUMMYFUNCTION("""COMPUTED_VALUE"""),66.0)</f>
        <v>66</v>
      </c>
      <c r="F1251" s="27" t="str">
        <f>IFERROR(__xludf.DUMMYFUNCTION("""COMPUTED_VALUE"""),"BLACK")</f>
        <v>BLACK</v>
      </c>
      <c r="G1251" s="28" t="str">
        <f>IFERROR(__xludf.DUMMYFUNCTION("""COMPUTED_VALUE"""),"First Times a Charm Cider")</f>
        <v>First Times a Charm Cider</v>
      </c>
      <c r="H1251" s="27" t="str">
        <f>IFERROR(__xludf.DUMMYFUNCTION("""COMPUTED_VALUE"""),"")</f>
        <v/>
      </c>
    </row>
    <row r="1252">
      <c r="A1252" s="17"/>
      <c r="B1252" s="23"/>
      <c r="C1252" s="17">
        <f>IFERROR(__xludf.DUMMYFUNCTION("""COMPUTED_VALUE"""),43541.5197801388)</f>
        <v>43541.51978</v>
      </c>
      <c r="D1252" s="23">
        <f>IFERROR(__xludf.DUMMYFUNCTION("""COMPUTED_VALUE"""),1.035)</f>
        <v>1.035</v>
      </c>
      <c r="E1252" s="24">
        <f>IFERROR(__xludf.DUMMYFUNCTION("""COMPUTED_VALUE"""),66.0)</f>
        <v>66</v>
      </c>
      <c r="F1252" s="27" t="str">
        <f>IFERROR(__xludf.DUMMYFUNCTION("""COMPUTED_VALUE"""),"BLACK")</f>
        <v>BLACK</v>
      </c>
      <c r="G1252" s="28" t="str">
        <f>IFERROR(__xludf.DUMMYFUNCTION("""COMPUTED_VALUE"""),"First Times a Charm Cider")</f>
        <v>First Times a Charm Cider</v>
      </c>
      <c r="H1252" s="27" t="str">
        <f>IFERROR(__xludf.DUMMYFUNCTION("""COMPUTED_VALUE"""),"")</f>
        <v/>
      </c>
    </row>
    <row r="1253">
      <c r="A1253" s="17"/>
      <c r="B1253" s="23"/>
      <c r="C1253" s="17">
        <f>IFERROR(__xludf.DUMMYFUNCTION("""COMPUTED_VALUE"""),43541.50934853)</f>
        <v>43541.50935</v>
      </c>
      <c r="D1253" s="23">
        <f>IFERROR(__xludf.DUMMYFUNCTION("""COMPUTED_VALUE"""),1.035)</f>
        <v>1.035</v>
      </c>
      <c r="E1253" s="24">
        <f>IFERROR(__xludf.DUMMYFUNCTION("""COMPUTED_VALUE"""),66.0)</f>
        <v>66</v>
      </c>
      <c r="F1253" s="27" t="str">
        <f>IFERROR(__xludf.DUMMYFUNCTION("""COMPUTED_VALUE"""),"BLACK")</f>
        <v>BLACK</v>
      </c>
      <c r="G1253" s="28" t="str">
        <f>IFERROR(__xludf.DUMMYFUNCTION("""COMPUTED_VALUE"""),"First Times a Charm Cider")</f>
        <v>First Times a Charm Cider</v>
      </c>
      <c r="H1253" s="27" t="str">
        <f>IFERROR(__xludf.DUMMYFUNCTION("""COMPUTED_VALUE"""),"")</f>
        <v/>
      </c>
    </row>
    <row r="1254">
      <c r="A1254" s="17"/>
      <c r="B1254" s="23"/>
      <c r="C1254" s="17">
        <f>IFERROR(__xludf.DUMMYFUNCTION("""COMPUTED_VALUE"""),43541.4989266087)</f>
        <v>43541.49893</v>
      </c>
      <c r="D1254" s="23">
        <f>IFERROR(__xludf.DUMMYFUNCTION("""COMPUTED_VALUE"""),1.035)</f>
        <v>1.035</v>
      </c>
      <c r="E1254" s="24">
        <f>IFERROR(__xludf.DUMMYFUNCTION("""COMPUTED_VALUE"""),66.0)</f>
        <v>66</v>
      </c>
      <c r="F1254" s="27" t="str">
        <f>IFERROR(__xludf.DUMMYFUNCTION("""COMPUTED_VALUE"""),"BLACK")</f>
        <v>BLACK</v>
      </c>
      <c r="G1254" s="28" t="str">
        <f>IFERROR(__xludf.DUMMYFUNCTION("""COMPUTED_VALUE"""),"First Times a Charm Cider")</f>
        <v>First Times a Charm Cider</v>
      </c>
      <c r="H1254" s="27" t="str">
        <f>IFERROR(__xludf.DUMMYFUNCTION("""COMPUTED_VALUE"""),"")</f>
        <v/>
      </c>
    </row>
    <row r="1255">
      <c r="A1255" s="17"/>
      <c r="B1255" s="23"/>
      <c r="C1255" s="17">
        <f>IFERROR(__xludf.DUMMYFUNCTION("""COMPUTED_VALUE"""),43541.4885060995)</f>
        <v>43541.48851</v>
      </c>
      <c r="D1255" s="23">
        <f>IFERROR(__xludf.DUMMYFUNCTION("""COMPUTED_VALUE"""),1.035)</f>
        <v>1.035</v>
      </c>
      <c r="E1255" s="24">
        <f>IFERROR(__xludf.DUMMYFUNCTION("""COMPUTED_VALUE"""),66.0)</f>
        <v>66</v>
      </c>
      <c r="F1255" s="27" t="str">
        <f>IFERROR(__xludf.DUMMYFUNCTION("""COMPUTED_VALUE"""),"BLACK")</f>
        <v>BLACK</v>
      </c>
      <c r="G1255" s="28" t="str">
        <f>IFERROR(__xludf.DUMMYFUNCTION("""COMPUTED_VALUE"""),"First Times a Charm Cider")</f>
        <v>First Times a Charm Cider</v>
      </c>
      <c r="H1255" s="27" t="str">
        <f>IFERROR(__xludf.DUMMYFUNCTION("""COMPUTED_VALUE"""),"")</f>
        <v/>
      </c>
    </row>
    <row r="1256">
      <c r="A1256" s="17"/>
      <c r="B1256" s="23"/>
      <c r="C1256" s="17">
        <f>IFERROR(__xludf.DUMMYFUNCTION("""COMPUTED_VALUE"""),43541.4780720254)</f>
        <v>43541.47807</v>
      </c>
      <c r="D1256" s="23">
        <f>IFERROR(__xludf.DUMMYFUNCTION("""COMPUTED_VALUE"""),1.036)</f>
        <v>1.036</v>
      </c>
      <c r="E1256" s="24">
        <f>IFERROR(__xludf.DUMMYFUNCTION("""COMPUTED_VALUE"""),66.0)</f>
        <v>66</v>
      </c>
      <c r="F1256" s="27" t="str">
        <f>IFERROR(__xludf.DUMMYFUNCTION("""COMPUTED_VALUE"""),"BLACK")</f>
        <v>BLACK</v>
      </c>
      <c r="G1256" s="28" t="str">
        <f>IFERROR(__xludf.DUMMYFUNCTION("""COMPUTED_VALUE"""),"First Times a Charm Cider")</f>
        <v>First Times a Charm Cider</v>
      </c>
      <c r="H1256" s="27" t="str">
        <f>IFERROR(__xludf.DUMMYFUNCTION("""COMPUTED_VALUE"""),"")</f>
        <v/>
      </c>
    </row>
    <row r="1257">
      <c r="A1257" s="17"/>
      <c r="B1257" s="23"/>
      <c r="C1257" s="17">
        <f>IFERROR(__xludf.DUMMYFUNCTION("""COMPUTED_VALUE"""),43541.4676499305)</f>
        <v>43541.46765</v>
      </c>
      <c r="D1257" s="23">
        <f>IFERROR(__xludf.DUMMYFUNCTION("""COMPUTED_VALUE"""),1.036)</f>
        <v>1.036</v>
      </c>
      <c r="E1257" s="24">
        <f>IFERROR(__xludf.DUMMYFUNCTION("""COMPUTED_VALUE"""),66.0)</f>
        <v>66</v>
      </c>
      <c r="F1257" s="27" t="str">
        <f>IFERROR(__xludf.DUMMYFUNCTION("""COMPUTED_VALUE"""),"BLACK")</f>
        <v>BLACK</v>
      </c>
      <c r="G1257" s="28" t="str">
        <f>IFERROR(__xludf.DUMMYFUNCTION("""COMPUTED_VALUE"""),"First Times a Charm Cider")</f>
        <v>First Times a Charm Cider</v>
      </c>
      <c r="H1257" s="27" t="str">
        <f>IFERROR(__xludf.DUMMYFUNCTION("""COMPUTED_VALUE"""),"")</f>
        <v/>
      </c>
    </row>
    <row r="1258">
      <c r="A1258" s="17"/>
      <c r="B1258" s="23"/>
      <c r="C1258" s="17">
        <f>IFERROR(__xludf.DUMMYFUNCTION("""COMPUTED_VALUE"""),43541.457229618)</f>
        <v>43541.45723</v>
      </c>
      <c r="D1258" s="23">
        <f>IFERROR(__xludf.DUMMYFUNCTION("""COMPUTED_VALUE"""),1.036)</f>
        <v>1.036</v>
      </c>
      <c r="E1258" s="24">
        <f>IFERROR(__xludf.DUMMYFUNCTION("""COMPUTED_VALUE"""),66.0)</f>
        <v>66</v>
      </c>
      <c r="F1258" s="27" t="str">
        <f>IFERROR(__xludf.DUMMYFUNCTION("""COMPUTED_VALUE"""),"BLACK")</f>
        <v>BLACK</v>
      </c>
      <c r="G1258" s="28" t="str">
        <f>IFERROR(__xludf.DUMMYFUNCTION("""COMPUTED_VALUE"""),"First Times a Charm Cider")</f>
        <v>First Times a Charm Cider</v>
      </c>
      <c r="H1258" s="27" t="str">
        <f>IFERROR(__xludf.DUMMYFUNCTION("""COMPUTED_VALUE"""),"")</f>
        <v/>
      </c>
    </row>
    <row r="1259">
      <c r="A1259" s="17"/>
      <c r="B1259" s="23"/>
      <c r="C1259" s="17">
        <f>IFERROR(__xludf.DUMMYFUNCTION("""COMPUTED_VALUE"""),43541.4468081365)</f>
        <v>43541.44681</v>
      </c>
      <c r="D1259" s="23">
        <f>IFERROR(__xludf.DUMMYFUNCTION("""COMPUTED_VALUE"""),1.035)</f>
        <v>1.035</v>
      </c>
      <c r="E1259" s="24">
        <f>IFERROR(__xludf.DUMMYFUNCTION("""COMPUTED_VALUE"""),66.0)</f>
        <v>66</v>
      </c>
      <c r="F1259" s="27" t="str">
        <f>IFERROR(__xludf.DUMMYFUNCTION("""COMPUTED_VALUE"""),"BLACK")</f>
        <v>BLACK</v>
      </c>
      <c r="G1259" s="28" t="str">
        <f>IFERROR(__xludf.DUMMYFUNCTION("""COMPUTED_VALUE"""),"First Times a Charm Cider")</f>
        <v>First Times a Charm Cider</v>
      </c>
      <c r="H1259" s="27" t="str">
        <f>IFERROR(__xludf.DUMMYFUNCTION("""COMPUTED_VALUE"""),"")</f>
        <v/>
      </c>
    </row>
    <row r="1260">
      <c r="A1260" s="17"/>
      <c r="B1260" s="23"/>
      <c r="C1260" s="17">
        <f>IFERROR(__xludf.DUMMYFUNCTION("""COMPUTED_VALUE"""),43541.4363865046)</f>
        <v>43541.43639</v>
      </c>
      <c r="D1260" s="23">
        <f>IFERROR(__xludf.DUMMYFUNCTION("""COMPUTED_VALUE"""),1.036)</f>
        <v>1.036</v>
      </c>
      <c r="E1260" s="24">
        <f>IFERROR(__xludf.DUMMYFUNCTION("""COMPUTED_VALUE"""),66.0)</f>
        <v>66</v>
      </c>
      <c r="F1260" s="27" t="str">
        <f>IFERROR(__xludf.DUMMYFUNCTION("""COMPUTED_VALUE"""),"BLACK")</f>
        <v>BLACK</v>
      </c>
      <c r="G1260" s="28" t="str">
        <f>IFERROR(__xludf.DUMMYFUNCTION("""COMPUTED_VALUE"""),"First Times a Charm Cider")</f>
        <v>First Times a Charm Cider</v>
      </c>
      <c r="H1260" s="27" t="str">
        <f>IFERROR(__xludf.DUMMYFUNCTION("""COMPUTED_VALUE"""),"")</f>
        <v/>
      </c>
    </row>
    <row r="1261">
      <c r="A1261" s="17"/>
      <c r="B1261" s="23"/>
      <c r="C1261" s="17">
        <f>IFERROR(__xludf.DUMMYFUNCTION("""COMPUTED_VALUE"""),43541.4259533912)</f>
        <v>43541.42595</v>
      </c>
      <c r="D1261" s="23">
        <f>IFERROR(__xludf.DUMMYFUNCTION("""COMPUTED_VALUE"""),1.036)</f>
        <v>1.036</v>
      </c>
      <c r="E1261" s="24">
        <f>IFERROR(__xludf.DUMMYFUNCTION("""COMPUTED_VALUE"""),66.0)</f>
        <v>66</v>
      </c>
      <c r="F1261" s="27" t="str">
        <f>IFERROR(__xludf.DUMMYFUNCTION("""COMPUTED_VALUE"""),"BLACK")</f>
        <v>BLACK</v>
      </c>
      <c r="G1261" s="28" t="str">
        <f>IFERROR(__xludf.DUMMYFUNCTION("""COMPUTED_VALUE"""),"First Times a Charm Cider")</f>
        <v>First Times a Charm Cider</v>
      </c>
      <c r="H1261" s="27" t="str">
        <f>IFERROR(__xludf.DUMMYFUNCTION("""COMPUTED_VALUE"""),"")</f>
        <v/>
      </c>
    </row>
    <row r="1262">
      <c r="A1262" s="17"/>
      <c r="B1262" s="23"/>
      <c r="C1262" s="17">
        <f>IFERROR(__xludf.DUMMYFUNCTION("""COMPUTED_VALUE"""),43541.4155319675)</f>
        <v>43541.41553</v>
      </c>
      <c r="D1262" s="23">
        <f>IFERROR(__xludf.DUMMYFUNCTION("""COMPUTED_VALUE"""),1.035)</f>
        <v>1.035</v>
      </c>
      <c r="E1262" s="24">
        <f>IFERROR(__xludf.DUMMYFUNCTION("""COMPUTED_VALUE"""),66.0)</f>
        <v>66</v>
      </c>
      <c r="F1262" s="27" t="str">
        <f>IFERROR(__xludf.DUMMYFUNCTION("""COMPUTED_VALUE"""),"BLACK")</f>
        <v>BLACK</v>
      </c>
      <c r="G1262" s="28" t="str">
        <f>IFERROR(__xludf.DUMMYFUNCTION("""COMPUTED_VALUE"""),"First Times a Charm Cider")</f>
        <v>First Times a Charm Cider</v>
      </c>
      <c r="H1262" s="27" t="str">
        <f>IFERROR(__xludf.DUMMYFUNCTION("""COMPUTED_VALUE"""),"")</f>
        <v/>
      </c>
    </row>
    <row r="1263">
      <c r="A1263" s="17"/>
      <c r="B1263" s="23"/>
      <c r="C1263" s="17">
        <f>IFERROR(__xludf.DUMMYFUNCTION("""COMPUTED_VALUE"""),43541.4051085185)</f>
        <v>43541.40511</v>
      </c>
      <c r="D1263" s="23">
        <f>IFERROR(__xludf.DUMMYFUNCTION("""COMPUTED_VALUE"""),1.036)</f>
        <v>1.036</v>
      </c>
      <c r="E1263" s="24">
        <f>IFERROR(__xludf.DUMMYFUNCTION("""COMPUTED_VALUE"""),66.0)</f>
        <v>66</v>
      </c>
      <c r="F1263" s="27" t="str">
        <f>IFERROR(__xludf.DUMMYFUNCTION("""COMPUTED_VALUE"""),"BLACK")</f>
        <v>BLACK</v>
      </c>
      <c r="G1263" s="28" t="str">
        <f>IFERROR(__xludf.DUMMYFUNCTION("""COMPUTED_VALUE"""),"First Times a Charm Cider")</f>
        <v>First Times a Charm Cider</v>
      </c>
      <c r="H1263" s="27" t="str">
        <f>IFERROR(__xludf.DUMMYFUNCTION("""COMPUTED_VALUE"""),"")</f>
        <v/>
      </c>
    </row>
    <row r="1264">
      <c r="A1264" s="17"/>
      <c r="B1264" s="23"/>
      <c r="C1264" s="17">
        <f>IFERROR(__xludf.DUMMYFUNCTION("""COMPUTED_VALUE"""),43541.3946896412)</f>
        <v>43541.39469</v>
      </c>
      <c r="D1264" s="23">
        <f>IFERROR(__xludf.DUMMYFUNCTION("""COMPUTED_VALUE"""),1.036)</f>
        <v>1.036</v>
      </c>
      <c r="E1264" s="24">
        <f>IFERROR(__xludf.DUMMYFUNCTION("""COMPUTED_VALUE"""),66.0)</f>
        <v>66</v>
      </c>
      <c r="F1264" s="27" t="str">
        <f>IFERROR(__xludf.DUMMYFUNCTION("""COMPUTED_VALUE"""),"BLACK")</f>
        <v>BLACK</v>
      </c>
      <c r="G1264" s="28" t="str">
        <f>IFERROR(__xludf.DUMMYFUNCTION("""COMPUTED_VALUE"""),"First Times a Charm Cider")</f>
        <v>First Times a Charm Cider</v>
      </c>
      <c r="H1264" s="27" t="str">
        <f>IFERROR(__xludf.DUMMYFUNCTION("""COMPUTED_VALUE"""),"")</f>
        <v/>
      </c>
    </row>
    <row r="1265">
      <c r="A1265" s="17"/>
      <c r="B1265" s="23"/>
      <c r="C1265" s="17">
        <f>IFERROR(__xludf.DUMMYFUNCTION("""COMPUTED_VALUE"""),43541.3842700578)</f>
        <v>43541.38427</v>
      </c>
      <c r="D1265" s="23">
        <f>IFERROR(__xludf.DUMMYFUNCTION("""COMPUTED_VALUE"""),1.036)</f>
        <v>1.036</v>
      </c>
      <c r="E1265" s="24">
        <f>IFERROR(__xludf.DUMMYFUNCTION("""COMPUTED_VALUE"""),66.0)</f>
        <v>66</v>
      </c>
      <c r="F1265" s="27" t="str">
        <f>IFERROR(__xludf.DUMMYFUNCTION("""COMPUTED_VALUE"""),"BLACK")</f>
        <v>BLACK</v>
      </c>
      <c r="G1265" s="28" t="str">
        <f>IFERROR(__xludf.DUMMYFUNCTION("""COMPUTED_VALUE"""),"First Times a Charm Cider")</f>
        <v>First Times a Charm Cider</v>
      </c>
      <c r="H1265" s="27" t="str">
        <f>IFERROR(__xludf.DUMMYFUNCTION("""COMPUTED_VALUE"""),"")</f>
        <v/>
      </c>
    </row>
    <row r="1266">
      <c r="A1266" s="17"/>
      <c r="B1266" s="23"/>
      <c r="C1266" s="17">
        <f>IFERROR(__xludf.DUMMYFUNCTION("""COMPUTED_VALUE"""),43541.3738491666)</f>
        <v>43541.37385</v>
      </c>
      <c r="D1266" s="23">
        <f>IFERROR(__xludf.DUMMYFUNCTION("""COMPUTED_VALUE"""),1.035)</f>
        <v>1.035</v>
      </c>
      <c r="E1266" s="24">
        <f>IFERROR(__xludf.DUMMYFUNCTION("""COMPUTED_VALUE"""),67.0)</f>
        <v>67</v>
      </c>
      <c r="F1266" s="27" t="str">
        <f>IFERROR(__xludf.DUMMYFUNCTION("""COMPUTED_VALUE"""),"BLACK")</f>
        <v>BLACK</v>
      </c>
      <c r="G1266" s="28" t="str">
        <f>IFERROR(__xludf.DUMMYFUNCTION("""COMPUTED_VALUE"""),"First Times a Charm Cider")</f>
        <v>First Times a Charm Cider</v>
      </c>
      <c r="H1266" s="27" t="str">
        <f>IFERROR(__xludf.DUMMYFUNCTION("""COMPUTED_VALUE"""),"")</f>
        <v/>
      </c>
    </row>
    <row r="1267">
      <c r="A1267" s="17"/>
      <c r="B1267" s="23"/>
      <c r="C1267" s="17">
        <f>IFERROR(__xludf.DUMMYFUNCTION("""COMPUTED_VALUE"""),43541.3634277546)</f>
        <v>43541.36343</v>
      </c>
      <c r="D1267" s="23">
        <f>IFERROR(__xludf.DUMMYFUNCTION("""COMPUTED_VALUE"""),1.035)</f>
        <v>1.035</v>
      </c>
      <c r="E1267" s="24">
        <f>IFERROR(__xludf.DUMMYFUNCTION("""COMPUTED_VALUE"""),67.0)</f>
        <v>67</v>
      </c>
      <c r="F1267" s="27" t="str">
        <f>IFERROR(__xludf.DUMMYFUNCTION("""COMPUTED_VALUE"""),"BLACK")</f>
        <v>BLACK</v>
      </c>
      <c r="G1267" s="28" t="str">
        <f>IFERROR(__xludf.DUMMYFUNCTION("""COMPUTED_VALUE"""),"First Times a Charm Cider")</f>
        <v>First Times a Charm Cider</v>
      </c>
      <c r="H1267" s="27" t="str">
        <f>IFERROR(__xludf.DUMMYFUNCTION("""COMPUTED_VALUE"""),"")</f>
        <v/>
      </c>
    </row>
    <row r="1268">
      <c r="A1268" s="17"/>
      <c r="B1268" s="23"/>
      <c r="C1268" s="17">
        <f>IFERROR(__xludf.DUMMYFUNCTION("""COMPUTED_VALUE"""),43541.3530075)</f>
        <v>43541.35301</v>
      </c>
      <c r="D1268" s="23">
        <f>IFERROR(__xludf.DUMMYFUNCTION("""COMPUTED_VALUE"""),1.036)</f>
        <v>1.036</v>
      </c>
      <c r="E1268" s="24">
        <f>IFERROR(__xludf.DUMMYFUNCTION("""COMPUTED_VALUE"""),67.0)</f>
        <v>67</v>
      </c>
      <c r="F1268" s="27" t="str">
        <f>IFERROR(__xludf.DUMMYFUNCTION("""COMPUTED_VALUE"""),"BLACK")</f>
        <v>BLACK</v>
      </c>
      <c r="G1268" s="28" t="str">
        <f>IFERROR(__xludf.DUMMYFUNCTION("""COMPUTED_VALUE"""),"First Times a Charm Cider")</f>
        <v>First Times a Charm Cider</v>
      </c>
      <c r="H1268" s="27" t="str">
        <f>IFERROR(__xludf.DUMMYFUNCTION("""COMPUTED_VALUE"""),"")</f>
        <v/>
      </c>
    </row>
    <row r="1269">
      <c r="A1269" s="17"/>
      <c r="B1269" s="23"/>
      <c r="C1269" s="17">
        <f>IFERROR(__xludf.DUMMYFUNCTION("""COMPUTED_VALUE"""),43541.3425862963)</f>
        <v>43541.34259</v>
      </c>
      <c r="D1269" s="23">
        <f>IFERROR(__xludf.DUMMYFUNCTION("""COMPUTED_VALUE"""),1.036)</f>
        <v>1.036</v>
      </c>
      <c r="E1269" s="24">
        <f>IFERROR(__xludf.DUMMYFUNCTION("""COMPUTED_VALUE"""),67.0)</f>
        <v>67</v>
      </c>
      <c r="F1269" s="27" t="str">
        <f>IFERROR(__xludf.DUMMYFUNCTION("""COMPUTED_VALUE"""),"BLACK")</f>
        <v>BLACK</v>
      </c>
      <c r="G1269" s="28" t="str">
        <f>IFERROR(__xludf.DUMMYFUNCTION("""COMPUTED_VALUE"""),"First Times a Charm Cider")</f>
        <v>First Times a Charm Cider</v>
      </c>
      <c r="H1269" s="27" t="str">
        <f>IFERROR(__xludf.DUMMYFUNCTION("""COMPUTED_VALUE"""),"")</f>
        <v/>
      </c>
    </row>
    <row r="1270">
      <c r="A1270" s="17"/>
      <c r="B1270" s="23"/>
      <c r="C1270" s="17">
        <f>IFERROR(__xludf.DUMMYFUNCTION("""COMPUTED_VALUE"""),43541.3321655092)</f>
        <v>43541.33217</v>
      </c>
      <c r="D1270" s="23">
        <f>IFERROR(__xludf.DUMMYFUNCTION("""COMPUTED_VALUE"""),1.036)</f>
        <v>1.036</v>
      </c>
      <c r="E1270" s="24">
        <f>IFERROR(__xludf.DUMMYFUNCTION("""COMPUTED_VALUE"""),67.0)</f>
        <v>67</v>
      </c>
      <c r="F1270" s="27" t="str">
        <f>IFERROR(__xludf.DUMMYFUNCTION("""COMPUTED_VALUE"""),"BLACK")</f>
        <v>BLACK</v>
      </c>
      <c r="G1270" s="28" t="str">
        <f>IFERROR(__xludf.DUMMYFUNCTION("""COMPUTED_VALUE"""),"First Times a Charm Cider")</f>
        <v>First Times a Charm Cider</v>
      </c>
      <c r="H1270" s="27" t="str">
        <f>IFERROR(__xludf.DUMMYFUNCTION("""COMPUTED_VALUE"""),"")</f>
        <v/>
      </c>
    </row>
    <row r="1271">
      <c r="A1271" s="17"/>
      <c r="B1271" s="23"/>
      <c r="C1271" s="17">
        <f>IFERROR(__xludf.DUMMYFUNCTION("""COMPUTED_VALUE"""),43541.3217450694)</f>
        <v>43541.32175</v>
      </c>
      <c r="D1271" s="23">
        <f>IFERROR(__xludf.DUMMYFUNCTION("""COMPUTED_VALUE"""),1.036)</f>
        <v>1.036</v>
      </c>
      <c r="E1271" s="24">
        <f>IFERROR(__xludf.DUMMYFUNCTION("""COMPUTED_VALUE"""),67.0)</f>
        <v>67</v>
      </c>
      <c r="F1271" s="27" t="str">
        <f>IFERROR(__xludf.DUMMYFUNCTION("""COMPUTED_VALUE"""),"BLACK")</f>
        <v>BLACK</v>
      </c>
      <c r="G1271" s="28" t="str">
        <f>IFERROR(__xludf.DUMMYFUNCTION("""COMPUTED_VALUE"""),"First Times a Charm Cider")</f>
        <v>First Times a Charm Cider</v>
      </c>
      <c r="H1271" s="27" t="str">
        <f>IFERROR(__xludf.DUMMYFUNCTION("""COMPUTED_VALUE"""),"")</f>
        <v/>
      </c>
    </row>
    <row r="1272">
      <c r="A1272" s="17"/>
      <c r="B1272" s="23"/>
      <c r="C1272" s="17">
        <f>IFERROR(__xludf.DUMMYFUNCTION("""COMPUTED_VALUE"""),43541.3113240624)</f>
        <v>43541.31132</v>
      </c>
      <c r="D1272" s="23">
        <f>IFERROR(__xludf.DUMMYFUNCTION("""COMPUTED_VALUE"""),1.036)</f>
        <v>1.036</v>
      </c>
      <c r="E1272" s="24">
        <f>IFERROR(__xludf.DUMMYFUNCTION("""COMPUTED_VALUE"""),67.0)</f>
        <v>67</v>
      </c>
      <c r="F1272" s="27" t="str">
        <f>IFERROR(__xludf.DUMMYFUNCTION("""COMPUTED_VALUE"""),"BLACK")</f>
        <v>BLACK</v>
      </c>
      <c r="G1272" s="28" t="str">
        <f>IFERROR(__xludf.DUMMYFUNCTION("""COMPUTED_VALUE"""),"First Times a Charm Cider")</f>
        <v>First Times a Charm Cider</v>
      </c>
      <c r="H1272" s="27" t="str">
        <f>IFERROR(__xludf.DUMMYFUNCTION("""COMPUTED_VALUE"""),"")</f>
        <v/>
      </c>
    </row>
    <row r="1273">
      <c r="A1273" s="17"/>
      <c r="B1273" s="23"/>
      <c r="C1273" s="17">
        <f>IFERROR(__xludf.DUMMYFUNCTION("""COMPUTED_VALUE"""),43541.3009003587)</f>
        <v>43541.3009</v>
      </c>
      <c r="D1273" s="23">
        <f>IFERROR(__xludf.DUMMYFUNCTION("""COMPUTED_VALUE"""),1.036)</f>
        <v>1.036</v>
      </c>
      <c r="E1273" s="24">
        <f>IFERROR(__xludf.DUMMYFUNCTION("""COMPUTED_VALUE"""),67.0)</f>
        <v>67</v>
      </c>
      <c r="F1273" s="27" t="str">
        <f>IFERROR(__xludf.DUMMYFUNCTION("""COMPUTED_VALUE"""),"BLACK")</f>
        <v>BLACK</v>
      </c>
      <c r="G1273" s="28" t="str">
        <f>IFERROR(__xludf.DUMMYFUNCTION("""COMPUTED_VALUE"""),"First Times a Charm Cider")</f>
        <v>First Times a Charm Cider</v>
      </c>
      <c r="H1273" s="27" t="str">
        <f>IFERROR(__xludf.DUMMYFUNCTION("""COMPUTED_VALUE"""),"")</f>
        <v/>
      </c>
    </row>
    <row r="1274">
      <c r="A1274" s="17"/>
      <c r="B1274" s="23"/>
      <c r="C1274" s="17">
        <f>IFERROR(__xludf.DUMMYFUNCTION("""COMPUTED_VALUE"""),43541.2904792708)</f>
        <v>43541.29048</v>
      </c>
      <c r="D1274" s="23">
        <f>IFERROR(__xludf.DUMMYFUNCTION("""COMPUTED_VALUE"""),1.036)</f>
        <v>1.036</v>
      </c>
      <c r="E1274" s="24">
        <f>IFERROR(__xludf.DUMMYFUNCTION("""COMPUTED_VALUE"""),67.0)</f>
        <v>67</v>
      </c>
      <c r="F1274" s="27" t="str">
        <f>IFERROR(__xludf.DUMMYFUNCTION("""COMPUTED_VALUE"""),"BLACK")</f>
        <v>BLACK</v>
      </c>
      <c r="G1274" s="28" t="str">
        <f>IFERROR(__xludf.DUMMYFUNCTION("""COMPUTED_VALUE"""),"First Times a Charm Cider")</f>
        <v>First Times a Charm Cider</v>
      </c>
      <c r="H1274" s="27" t="str">
        <f>IFERROR(__xludf.DUMMYFUNCTION("""COMPUTED_VALUE"""),"")</f>
        <v/>
      </c>
    </row>
    <row r="1275">
      <c r="A1275" s="17"/>
      <c r="B1275" s="23"/>
      <c r="C1275" s="17">
        <f>IFERROR(__xludf.DUMMYFUNCTION("""COMPUTED_VALUE"""),43541.2800579861)</f>
        <v>43541.28006</v>
      </c>
      <c r="D1275" s="23">
        <f>IFERROR(__xludf.DUMMYFUNCTION("""COMPUTED_VALUE"""),1.036)</f>
        <v>1.036</v>
      </c>
      <c r="E1275" s="24">
        <f>IFERROR(__xludf.DUMMYFUNCTION("""COMPUTED_VALUE"""),67.0)</f>
        <v>67</v>
      </c>
      <c r="F1275" s="27" t="str">
        <f>IFERROR(__xludf.DUMMYFUNCTION("""COMPUTED_VALUE"""),"BLACK")</f>
        <v>BLACK</v>
      </c>
      <c r="G1275" s="28" t="str">
        <f>IFERROR(__xludf.DUMMYFUNCTION("""COMPUTED_VALUE"""),"First Times a Charm Cider")</f>
        <v>First Times a Charm Cider</v>
      </c>
      <c r="H1275" s="27" t="str">
        <f>IFERROR(__xludf.DUMMYFUNCTION("""COMPUTED_VALUE"""),"")</f>
        <v/>
      </c>
    </row>
    <row r="1276">
      <c r="A1276" s="17"/>
      <c r="B1276" s="23"/>
      <c r="C1276" s="17">
        <f>IFERROR(__xludf.DUMMYFUNCTION("""COMPUTED_VALUE"""),43541.2696367939)</f>
        <v>43541.26964</v>
      </c>
      <c r="D1276" s="23">
        <f>IFERROR(__xludf.DUMMYFUNCTION("""COMPUTED_VALUE"""),1.036)</f>
        <v>1.036</v>
      </c>
      <c r="E1276" s="24">
        <f>IFERROR(__xludf.DUMMYFUNCTION("""COMPUTED_VALUE"""),67.0)</f>
        <v>67</v>
      </c>
      <c r="F1276" s="27" t="str">
        <f>IFERROR(__xludf.DUMMYFUNCTION("""COMPUTED_VALUE"""),"BLACK")</f>
        <v>BLACK</v>
      </c>
      <c r="G1276" s="28" t="str">
        <f>IFERROR(__xludf.DUMMYFUNCTION("""COMPUTED_VALUE"""),"First Times a Charm Cider")</f>
        <v>First Times a Charm Cider</v>
      </c>
      <c r="H1276" s="27" t="str">
        <f>IFERROR(__xludf.DUMMYFUNCTION("""COMPUTED_VALUE"""),"")</f>
        <v/>
      </c>
    </row>
    <row r="1277">
      <c r="A1277" s="17"/>
      <c r="B1277" s="23"/>
      <c r="C1277" s="17">
        <f>IFERROR(__xludf.DUMMYFUNCTION("""COMPUTED_VALUE"""),43541.259215868)</f>
        <v>43541.25922</v>
      </c>
      <c r="D1277" s="23">
        <f>IFERROR(__xludf.DUMMYFUNCTION("""COMPUTED_VALUE"""),1.036)</f>
        <v>1.036</v>
      </c>
      <c r="E1277" s="24">
        <f>IFERROR(__xludf.DUMMYFUNCTION("""COMPUTED_VALUE"""),67.0)</f>
        <v>67</v>
      </c>
      <c r="F1277" s="27" t="str">
        <f>IFERROR(__xludf.DUMMYFUNCTION("""COMPUTED_VALUE"""),"BLACK")</f>
        <v>BLACK</v>
      </c>
      <c r="G1277" s="28" t="str">
        <f>IFERROR(__xludf.DUMMYFUNCTION("""COMPUTED_VALUE"""),"First Times a Charm Cider")</f>
        <v>First Times a Charm Cider</v>
      </c>
      <c r="H1277" s="27" t="str">
        <f>IFERROR(__xludf.DUMMYFUNCTION("""COMPUTED_VALUE"""),"")</f>
        <v/>
      </c>
    </row>
    <row r="1278">
      <c r="A1278" s="17"/>
      <c r="B1278" s="23"/>
      <c r="C1278" s="17">
        <f>IFERROR(__xludf.DUMMYFUNCTION("""COMPUTED_VALUE"""),43541.2487946296)</f>
        <v>43541.24879</v>
      </c>
      <c r="D1278" s="23">
        <f>IFERROR(__xludf.DUMMYFUNCTION("""COMPUTED_VALUE"""),1.036)</f>
        <v>1.036</v>
      </c>
      <c r="E1278" s="24">
        <f>IFERROR(__xludf.DUMMYFUNCTION("""COMPUTED_VALUE"""),67.0)</f>
        <v>67</v>
      </c>
      <c r="F1278" s="27" t="str">
        <f>IFERROR(__xludf.DUMMYFUNCTION("""COMPUTED_VALUE"""),"BLACK")</f>
        <v>BLACK</v>
      </c>
      <c r="G1278" s="28" t="str">
        <f>IFERROR(__xludf.DUMMYFUNCTION("""COMPUTED_VALUE"""),"First Times a Charm Cider")</f>
        <v>First Times a Charm Cider</v>
      </c>
      <c r="H1278" s="27" t="str">
        <f>IFERROR(__xludf.DUMMYFUNCTION("""COMPUTED_VALUE"""),"")</f>
        <v/>
      </c>
    </row>
    <row r="1279">
      <c r="A1279" s="17"/>
      <c r="B1279" s="23"/>
      <c r="C1279" s="17">
        <f>IFERROR(__xludf.DUMMYFUNCTION("""COMPUTED_VALUE"""),43541.2383736111)</f>
        <v>43541.23837</v>
      </c>
      <c r="D1279" s="23">
        <f>IFERROR(__xludf.DUMMYFUNCTION("""COMPUTED_VALUE"""),1.036)</f>
        <v>1.036</v>
      </c>
      <c r="E1279" s="24">
        <f>IFERROR(__xludf.DUMMYFUNCTION("""COMPUTED_VALUE"""),67.0)</f>
        <v>67</v>
      </c>
      <c r="F1279" s="27" t="str">
        <f>IFERROR(__xludf.DUMMYFUNCTION("""COMPUTED_VALUE"""),"BLACK")</f>
        <v>BLACK</v>
      </c>
      <c r="G1279" s="28" t="str">
        <f>IFERROR(__xludf.DUMMYFUNCTION("""COMPUTED_VALUE"""),"First Times a Charm Cider")</f>
        <v>First Times a Charm Cider</v>
      </c>
      <c r="H1279" s="27" t="str">
        <f>IFERROR(__xludf.DUMMYFUNCTION("""COMPUTED_VALUE"""),"")</f>
        <v/>
      </c>
    </row>
    <row r="1280">
      <c r="A1280" s="17"/>
      <c r="B1280" s="23"/>
      <c r="C1280" s="17">
        <f>IFERROR(__xludf.DUMMYFUNCTION("""COMPUTED_VALUE"""),43541.2279507754)</f>
        <v>43541.22795</v>
      </c>
      <c r="D1280" s="23">
        <f>IFERROR(__xludf.DUMMYFUNCTION("""COMPUTED_VALUE"""),1.036)</f>
        <v>1.036</v>
      </c>
      <c r="E1280" s="24">
        <f>IFERROR(__xludf.DUMMYFUNCTION("""COMPUTED_VALUE"""),67.0)</f>
        <v>67</v>
      </c>
      <c r="F1280" s="27" t="str">
        <f>IFERROR(__xludf.DUMMYFUNCTION("""COMPUTED_VALUE"""),"BLACK")</f>
        <v>BLACK</v>
      </c>
      <c r="G1280" s="28" t="str">
        <f>IFERROR(__xludf.DUMMYFUNCTION("""COMPUTED_VALUE"""),"First Times a Charm Cider")</f>
        <v>First Times a Charm Cider</v>
      </c>
      <c r="H1280" s="27" t="str">
        <f>IFERROR(__xludf.DUMMYFUNCTION("""COMPUTED_VALUE"""),"")</f>
        <v/>
      </c>
    </row>
    <row r="1281">
      <c r="A1281" s="17"/>
      <c r="B1281" s="23"/>
      <c r="C1281" s="17">
        <f>IFERROR(__xludf.DUMMYFUNCTION("""COMPUTED_VALUE"""),43541.2175310069)</f>
        <v>43541.21753</v>
      </c>
      <c r="D1281" s="23">
        <f>IFERROR(__xludf.DUMMYFUNCTION("""COMPUTED_VALUE"""),1.036)</f>
        <v>1.036</v>
      </c>
      <c r="E1281" s="24">
        <f>IFERROR(__xludf.DUMMYFUNCTION("""COMPUTED_VALUE"""),67.0)</f>
        <v>67</v>
      </c>
      <c r="F1281" s="27" t="str">
        <f>IFERROR(__xludf.DUMMYFUNCTION("""COMPUTED_VALUE"""),"BLACK")</f>
        <v>BLACK</v>
      </c>
      <c r="G1281" s="28" t="str">
        <f>IFERROR(__xludf.DUMMYFUNCTION("""COMPUTED_VALUE"""),"First Times a Charm Cider")</f>
        <v>First Times a Charm Cider</v>
      </c>
      <c r="H1281" s="27" t="str">
        <f>IFERROR(__xludf.DUMMYFUNCTION("""COMPUTED_VALUE"""),"")</f>
        <v/>
      </c>
    </row>
    <row r="1282">
      <c r="A1282" s="17"/>
      <c r="B1282" s="23"/>
      <c r="C1282" s="17">
        <f>IFERROR(__xludf.DUMMYFUNCTION("""COMPUTED_VALUE"""),43541.2070975231)</f>
        <v>43541.2071</v>
      </c>
      <c r="D1282" s="23">
        <f>IFERROR(__xludf.DUMMYFUNCTION("""COMPUTED_VALUE"""),1.036)</f>
        <v>1.036</v>
      </c>
      <c r="E1282" s="24">
        <f>IFERROR(__xludf.DUMMYFUNCTION("""COMPUTED_VALUE"""),67.0)</f>
        <v>67</v>
      </c>
      <c r="F1282" s="27" t="str">
        <f>IFERROR(__xludf.DUMMYFUNCTION("""COMPUTED_VALUE"""),"BLACK")</f>
        <v>BLACK</v>
      </c>
      <c r="G1282" s="28" t="str">
        <f>IFERROR(__xludf.DUMMYFUNCTION("""COMPUTED_VALUE"""),"First Times a Charm Cider")</f>
        <v>First Times a Charm Cider</v>
      </c>
      <c r="H1282" s="27" t="str">
        <f>IFERROR(__xludf.DUMMYFUNCTION("""COMPUTED_VALUE"""),"")</f>
        <v/>
      </c>
    </row>
    <row r="1283">
      <c r="A1283" s="17"/>
      <c r="B1283" s="23"/>
      <c r="C1283" s="17">
        <f>IFERROR(__xludf.DUMMYFUNCTION("""COMPUTED_VALUE"""),43541.196676574)</f>
        <v>43541.19668</v>
      </c>
      <c r="D1283" s="23">
        <f>IFERROR(__xludf.DUMMYFUNCTION("""COMPUTED_VALUE"""),1.036)</f>
        <v>1.036</v>
      </c>
      <c r="E1283" s="24">
        <f>IFERROR(__xludf.DUMMYFUNCTION("""COMPUTED_VALUE"""),67.0)</f>
        <v>67</v>
      </c>
      <c r="F1283" s="27" t="str">
        <f>IFERROR(__xludf.DUMMYFUNCTION("""COMPUTED_VALUE"""),"BLACK")</f>
        <v>BLACK</v>
      </c>
      <c r="G1283" s="28" t="str">
        <f>IFERROR(__xludf.DUMMYFUNCTION("""COMPUTED_VALUE"""),"First Times a Charm Cider")</f>
        <v>First Times a Charm Cider</v>
      </c>
      <c r="H1283" s="27" t="str">
        <f>IFERROR(__xludf.DUMMYFUNCTION("""COMPUTED_VALUE"""),"")</f>
        <v/>
      </c>
    </row>
    <row r="1284">
      <c r="A1284" s="17"/>
      <c r="B1284" s="23"/>
      <c r="C1284" s="17">
        <f>IFERROR(__xludf.DUMMYFUNCTION("""COMPUTED_VALUE"""),43541.1862541666)</f>
        <v>43541.18625</v>
      </c>
      <c r="D1284" s="23">
        <f>IFERROR(__xludf.DUMMYFUNCTION("""COMPUTED_VALUE"""),1.036)</f>
        <v>1.036</v>
      </c>
      <c r="E1284" s="24">
        <f>IFERROR(__xludf.DUMMYFUNCTION("""COMPUTED_VALUE"""),67.0)</f>
        <v>67</v>
      </c>
      <c r="F1284" s="27" t="str">
        <f>IFERROR(__xludf.DUMMYFUNCTION("""COMPUTED_VALUE"""),"BLACK")</f>
        <v>BLACK</v>
      </c>
      <c r="G1284" s="28" t="str">
        <f>IFERROR(__xludf.DUMMYFUNCTION("""COMPUTED_VALUE"""),"First Times a Charm Cider")</f>
        <v>First Times a Charm Cider</v>
      </c>
      <c r="H1284" s="27" t="str">
        <f>IFERROR(__xludf.DUMMYFUNCTION("""COMPUTED_VALUE"""),"")</f>
        <v/>
      </c>
    </row>
    <row r="1285">
      <c r="A1285" s="17"/>
      <c r="B1285" s="23"/>
      <c r="C1285" s="17">
        <f>IFERROR(__xludf.DUMMYFUNCTION("""COMPUTED_VALUE"""),43541.1758221759)</f>
        <v>43541.17582</v>
      </c>
      <c r="D1285" s="23">
        <f>IFERROR(__xludf.DUMMYFUNCTION("""COMPUTED_VALUE"""),1.036)</f>
        <v>1.036</v>
      </c>
      <c r="E1285" s="24">
        <f>IFERROR(__xludf.DUMMYFUNCTION("""COMPUTED_VALUE"""),67.0)</f>
        <v>67</v>
      </c>
      <c r="F1285" s="27" t="str">
        <f>IFERROR(__xludf.DUMMYFUNCTION("""COMPUTED_VALUE"""),"BLACK")</f>
        <v>BLACK</v>
      </c>
      <c r="G1285" s="28" t="str">
        <f>IFERROR(__xludf.DUMMYFUNCTION("""COMPUTED_VALUE"""),"First Times a Charm Cider")</f>
        <v>First Times a Charm Cider</v>
      </c>
      <c r="H1285" s="27" t="str">
        <f>IFERROR(__xludf.DUMMYFUNCTION("""COMPUTED_VALUE"""),"")</f>
        <v/>
      </c>
    </row>
    <row r="1286">
      <c r="A1286" s="17"/>
      <c r="B1286" s="23"/>
      <c r="C1286" s="17">
        <f>IFERROR(__xludf.DUMMYFUNCTION("""COMPUTED_VALUE"""),43541.1653890509)</f>
        <v>43541.16539</v>
      </c>
      <c r="D1286" s="23">
        <f>IFERROR(__xludf.DUMMYFUNCTION("""COMPUTED_VALUE"""),1.036)</f>
        <v>1.036</v>
      </c>
      <c r="E1286" s="24">
        <f>IFERROR(__xludf.DUMMYFUNCTION("""COMPUTED_VALUE"""),67.0)</f>
        <v>67</v>
      </c>
      <c r="F1286" s="27" t="str">
        <f>IFERROR(__xludf.DUMMYFUNCTION("""COMPUTED_VALUE"""),"BLACK")</f>
        <v>BLACK</v>
      </c>
      <c r="G1286" s="28" t="str">
        <f>IFERROR(__xludf.DUMMYFUNCTION("""COMPUTED_VALUE"""),"First Times a Charm Cider")</f>
        <v>First Times a Charm Cider</v>
      </c>
      <c r="H1286" s="27" t="str">
        <f>IFERROR(__xludf.DUMMYFUNCTION("""COMPUTED_VALUE"""),"")</f>
        <v/>
      </c>
    </row>
    <row r="1287">
      <c r="A1287" s="17"/>
      <c r="B1287" s="23"/>
      <c r="C1287" s="17">
        <f>IFERROR(__xludf.DUMMYFUNCTION("""COMPUTED_VALUE"""),43541.1549560185)</f>
        <v>43541.15496</v>
      </c>
      <c r="D1287" s="23">
        <f>IFERROR(__xludf.DUMMYFUNCTION("""COMPUTED_VALUE"""),1.036)</f>
        <v>1.036</v>
      </c>
      <c r="E1287" s="24">
        <f>IFERROR(__xludf.DUMMYFUNCTION("""COMPUTED_VALUE"""),67.0)</f>
        <v>67</v>
      </c>
      <c r="F1287" s="27" t="str">
        <f>IFERROR(__xludf.DUMMYFUNCTION("""COMPUTED_VALUE"""),"BLACK")</f>
        <v>BLACK</v>
      </c>
      <c r="G1287" s="28" t="str">
        <f>IFERROR(__xludf.DUMMYFUNCTION("""COMPUTED_VALUE"""),"First Times a Charm Cider")</f>
        <v>First Times a Charm Cider</v>
      </c>
      <c r="H1287" s="27" t="str">
        <f>IFERROR(__xludf.DUMMYFUNCTION("""COMPUTED_VALUE"""),"")</f>
        <v/>
      </c>
    </row>
    <row r="1288">
      <c r="A1288" s="17"/>
      <c r="B1288" s="23"/>
      <c r="C1288" s="17">
        <f>IFERROR(__xludf.DUMMYFUNCTION("""COMPUTED_VALUE"""),43541.1445338426)</f>
        <v>43541.14453</v>
      </c>
      <c r="D1288" s="23">
        <f>IFERROR(__xludf.DUMMYFUNCTION("""COMPUTED_VALUE"""),1.036)</f>
        <v>1.036</v>
      </c>
      <c r="E1288" s="24">
        <f>IFERROR(__xludf.DUMMYFUNCTION("""COMPUTED_VALUE"""),67.0)</f>
        <v>67</v>
      </c>
      <c r="F1288" s="27" t="str">
        <f>IFERROR(__xludf.DUMMYFUNCTION("""COMPUTED_VALUE"""),"BLACK")</f>
        <v>BLACK</v>
      </c>
      <c r="G1288" s="28" t="str">
        <f>IFERROR(__xludf.DUMMYFUNCTION("""COMPUTED_VALUE"""),"First Times a Charm Cider")</f>
        <v>First Times a Charm Cider</v>
      </c>
      <c r="H1288" s="27" t="str">
        <f>IFERROR(__xludf.DUMMYFUNCTION("""COMPUTED_VALUE"""),"")</f>
        <v/>
      </c>
    </row>
    <row r="1289">
      <c r="A1289" s="17"/>
      <c r="B1289" s="23"/>
      <c r="C1289" s="17">
        <f>IFERROR(__xludf.DUMMYFUNCTION("""COMPUTED_VALUE"""),43541.1341129976)</f>
        <v>43541.13411</v>
      </c>
      <c r="D1289" s="23">
        <f>IFERROR(__xludf.DUMMYFUNCTION("""COMPUTED_VALUE"""),1.036)</f>
        <v>1.036</v>
      </c>
      <c r="E1289" s="24">
        <f>IFERROR(__xludf.DUMMYFUNCTION("""COMPUTED_VALUE"""),67.0)</f>
        <v>67</v>
      </c>
      <c r="F1289" s="27" t="str">
        <f>IFERROR(__xludf.DUMMYFUNCTION("""COMPUTED_VALUE"""),"BLACK")</f>
        <v>BLACK</v>
      </c>
      <c r="G1289" s="28" t="str">
        <f>IFERROR(__xludf.DUMMYFUNCTION("""COMPUTED_VALUE"""),"First Times a Charm Cider")</f>
        <v>First Times a Charm Cider</v>
      </c>
      <c r="H1289" s="27" t="str">
        <f>IFERROR(__xludf.DUMMYFUNCTION("""COMPUTED_VALUE"""),"")</f>
        <v/>
      </c>
    </row>
    <row r="1290">
      <c r="A1290" s="17"/>
      <c r="B1290" s="23"/>
      <c r="C1290" s="17">
        <f>IFERROR(__xludf.DUMMYFUNCTION("""COMPUTED_VALUE"""),43541.1236908911)</f>
        <v>43541.12369</v>
      </c>
      <c r="D1290" s="23">
        <f>IFERROR(__xludf.DUMMYFUNCTION("""COMPUTED_VALUE"""),1.036)</f>
        <v>1.036</v>
      </c>
      <c r="E1290" s="24">
        <f>IFERROR(__xludf.DUMMYFUNCTION("""COMPUTED_VALUE"""),67.0)</f>
        <v>67</v>
      </c>
      <c r="F1290" s="27" t="str">
        <f>IFERROR(__xludf.DUMMYFUNCTION("""COMPUTED_VALUE"""),"BLACK")</f>
        <v>BLACK</v>
      </c>
      <c r="G1290" s="28" t="str">
        <f>IFERROR(__xludf.DUMMYFUNCTION("""COMPUTED_VALUE"""),"First Times a Charm Cider")</f>
        <v>First Times a Charm Cider</v>
      </c>
      <c r="H1290" s="27" t="str">
        <f>IFERROR(__xludf.DUMMYFUNCTION("""COMPUTED_VALUE"""),"")</f>
        <v/>
      </c>
    </row>
    <row r="1291">
      <c r="A1291" s="17"/>
      <c r="B1291" s="23"/>
      <c r="C1291" s="17">
        <f>IFERROR(__xludf.DUMMYFUNCTION("""COMPUTED_VALUE"""),43541.1132708333)</f>
        <v>43541.11327</v>
      </c>
      <c r="D1291" s="23">
        <f>IFERROR(__xludf.DUMMYFUNCTION("""COMPUTED_VALUE"""),1.036)</f>
        <v>1.036</v>
      </c>
      <c r="E1291" s="24">
        <f>IFERROR(__xludf.DUMMYFUNCTION("""COMPUTED_VALUE"""),67.0)</f>
        <v>67</v>
      </c>
      <c r="F1291" s="27" t="str">
        <f>IFERROR(__xludf.DUMMYFUNCTION("""COMPUTED_VALUE"""),"BLACK")</f>
        <v>BLACK</v>
      </c>
      <c r="G1291" s="28" t="str">
        <f>IFERROR(__xludf.DUMMYFUNCTION("""COMPUTED_VALUE"""),"First Times a Charm Cider")</f>
        <v>First Times a Charm Cider</v>
      </c>
      <c r="H1291" s="27" t="str">
        <f>IFERROR(__xludf.DUMMYFUNCTION("""COMPUTED_VALUE"""),"")</f>
        <v/>
      </c>
    </row>
    <row r="1292">
      <c r="A1292" s="17"/>
      <c r="B1292" s="23"/>
      <c r="C1292" s="17">
        <f>IFERROR(__xludf.DUMMYFUNCTION("""COMPUTED_VALUE"""),43541.1028373842)</f>
        <v>43541.10284</v>
      </c>
      <c r="D1292" s="23">
        <f>IFERROR(__xludf.DUMMYFUNCTION("""COMPUTED_VALUE"""),1.036)</f>
        <v>1.036</v>
      </c>
      <c r="E1292" s="24">
        <f>IFERROR(__xludf.DUMMYFUNCTION("""COMPUTED_VALUE"""),67.0)</f>
        <v>67</v>
      </c>
      <c r="F1292" s="27" t="str">
        <f>IFERROR(__xludf.DUMMYFUNCTION("""COMPUTED_VALUE"""),"BLACK")</f>
        <v>BLACK</v>
      </c>
      <c r="G1292" s="28" t="str">
        <f>IFERROR(__xludf.DUMMYFUNCTION("""COMPUTED_VALUE"""),"First Times a Charm Cider")</f>
        <v>First Times a Charm Cider</v>
      </c>
      <c r="H1292" s="27" t="str">
        <f>IFERROR(__xludf.DUMMYFUNCTION("""COMPUTED_VALUE"""),"")</f>
        <v/>
      </c>
    </row>
    <row r="1293">
      <c r="A1293" s="17"/>
      <c r="B1293" s="23"/>
      <c r="C1293" s="17">
        <f>IFERROR(__xludf.DUMMYFUNCTION("""COMPUTED_VALUE"""),43541.0924169675)</f>
        <v>43541.09242</v>
      </c>
      <c r="D1293" s="23">
        <f>IFERROR(__xludf.DUMMYFUNCTION("""COMPUTED_VALUE"""),1.036)</f>
        <v>1.036</v>
      </c>
      <c r="E1293" s="24">
        <f>IFERROR(__xludf.DUMMYFUNCTION("""COMPUTED_VALUE"""),67.0)</f>
        <v>67</v>
      </c>
      <c r="F1293" s="27" t="str">
        <f>IFERROR(__xludf.DUMMYFUNCTION("""COMPUTED_VALUE"""),"BLACK")</f>
        <v>BLACK</v>
      </c>
      <c r="G1293" s="28" t="str">
        <f>IFERROR(__xludf.DUMMYFUNCTION("""COMPUTED_VALUE"""),"First Times a Charm Cider")</f>
        <v>First Times a Charm Cider</v>
      </c>
      <c r="H1293" s="27" t="str">
        <f>IFERROR(__xludf.DUMMYFUNCTION("""COMPUTED_VALUE"""),"")</f>
        <v/>
      </c>
    </row>
    <row r="1294">
      <c r="A1294" s="17"/>
      <c r="B1294" s="23"/>
      <c r="C1294" s="17">
        <f>IFERROR(__xludf.DUMMYFUNCTION("""COMPUTED_VALUE"""),43541.0819847569)</f>
        <v>43541.08198</v>
      </c>
      <c r="D1294" s="23">
        <f>IFERROR(__xludf.DUMMYFUNCTION("""COMPUTED_VALUE"""),1.036)</f>
        <v>1.036</v>
      </c>
      <c r="E1294" s="24">
        <f>IFERROR(__xludf.DUMMYFUNCTION("""COMPUTED_VALUE"""),67.0)</f>
        <v>67</v>
      </c>
      <c r="F1294" s="27" t="str">
        <f>IFERROR(__xludf.DUMMYFUNCTION("""COMPUTED_VALUE"""),"BLACK")</f>
        <v>BLACK</v>
      </c>
      <c r="G1294" s="28" t="str">
        <f>IFERROR(__xludf.DUMMYFUNCTION("""COMPUTED_VALUE"""),"First Times a Charm Cider")</f>
        <v>First Times a Charm Cider</v>
      </c>
      <c r="H1294" s="27" t="str">
        <f>IFERROR(__xludf.DUMMYFUNCTION("""COMPUTED_VALUE"""),"")</f>
        <v/>
      </c>
    </row>
    <row r="1295">
      <c r="A1295" s="17"/>
      <c r="B1295" s="23"/>
      <c r="C1295" s="17">
        <f>IFERROR(__xludf.DUMMYFUNCTION("""COMPUTED_VALUE"""),43541.0715628703)</f>
        <v>43541.07156</v>
      </c>
      <c r="D1295" s="23">
        <f>IFERROR(__xludf.DUMMYFUNCTION("""COMPUTED_VALUE"""),1.036)</f>
        <v>1.036</v>
      </c>
      <c r="E1295" s="24">
        <f>IFERROR(__xludf.DUMMYFUNCTION("""COMPUTED_VALUE"""),67.0)</f>
        <v>67</v>
      </c>
      <c r="F1295" s="27" t="str">
        <f>IFERROR(__xludf.DUMMYFUNCTION("""COMPUTED_VALUE"""),"BLACK")</f>
        <v>BLACK</v>
      </c>
      <c r="G1295" s="28" t="str">
        <f>IFERROR(__xludf.DUMMYFUNCTION("""COMPUTED_VALUE"""),"First Times a Charm Cider")</f>
        <v>First Times a Charm Cider</v>
      </c>
      <c r="H1295" s="27" t="str">
        <f>IFERROR(__xludf.DUMMYFUNCTION("""COMPUTED_VALUE"""),"")</f>
        <v/>
      </c>
    </row>
    <row r="1296">
      <c r="A1296" s="17"/>
      <c r="B1296" s="23"/>
      <c r="C1296" s="17">
        <f>IFERROR(__xludf.DUMMYFUNCTION("""COMPUTED_VALUE"""),43541.0611404861)</f>
        <v>43541.06114</v>
      </c>
      <c r="D1296" s="23">
        <f>IFERROR(__xludf.DUMMYFUNCTION("""COMPUTED_VALUE"""),1.036)</f>
        <v>1.036</v>
      </c>
      <c r="E1296" s="24">
        <f>IFERROR(__xludf.DUMMYFUNCTION("""COMPUTED_VALUE"""),67.0)</f>
        <v>67</v>
      </c>
      <c r="F1296" s="27" t="str">
        <f>IFERROR(__xludf.DUMMYFUNCTION("""COMPUTED_VALUE"""),"BLACK")</f>
        <v>BLACK</v>
      </c>
      <c r="G1296" s="28" t="str">
        <f>IFERROR(__xludf.DUMMYFUNCTION("""COMPUTED_VALUE"""),"First Times a Charm Cider")</f>
        <v>First Times a Charm Cider</v>
      </c>
      <c r="H1296" s="27" t="str">
        <f>IFERROR(__xludf.DUMMYFUNCTION("""COMPUTED_VALUE"""),"")</f>
        <v/>
      </c>
    </row>
    <row r="1297">
      <c r="A1297" s="17"/>
      <c r="B1297" s="23"/>
      <c r="C1297" s="17">
        <f>IFERROR(__xludf.DUMMYFUNCTION("""COMPUTED_VALUE"""),43541.0507191666)</f>
        <v>43541.05072</v>
      </c>
      <c r="D1297" s="23">
        <f>IFERROR(__xludf.DUMMYFUNCTION("""COMPUTED_VALUE"""),1.036)</f>
        <v>1.036</v>
      </c>
      <c r="E1297" s="24">
        <f>IFERROR(__xludf.DUMMYFUNCTION("""COMPUTED_VALUE"""),67.0)</f>
        <v>67</v>
      </c>
      <c r="F1297" s="27" t="str">
        <f>IFERROR(__xludf.DUMMYFUNCTION("""COMPUTED_VALUE"""),"BLACK")</f>
        <v>BLACK</v>
      </c>
      <c r="G1297" s="28" t="str">
        <f>IFERROR(__xludf.DUMMYFUNCTION("""COMPUTED_VALUE"""),"First Times a Charm Cider")</f>
        <v>First Times a Charm Cider</v>
      </c>
      <c r="H1297" s="27" t="str">
        <f>IFERROR(__xludf.DUMMYFUNCTION("""COMPUTED_VALUE"""),"")</f>
        <v/>
      </c>
    </row>
    <row r="1298">
      <c r="A1298" s="17"/>
      <c r="B1298" s="23"/>
      <c r="C1298" s="17">
        <f>IFERROR(__xludf.DUMMYFUNCTION("""COMPUTED_VALUE"""),43541.0402983101)</f>
        <v>43541.0403</v>
      </c>
      <c r="D1298" s="23">
        <f>IFERROR(__xludf.DUMMYFUNCTION("""COMPUTED_VALUE"""),1.036)</f>
        <v>1.036</v>
      </c>
      <c r="E1298" s="24">
        <f>IFERROR(__xludf.DUMMYFUNCTION("""COMPUTED_VALUE"""),67.0)</f>
        <v>67</v>
      </c>
      <c r="F1298" s="27" t="str">
        <f>IFERROR(__xludf.DUMMYFUNCTION("""COMPUTED_VALUE"""),"BLACK")</f>
        <v>BLACK</v>
      </c>
      <c r="G1298" s="28" t="str">
        <f>IFERROR(__xludf.DUMMYFUNCTION("""COMPUTED_VALUE"""),"First Times a Charm Cider")</f>
        <v>First Times a Charm Cider</v>
      </c>
      <c r="H1298" s="27" t="str">
        <f>IFERROR(__xludf.DUMMYFUNCTION("""COMPUTED_VALUE"""),"")</f>
        <v/>
      </c>
    </row>
    <row r="1299">
      <c r="A1299" s="17"/>
      <c r="B1299" s="23"/>
      <c r="C1299" s="17">
        <f>IFERROR(__xludf.DUMMYFUNCTION("""COMPUTED_VALUE"""),43541.0298765625)</f>
        <v>43541.02988</v>
      </c>
      <c r="D1299" s="23">
        <f>IFERROR(__xludf.DUMMYFUNCTION("""COMPUTED_VALUE"""),1.036)</f>
        <v>1.036</v>
      </c>
      <c r="E1299" s="24">
        <f>IFERROR(__xludf.DUMMYFUNCTION("""COMPUTED_VALUE"""),67.0)</f>
        <v>67</v>
      </c>
      <c r="F1299" s="27" t="str">
        <f>IFERROR(__xludf.DUMMYFUNCTION("""COMPUTED_VALUE"""),"BLACK")</f>
        <v>BLACK</v>
      </c>
      <c r="G1299" s="28" t="str">
        <f>IFERROR(__xludf.DUMMYFUNCTION("""COMPUTED_VALUE"""),"First Times a Charm Cider")</f>
        <v>First Times a Charm Cider</v>
      </c>
      <c r="H1299" s="27" t="str">
        <f>IFERROR(__xludf.DUMMYFUNCTION("""COMPUTED_VALUE"""),"")</f>
        <v/>
      </c>
    </row>
    <row r="1300">
      <c r="A1300" s="17"/>
      <c r="B1300" s="23"/>
      <c r="C1300" s="17">
        <f>IFERROR(__xludf.DUMMYFUNCTION("""COMPUTED_VALUE"""),43541.0194554976)</f>
        <v>43541.01946</v>
      </c>
      <c r="D1300" s="23">
        <f>IFERROR(__xludf.DUMMYFUNCTION("""COMPUTED_VALUE"""),1.036)</f>
        <v>1.036</v>
      </c>
      <c r="E1300" s="24">
        <f>IFERROR(__xludf.DUMMYFUNCTION("""COMPUTED_VALUE"""),67.0)</f>
        <v>67</v>
      </c>
      <c r="F1300" s="27" t="str">
        <f>IFERROR(__xludf.DUMMYFUNCTION("""COMPUTED_VALUE"""),"BLACK")</f>
        <v>BLACK</v>
      </c>
      <c r="G1300" s="28" t="str">
        <f>IFERROR(__xludf.DUMMYFUNCTION("""COMPUTED_VALUE"""),"First Times a Charm Cider")</f>
        <v>First Times a Charm Cider</v>
      </c>
      <c r="H1300" s="27" t="str">
        <f>IFERROR(__xludf.DUMMYFUNCTION("""COMPUTED_VALUE"""),"")</f>
        <v/>
      </c>
    </row>
    <row r="1301">
      <c r="A1301" s="17"/>
      <c r="B1301" s="23"/>
      <c r="C1301" s="17">
        <f>IFERROR(__xludf.DUMMYFUNCTION("""COMPUTED_VALUE"""),43541.0090116898)</f>
        <v>43541.00901</v>
      </c>
      <c r="D1301" s="23">
        <f>IFERROR(__xludf.DUMMYFUNCTION("""COMPUTED_VALUE"""),1.036)</f>
        <v>1.036</v>
      </c>
      <c r="E1301" s="24">
        <f>IFERROR(__xludf.DUMMYFUNCTION("""COMPUTED_VALUE"""),67.0)</f>
        <v>67</v>
      </c>
      <c r="F1301" s="27" t="str">
        <f>IFERROR(__xludf.DUMMYFUNCTION("""COMPUTED_VALUE"""),"BLACK")</f>
        <v>BLACK</v>
      </c>
      <c r="G1301" s="28" t="str">
        <f>IFERROR(__xludf.DUMMYFUNCTION("""COMPUTED_VALUE"""),"First Times a Charm Cider")</f>
        <v>First Times a Charm Cider</v>
      </c>
      <c r="H1301" s="27" t="str">
        <f>IFERROR(__xludf.DUMMYFUNCTION("""COMPUTED_VALUE"""),"")</f>
        <v/>
      </c>
    </row>
    <row r="1302">
      <c r="A1302" s="17"/>
      <c r="B1302" s="23"/>
      <c r="C1302" s="17">
        <f>IFERROR(__xludf.DUMMYFUNCTION("""COMPUTED_VALUE"""),43540.9985897106)</f>
        <v>43540.99859</v>
      </c>
      <c r="D1302" s="23">
        <f>IFERROR(__xludf.DUMMYFUNCTION("""COMPUTED_VALUE"""),1.036)</f>
        <v>1.036</v>
      </c>
      <c r="E1302" s="24">
        <f>IFERROR(__xludf.DUMMYFUNCTION("""COMPUTED_VALUE"""),67.0)</f>
        <v>67</v>
      </c>
      <c r="F1302" s="27" t="str">
        <f>IFERROR(__xludf.DUMMYFUNCTION("""COMPUTED_VALUE"""),"BLACK")</f>
        <v>BLACK</v>
      </c>
      <c r="G1302" s="28" t="str">
        <f>IFERROR(__xludf.DUMMYFUNCTION("""COMPUTED_VALUE"""),"First Times a Charm Cider")</f>
        <v>First Times a Charm Cider</v>
      </c>
      <c r="H1302" s="27" t="str">
        <f>IFERROR(__xludf.DUMMYFUNCTION("""COMPUTED_VALUE"""),"")</f>
        <v/>
      </c>
    </row>
    <row r="1303">
      <c r="A1303" s="17"/>
      <c r="B1303" s="23"/>
      <c r="C1303" s="17">
        <f>IFERROR(__xludf.DUMMYFUNCTION("""COMPUTED_VALUE"""),43540.9881669212)</f>
        <v>43540.98817</v>
      </c>
      <c r="D1303" s="23">
        <f>IFERROR(__xludf.DUMMYFUNCTION("""COMPUTED_VALUE"""),1.036)</f>
        <v>1.036</v>
      </c>
      <c r="E1303" s="24">
        <f>IFERROR(__xludf.DUMMYFUNCTION("""COMPUTED_VALUE"""),67.0)</f>
        <v>67</v>
      </c>
      <c r="F1303" s="27" t="str">
        <f>IFERROR(__xludf.DUMMYFUNCTION("""COMPUTED_VALUE"""),"BLACK")</f>
        <v>BLACK</v>
      </c>
      <c r="G1303" s="28" t="str">
        <f>IFERROR(__xludf.DUMMYFUNCTION("""COMPUTED_VALUE"""),"First Times a Charm Cider")</f>
        <v>First Times a Charm Cider</v>
      </c>
      <c r="H1303" s="27" t="str">
        <f>IFERROR(__xludf.DUMMYFUNCTION("""COMPUTED_VALUE"""),"")</f>
        <v/>
      </c>
    </row>
    <row r="1304">
      <c r="A1304" s="17"/>
      <c r="B1304" s="23"/>
      <c r="C1304" s="17">
        <f>IFERROR(__xludf.DUMMYFUNCTION("""COMPUTED_VALUE"""),43540.9777339236)</f>
        <v>43540.97773</v>
      </c>
      <c r="D1304" s="23">
        <f>IFERROR(__xludf.DUMMYFUNCTION("""COMPUTED_VALUE"""),1.036)</f>
        <v>1.036</v>
      </c>
      <c r="E1304" s="24">
        <f>IFERROR(__xludf.DUMMYFUNCTION("""COMPUTED_VALUE"""),67.0)</f>
        <v>67</v>
      </c>
      <c r="F1304" s="27" t="str">
        <f>IFERROR(__xludf.DUMMYFUNCTION("""COMPUTED_VALUE"""),"BLACK")</f>
        <v>BLACK</v>
      </c>
      <c r="G1304" s="28" t="str">
        <f>IFERROR(__xludf.DUMMYFUNCTION("""COMPUTED_VALUE"""),"First Times a Charm Cider")</f>
        <v>First Times a Charm Cider</v>
      </c>
      <c r="H1304" s="27" t="str">
        <f>IFERROR(__xludf.DUMMYFUNCTION("""COMPUTED_VALUE"""),"")</f>
        <v/>
      </c>
    </row>
    <row r="1305">
      <c r="A1305" s="17"/>
      <c r="B1305" s="23"/>
      <c r="C1305" s="17">
        <f>IFERROR(__xludf.DUMMYFUNCTION("""COMPUTED_VALUE"""),43540.9673117824)</f>
        <v>43540.96731</v>
      </c>
      <c r="D1305" s="23">
        <f>IFERROR(__xludf.DUMMYFUNCTION("""COMPUTED_VALUE"""),1.036)</f>
        <v>1.036</v>
      </c>
      <c r="E1305" s="24">
        <f>IFERROR(__xludf.DUMMYFUNCTION("""COMPUTED_VALUE"""),67.0)</f>
        <v>67</v>
      </c>
      <c r="F1305" s="27" t="str">
        <f>IFERROR(__xludf.DUMMYFUNCTION("""COMPUTED_VALUE"""),"BLACK")</f>
        <v>BLACK</v>
      </c>
      <c r="G1305" s="28" t="str">
        <f>IFERROR(__xludf.DUMMYFUNCTION("""COMPUTED_VALUE"""),"First Times a Charm Cider")</f>
        <v>First Times a Charm Cider</v>
      </c>
      <c r="H1305" s="27" t="str">
        <f>IFERROR(__xludf.DUMMYFUNCTION("""COMPUTED_VALUE"""),"")</f>
        <v/>
      </c>
    </row>
    <row r="1306">
      <c r="A1306" s="17"/>
      <c r="B1306" s="23"/>
      <c r="C1306" s="17">
        <f>IFERROR(__xludf.DUMMYFUNCTION("""COMPUTED_VALUE"""),43540.9568927893)</f>
        <v>43540.95689</v>
      </c>
      <c r="D1306" s="23">
        <f>IFERROR(__xludf.DUMMYFUNCTION("""COMPUTED_VALUE"""),1.036)</f>
        <v>1.036</v>
      </c>
      <c r="E1306" s="24">
        <f>IFERROR(__xludf.DUMMYFUNCTION("""COMPUTED_VALUE"""),67.0)</f>
        <v>67</v>
      </c>
      <c r="F1306" s="27" t="str">
        <f>IFERROR(__xludf.DUMMYFUNCTION("""COMPUTED_VALUE"""),"BLACK")</f>
        <v>BLACK</v>
      </c>
      <c r="G1306" s="28" t="str">
        <f>IFERROR(__xludf.DUMMYFUNCTION("""COMPUTED_VALUE"""),"First Times a Charm Cider")</f>
        <v>First Times a Charm Cider</v>
      </c>
      <c r="H1306" s="27" t="str">
        <f>IFERROR(__xludf.DUMMYFUNCTION("""COMPUTED_VALUE"""),"")</f>
        <v/>
      </c>
    </row>
    <row r="1307">
      <c r="A1307" s="17"/>
      <c r="B1307" s="23"/>
      <c r="C1307" s="17">
        <f>IFERROR(__xludf.DUMMYFUNCTION("""COMPUTED_VALUE"""),43540.946472824)</f>
        <v>43540.94647</v>
      </c>
      <c r="D1307" s="23">
        <f>IFERROR(__xludf.DUMMYFUNCTION("""COMPUTED_VALUE"""),1.036)</f>
        <v>1.036</v>
      </c>
      <c r="E1307" s="24">
        <f>IFERROR(__xludf.DUMMYFUNCTION("""COMPUTED_VALUE"""),67.0)</f>
        <v>67</v>
      </c>
      <c r="F1307" s="27" t="str">
        <f>IFERROR(__xludf.DUMMYFUNCTION("""COMPUTED_VALUE"""),"BLACK")</f>
        <v>BLACK</v>
      </c>
      <c r="G1307" s="28" t="str">
        <f>IFERROR(__xludf.DUMMYFUNCTION("""COMPUTED_VALUE"""),"First Times a Charm Cider")</f>
        <v>First Times a Charm Cider</v>
      </c>
      <c r="H1307" s="27" t="str">
        <f>IFERROR(__xludf.DUMMYFUNCTION("""COMPUTED_VALUE"""),"")</f>
        <v/>
      </c>
    </row>
    <row r="1308">
      <c r="A1308" s="17"/>
      <c r="B1308" s="23"/>
      <c r="C1308" s="17">
        <f>IFERROR(__xludf.DUMMYFUNCTION("""COMPUTED_VALUE"""),43540.9360527662)</f>
        <v>43540.93605</v>
      </c>
      <c r="D1308" s="23">
        <f>IFERROR(__xludf.DUMMYFUNCTION("""COMPUTED_VALUE"""),1.036)</f>
        <v>1.036</v>
      </c>
      <c r="E1308" s="24">
        <f>IFERROR(__xludf.DUMMYFUNCTION("""COMPUTED_VALUE"""),67.0)</f>
        <v>67</v>
      </c>
      <c r="F1308" s="27" t="str">
        <f>IFERROR(__xludf.DUMMYFUNCTION("""COMPUTED_VALUE"""),"BLACK")</f>
        <v>BLACK</v>
      </c>
      <c r="G1308" s="28" t="str">
        <f>IFERROR(__xludf.DUMMYFUNCTION("""COMPUTED_VALUE"""),"First Times a Charm Cider")</f>
        <v>First Times a Charm Cider</v>
      </c>
      <c r="H1308" s="27" t="str">
        <f>IFERROR(__xludf.DUMMYFUNCTION("""COMPUTED_VALUE"""),"")</f>
        <v/>
      </c>
    </row>
    <row r="1309">
      <c r="A1309" s="17"/>
      <c r="B1309" s="23"/>
      <c r="C1309" s="17">
        <f>IFERROR(__xludf.DUMMYFUNCTION("""COMPUTED_VALUE"""),43540.9256312037)</f>
        <v>43540.92563</v>
      </c>
      <c r="D1309" s="23">
        <f>IFERROR(__xludf.DUMMYFUNCTION("""COMPUTED_VALUE"""),1.036)</f>
        <v>1.036</v>
      </c>
      <c r="E1309" s="24">
        <f>IFERROR(__xludf.DUMMYFUNCTION("""COMPUTED_VALUE"""),67.0)</f>
        <v>67</v>
      </c>
      <c r="F1309" s="27" t="str">
        <f>IFERROR(__xludf.DUMMYFUNCTION("""COMPUTED_VALUE"""),"BLACK")</f>
        <v>BLACK</v>
      </c>
      <c r="G1309" s="28" t="str">
        <f>IFERROR(__xludf.DUMMYFUNCTION("""COMPUTED_VALUE"""),"First Times a Charm Cider")</f>
        <v>First Times a Charm Cider</v>
      </c>
      <c r="H1309" s="27" t="str">
        <f>IFERROR(__xludf.DUMMYFUNCTION("""COMPUTED_VALUE"""),"")</f>
        <v/>
      </c>
    </row>
    <row r="1310">
      <c r="A1310" s="17"/>
      <c r="B1310" s="23"/>
      <c r="C1310" s="17">
        <f>IFERROR(__xludf.DUMMYFUNCTION("""COMPUTED_VALUE"""),43540.9152103703)</f>
        <v>43540.91521</v>
      </c>
      <c r="D1310" s="23">
        <f>IFERROR(__xludf.DUMMYFUNCTION("""COMPUTED_VALUE"""),1.036)</f>
        <v>1.036</v>
      </c>
      <c r="E1310" s="24">
        <f>IFERROR(__xludf.DUMMYFUNCTION("""COMPUTED_VALUE"""),67.0)</f>
        <v>67</v>
      </c>
      <c r="F1310" s="27" t="str">
        <f>IFERROR(__xludf.DUMMYFUNCTION("""COMPUTED_VALUE"""),"BLACK")</f>
        <v>BLACK</v>
      </c>
      <c r="G1310" s="28" t="str">
        <f>IFERROR(__xludf.DUMMYFUNCTION("""COMPUTED_VALUE"""),"First Times a Charm Cider")</f>
        <v>First Times a Charm Cider</v>
      </c>
      <c r="H1310" s="27" t="str">
        <f>IFERROR(__xludf.DUMMYFUNCTION("""COMPUTED_VALUE"""),"")</f>
        <v/>
      </c>
    </row>
    <row r="1311">
      <c r="A1311" s="17"/>
      <c r="B1311" s="23"/>
      <c r="C1311" s="17">
        <f>IFERROR(__xludf.DUMMYFUNCTION("""COMPUTED_VALUE"""),43540.9047898379)</f>
        <v>43540.90479</v>
      </c>
      <c r="D1311" s="23">
        <f>IFERROR(__xludf.DUMMYFUNCTION("""COMPUTED_VALUE"""),1.036)</f>
        <v>1.036</v>
      </c>
      <c r="E1311" s="24">
        <f>IFERROR(__xludf.DUMMYFUNCTION("""COMPUTED_VALUE"""),67.0)</f>
        <v>67</v>
      </c>
      <c r="F1311" s="27" t="str">
        <f>IFERROR(__xludf.DUMMYFUNCTION("""COMPUTED_VALUE"""),"BLACK")</f>
        <v>BLACK</v>
      </c>
      <c r="G1311" s="28" t="str">
        <f>IFERROR(__xludf.DUMMYFUNCTION("""COMPUTED_VALUE"""),"First Times a Charm Cider")</f>
        <v>First Times a Charm Cider</v>
      </c>
      <c r="H1311" s="27" t="str">
        <f>IFERROR(__xludf.DUMMYFUNCTION("""COMPUTED_VALUE"""),"")</f>
        <v/>
      </c>
    </row>
    <row r="1312">
      <c r="A1312" s="17"/>
      <c r="B1312" s="23"/>
      <c r="C1312" s="17">
        <f>IFERROR(__xludf.DUMMYFUNCTION("""COMPUTED_VALUE"""),43540.8943445023)</f>
        <v>43540.89434</v>
      </c>
      <c r="D1312" s="23">
        <f>IFERROR(__xludf.DUMMYFUNCTION("""COMPUTED_VALUE"""),1.036)</f>
        <v>1.036</v>
      </c>
      <c r="E1312" s="24">
        <f>IFERROR(__xludf.DUMMYFUNCTION("""COMPUTED_VALUE"""),67.0)</f>
        <v>67</v>
      </c>
      <c r="F1312" s="27" t="str">
        <f>IFERROR(__xludf.DUMMYFUNCTION("""COMPUTED_VALUE"""),"BLACK")</f>
        <v>BLACK</v>
      </c>
      <c r="G1312" s="28" t="str">
        <f>IFERROR(__xludf.DUMMYFUNCTION("""COMPUTED_VALUE"""),"First Times a Charm Cider")</f>
        <v>First Times a Charm Cider</v>
      </c>
      <c r="H1312" s="27" t="str">
        <f>IFERROR(__xludf.DUMMYFUNCTION("""COMPUTED_VALUE"""),"")</f>
        <v/>
      </c>
    </row>
    <row r="1313">
      <c r="A1313" s="17"/>
      <c r="B1313" s="23"/>
      <c r="C1313" s="17">
        <f>IFERROR(__xludf.DUMMYFUNCTION("""COMPUTED_VALUE"""),43540.8839118518)</f>
        <v>43540.88391</v>
      </c>
      <c r="D1313" s="23">
        <f>IFERROR(__xludf.DUMMYFUNCTION("""COMPUTED_VALUE"""),1.036)</f>
        <v>1.036</v>
      </c>
      <c r="E1313" s="24">
        <f>IFERROR(__xludf.DUMMYFUNCTION("""COMPUTED_VALUE"""),67.0)</f>
        <v>67</v>
      </c>
      <c r="F1313" s="27" t="str">
        <f>IFERROR(__xludf.DUMMYFUNCTION("""COMPUTED_VALUE"""),"BLACK")</f>
        <v>BLACK</v>
      </c>
      <c r="G1313" s="28" t="str">
        <f>IFERROR(__xludf.DUMMYFUNCTION("""COMPUTED_VALUE"""),"First Times a Charm Cider")</f>
        <v>First Times a Charm Cider</v>
      </c>
      <c r="H1313" s="27" t="str">
        <f>IFERROR(__xludf.DUMMYFUNCTION("""COMPUTED_VALUE"""),"")</f>
        <v/>
      </c>
    </row>
    <row r="1314">
      <c r="A1314" s="17"/>
      <c r="B1314" s="23"/>
      <c r="C1314" s="17">
        <f>IFERROR(__xludf.DUMMYFUNCTION("""COMPUTED_VALUE"""),43540.8734789814)</f>
        <v>43540.87348</v>
      </c>
      <c r="D1314" s="23">
        <f>IFERROR(__xludf.DUMMYFUNCTION("""COMPUTED_VALUE"""),1.036)</f>
        <v>1.036</v>
      </c>
      <c r="E1314" s="24">
        <f>IFERROR(__xludf.DUMMYFUNCTION("""COMPUTED_VALUE"""),67.0)</f>
        <v>67</v>
      </c>
      <c r="F1314" s="27" t="str">
        <f>IFERROR(__xludf.DUMMYFUNCTION("""COMPUTED_VALUE"""),"BLACK")</f>
        <v>BLACK</v>
      </c>
      <c r="G1314" s="28" t="str">
        <f>IFERROR(__xludf.DUMMYFUNCTION("""COMPUTED_VALUE"""),"First Times a Charm Cider")</f>
        <v>First Times a Charm Cider</v>
      </c>
      <c r="H1314" s="27" t="str">
        <f>IFERROR(__xludf.DUMMYFUNCTION("""COMPUTED_VALUE"""),"")</f>
        <v/>
      </c>
    </row>
    <row r="1315">
      <c r="A1315" s="17"/>
      <c r="B1315" s="23"/>
      <c r="C1315" s="17">
        <f>IFERROR(__xludf.DUMMYFUNCTION("""COMPUTED_VALUE"""),43540.8630584143)</f>
        <v>43540.86306</v>
      </c>
      <c r="D1315" s="23">
        <f>IFERROR(__xludf.DUMMYFUNCTION("""COMPUTED_VALUE"""),1.036)</f>
        <v>1.036</v>
      </c>
      <c r="E1315" s="24">
        <f>IFERROR(__xludf.DUMMYFUNCTION("""COMPUTED_VALUE"""),67.0)</f>
        <v>67</v>
      </c>
      <c r="F1315" s="27" t="str">
        <f>IFERROR(__xludf.DUMMYFUNCTION("""COMPUTED_VALUE"""),"BLACK")</f>
        <v>BLACK</v>
      </c>
      <c r="G1315" s="28" t="str">
        <f>IFERROR(__xludf.DUMMYFUNCTION("""COMPUTED_VALUE"""),"First Times a Charm Cider")</f>
        <v>First Times a Charm Cider</v>
      </c>
      <c r="H1315" s="27" t="str">
        <f>IFERROR(__xludf.DUMMYFUNCTION("""COMPUTED_VALUE"""),"")</f>
        <v/>
      </c>
    </row>
    <row r="1316">
      <c r="A1316" s="17"/>
      <c r="B1316" s="23"/>
      <c r="C1316" s="17">
        <f>IFERROR(__xludf.DUMMYFUNCTION("""COMPUTED_VALUE"""),43540.8526377199)</f>
        <v>43540.85264</v>
      </c>
      <c r="D1316" s="23">
        <f>IFERROR(__xludf.DUMMYFUNCTION("""COMPUTED_VALUE"""),1.036)</f>
        <v>1.036</v>
      </c>
      <c r="E1316" s="24">
        <f>IFERROR(__xludf.DUMMYFUNCTION("""COMPUTED_VALUE"""),68.0)</f>
        <v>68</v>
      </c>
      <c r="F1316" s="27" t="str">
        <f>IFERROR(__xludf.DUMMYFUNCTION("""COMPUTED_VALUE"""),"BLACK")</f>
        <v>BLACK</v>
      </c>
      <c r="G1316" s="28" t="str">
        <f>IFERROR(__xludf.DUMMYFUNCTION("""COMPUTED_VALUE"""),"First Times a Charm Cider")</f>
        <v>First Times a Charm Cider</v>
      </c>
      <c r="H1316" s="27" t="str">
        <f>IFERROR(__xludf.DUMMYFUNCTION("""COMPUTED_VALUE"""),"")</f>
        <v/>
      </c>
    </row>
    <row r="1317">
      <c r="A1317" s="17"/>
      <c r="B1317" s="23"/>
      <c r="C1317" s="17">
        <f>IFERROR(__xludf.DUMMYFUNCTION("""COMPUTED_VALUE"""),43540.842217662)</f>
        <v>43540.84222</v>
      </c>
      <c r="D1317" s="23">
        <f>IFERROR(__xludf.DUMMYFUNCTION("""COMPUTED_VALUE"""),1.036)</f>
        <v>1.036</v>
      </c>
      <c r="E1317" s="24">
        <f>IFERROR(__xludf.DUMMYFUNCTION("""COMPUTED_VALUE"""),68.0)</f>
        <v>68</v>
      </c>
      <c r="F1317" s="27" t="str">
        <f>IFERROR(__xludf.DUMMYFUNCTION("""COMPUTED_VALUE"""),"BLACK")</f>
        <v>BLACK</v>
      </c>
      <c r="G1317" s="28" t="str">
        <f>IFERROR(__xludf.DUMMYFUNCTION("""COMPUTED_VALUE"""),"First Times a Charm Cider")</f>
        <v>First Times a Charm Cider</v>
      </c>
      <c r="H1317" s="27" t="str">
        <f>IFERROR(__xludf.DUMMYFUNCTION("""COMPUTED_VALUE"""),"")</f>
        <v/>
      </c>
    </row>
    <row r="1318">
      <c r="A1318" s="17"/>
      <c r="B1318" s="23"/>
      <c r="C1318" s="17">
        <f>IFERROR(__xludf.DUMMYFUNCTION("""COMPUTED_VALUE"""),43540.831796493)</f>
        <v>43540.8318</v>
      </c>
      <c r="D1318" s="23">
        <f>IFERROR(__xludf.DUMMYFUNCTION("""COMPUTED_VALUE"""),1.036)</f>
        <v>1.036</v>
      </c>
      <c r="E1318" s="24">
        <f>IFERROR(__xludf.DUMMYFUNCTION("""COMPUTED_VALUE"""),68.0)</f>
        <v>68</v>
      </c>
      <c r="F1318" s="27" t="str">
        <f>IFERROR(__xludf.DUMMYFUNCTION("""COMPUTED_VALUE"""),"BLACK")</f>
        <v>BLACK</v>
      </c>
      <c r="G1318" s="28" t="str">
        <f>IFERROR(__xludf.DUMMYFUNCTION("""COMPUTED_VALUE"""),"First Times a Charm Cider")</f>
        <v>First Times a Charm Cider</v>
      </c>
      <c r="H1318" s="27" t="str">
        <f>IFERROR(__xludf.DUMMYFUNCTION("""COMPUTED_VALUE"""),"")</f>
        <v/>
      </c>
    </row>
    <row r="1319">
      <c r="A1319" s="17"/>
      <c r="B1319" s="23"/>
      <c r="C1319" s="17">
        <f>IFERROR(__xludf.DUMMYFUNCTION("""COMPUTED_VALUE"""),43540.8213760648)</f>
        <v>43540.82138</v>
      </c>
      <c r="D1319" s="23">
        <f>IFERROR(__xludf.DUMMYFUNCTION("""COMPUTED_VALUE"""),1.036)</f>
        <v>1.036</v>
      </c>
      <c r="E1319" s="24">
        <f>IFERROR(__xludf.DUMMYFUNCTION("""COMPUTED_VALUE"""),68.0)</f>
        <v>68</v>
      </c>
      <c r="F1319" s="27" t="str">
        <f>IFERROR(__xludf.DUMMYFUNCTION("""COMPUTED_VALUE"""),"BLACK")</f>
        <v>BLACK</v>
      </c>
      <c r="G1319" s="28" t="str">
        <f>IFERROR(__xludf.DUMMYFUNCTION("""COMPUTED_VALUE"""),"First Times a Charm Cider")</f>
        <v>First Times a Charm Cider</v>
      </c>
      <c r="H1319" s="27" t="str">
        <f>IFERROR(__xludf.DUMMYFUNCTION("""COMPUTED_VALUE"""),"")</f>
        <v/>
      </c>
    </row>
    <row r="1320">
      <c r="A1320" s="17"/>
      <c r="B1320" s="23"/>
      <c r="C1320" s="17">
        <f>IFERROR(__xludf.DUMMYFUNCTION("""COMPUTED_VALUE"""),43540.8109431828)</f>
        <v>43540.81094</v>
      </c>
      <c r="D1320" s="23">
        <f>IFERROR(__xludf.DUMMYFUNCTION("""COMPUTED_VALUE"""),1.036)</f>
        <v>1.036</v>
      </c>
      <c r="E1320" s="24">
        <f>IFERROR(__xludf.DUMMYFUNCTION("""COMPUTED_VALUE"""),68.0)</f>
        <v>68</v>
      </c>
      <c r="F1320" s="27" t="str">
        <f>IFERROR(__xludf.DUMMYFUNCTION("""COMPUTED_VALUE"""),"BLACK")</f>
        <v>BLACK</v>
      </c>
      <c r="G1320" s="28" t="str">
        <f>IFERROR(__xludf.DUMMYFUNCTION("""COMPUTED_VALUE"""),"First Times a Charm Cider")</f>
        <v>First Times a Charm Cider</v>
      </c>
      <c r="H1320" s="27" t="str">
        <f>IFERROR(__xludf.DUMMYFUNCTION("""COMPUTED_VALUE"""),"")</f>
        <v/>
      </c>
    </row>
    <row r="1321">
      <c r="A1321" s="17"/>
      <c r="B1321" s="23"/>
      <c r="C1321" s="17">
        <f>IFERROR(__xludf.DUMMYFUNCTION("""COMPUTED_VALUE"""),43540.8005229282)</f>
        <v>43540.80052</v>
      </c>
      <c r="D1321" s="23">
        <f>IFERROR(__xludf.DUMMYFUNCTION("""COMPUTED_VALUE"""),1.036)</f>
        <v>1.036</v>
      </c>
      <c r="E1321" s="24">
        <f>IFERROR(__xludf.DUMMYFUNCTION("""COMPUTED_VALUE"""),68.0)</f>
        <v>68</v>
      </c>
      <c r="F1321" s="27" t="str">
        <f>IFERROR(__xludf.DUMMYFUNCTION("""COMPUTED_VALUE"""),"BLACK")</f>
        <v>BLACK</v>
      </c>
      <c r="G1321" s="28" t="str">
        <f>IFERROR(__xludf.DUMMYFUNCTION("""COMPUTED_VALUE"""),"First Times a Charm Cider")</f>
        <v>First Times a Charm Cider</v>
      </c>
      <c r="H1321" s="27" t="str">
        <f>IFERROR(__xludf.DUMMYFUNCTION("""COMPUTED_VALUE"""),"")</f>
        <v/>
      </c>
    </row>
    <row r="1322">
      <c r="A1322" s="17"/>
      <c r="B1322" s="23"/>
      <c r="C1322" s="17">
        <f>IFERROR(__xludf.DUMMYFUNCTION("""COMPUTED_VALUE"""),43540.7901014467)</f>
        <v>43540.7901</v>
      </c>
      <c r="D1322" s="23">
        <f>IFERROR(__xludf.DUMMYFUNCTION("""COMPUTED_VALUE"""),1.036)</f>
        <v>1.036</v>
      </c>
      <c r="E1322" s="24">
        <f>IFERROR(__xludf.DUMMYFUNCTION("""COMPUTED_VALUE"""),68.0)</f>
        <v>68</v>
      </c>
      <c r="F1322" s="27" t="str">
        <f>IFERROR(__xludf.DUMMYFUNCTION("""COMPUTED_VALUE"""),"BLACK")</f>
        <v>BLACK</v>
      </c>
      <c r="G1322" s="28" t="str">
        <f>IFERROR(__xludf.DUMMYFUNCTION("""COMPUTED_VALUE"""),"First Times a Charm Cider")</f>
        <v>First Times a Charm Cider</v>
      </c>
      <c r="H1322" s="27" t="str">
        <f>IFERROR(__xludf.DUMMYFUNCTION("""COMPUTED_VALUE"""),"")</f>
        <v/>
      </c>
    </row>
    <row r="1323">
      <c r="A1323" s="17"/>
      <c r="B1323" s="23"/>
      <c r="C1323" s="17">
        <f>IFERROR(__xludf.DUMMYFUNCTION("""COMPUTED_VALUE"""),43540.7796826157)</f>
        <v>43540.77968</v>
      </c>
      <c r="D1323" s="23">
        <f>IFERROR(__xludf.DUMMYFUNCTION("""COMPUTED_VALUE"""),1.036)</f>
        <v>1.036</v>
      </c>
      <c r="E1323" s="24">
        <f>IFERROR(__xludf.DUMMYFUNCTION("""COMPUTED_VALUE"""),68.0)</f>
        <v>68</v>
      </c>
      <c r="F1323" s="27" t="str">
        <f>IFERROR(__xludf.DUMMYFUNCTION("""COMPUTED_VALUE"""),"BLACK")</f>
        <v>BLACK</v>
      </c>
      <c r="G1323" s="28" t="str">
        <f>IFERROR(__xludf.DUMMYFUNCTION("""COMPUTED_VALUE"""),"First Times a Charm Cider")</f>
        <v>First Times a Charm Cider</v>
      </c>
      <c r="H1323" s="27" t="str">
        <f>IFERROR(__xludf.DUMMYFUNCTION("""COMPUTED_VALUE"""),"")</f>
        <v/>
      </c>
    </row>
    <row r="1324">
      <c r="A1324" s="17"/>
      <c r="B1324" s="23"/>
      <c r="C1324" s="17">
        <f>IFERROR(__xludf.DUMMYFUNCTION("""COMPUTED_VALUE"""),43540.7692626504)</f>
        <v>43540.76926</v>
      </c>
      <c r="D1324" s="23">
        <f>IFERROR(__xludf.DUMMYFUNCTION("""COMPUTED_VALUE"""),1.036)</f>
        <v>1.036</v>
      </c>
      <c r="E1324" s="24">
        <f>IFERROR(__xludf.DUMMYFUNCTION("""COMPUTED_VALUE"""),68.0)</f>
        <v>68</v>
      </c>
      <c r="F1324" s="27" t="str">
        <f>IFERROR(__xludf.DUMMYFUNCTION("""COMPUTED_VALUE"""),"BLACK")</f>
        <v>BLACK</v>
      </c>
      <c r="G1324" s="28" t="str">
        <f>IFERROR(__xludf.DUMMYFUNCTION("""COMPUTED_VALUE"""),"First Times a Charm Cider")</f>
        <v>First Times a Charm Cider</v>
      </c>
      <c r="H1324" s="27" t="str">
        <f>IFERROR(__xludf.DUMMYFUNCTION("""COMPUTED_VALUE"""),"")</f>
        <v/>
      </c>
    </row>
    <row r="1325">
      <c r="A1325" s="17"/>
      <c r="B1325" s="23"/>
      <c r="C1325" s="17">
        <f>IFERROR(__xludf.DUMMYFUNCTION("""COMPUTED_VALUE"""),43540.7588418171)</f>
        <v>43540.75884</v>
      </c>
      <c r="D1325" s="23">
        <f>IFERROR(__xludf.DUMMYFUNCTION("""COMPUTED_VALUE"""),1.036)</f>
        <v>1.036</v>
      </c>
      <c r="E1325" s="24">
        <f>IFERROR(__xludf.DUMMYFUNCTION("""COMPUTED_VALUE"""),68.0)</f>
        <v>68</v>
      </c>
      <c r="F1325" s="27" t="str">
        <f>IFERROR(__xludf.DUMMYFUNCTION("""COMPUTED_VALUE"""),"BLACK")</f>
        <v>BLACK</v>
      </c>
      <c r="G1325" s="28" t="str">
        <f>IFERROR(__xludf.DUMMYFUNCTION("""COMPUTED_VALUE"""),"First Times a Charm Cider")</f>
        <v>First Times a Charm Cider</v>
      </c>
      <c r="H1325" s="27" t="str">
        <f>IFERROR(__xludf.DUMMYFUNCTION("""COMPUTED_VALUE"""),"")</f>
        <v/>
      </c>
    </row>
    <row r="1326">
      <c r="A1326" s="17"/>
      <c r="B1326" s="23"/>
      <c r="C1326" s="17">
        <f>IFERROR(__xludf.DUMMYFUNCTION("""COMPUTED_VALUE"""),43540.7484217939)</f>
        <v>43540.74842</v>
      </c>
      <c r="D1326" s="23">
        <f>IFERROR(__xludf.DUMMYFUNCTION("""COMPUTED_VALUE"""),1.036)</f>
        <v>1.036</v>
      </c>
      <c r="E1326" s="24">
        <f>IFERROR(__xludf.DUMMYFUNCTION("""COMPUTED_VALUE"""),68.0)</f>
        <v>68</v>
      </c>
      <c r="F1326" s="27" t="str">
        <f>IFERROR(__xludf.DUMMYFUNCTION("""COMPUTED_VALUE"""),"BLACK")</f>
        <v>BLACK</v>
      </c>
      <c r="G1326" s="28" t="str">
        <f>IFERROR(__xludf.DUMMYFUNCTION("""COMPUTED_VALUE"""),"First Times a Charm Cider")</f>
        <v>First Times a Charm Cider</v>
      </c>
      <c r="H1326" s="27" t="str">
        <f>IFERROR(__xludf.DUMMYFUNCTION("""COMPUTED_VALUE"""),"")</f>
        <v/>
      </c>
    </row>
    <row r="1327">
      <c r="A1327" s="17"/>
      <c r="B1327" s="23"/>
      <c r="C1327" s="17">
        <f>IFERROR(__xludf.DUMMYFUNCTION("""COMPUTED_VALUE"""),43540.738000243)</f>
        <v>43540.738</v>
      </c>
      <c r="D1327" s="23">
        <f>IFERROR(__xludf.DUMMYFUNCTION("""COMPUTED_VALUE"""),1.036)</f>
        <v>1.036</v>
      </c>
      <c r="E1327" s="24">
        <f>IFERROR(__xludf.DUMMYFUNCTION("""COMPUTED_VALUE"""),68.0)</f>
        <v>68</v>
      </c>
      <c r="F1327" s="27" t="str">
        <f>IFERROR(__xludf.DUMMYFUNCTION("""COMPUTED_VALUE"""),"BLACK")</f>
        <v>BLACK</v>
      </c>
      <c r="G1327" s="28" t="str">
        <f>IFERROR(__xludf.DUMMYFUNCTION("""COMPUTED_VALUE"""),"First Times a Charm Cider")</f>
        <v>First Times a Charm Cider</v>
      </c>
      <c r="H1327" s="27" t="str">
        <f>IFERROR(__xludf.DUMMYFUNCTION("""COMPUTED_VALUE"""),"")</f>
        <v/>
      </c>
    </row>
    <row r="1328">
      <c r="A1328" s="17"/>
      <c r="B1328" s="23"/>
      <c r="C1328" s="17">
        <f>IFERROR(__xludf.DUMMYFUNCTION("""COMPUTED_VALUE"""),43540.7275787847)</f>
        <v>43540.72758</v>
      </c>
      <c r="D1328" s="23">
        <f>IFERROR(__xludf.DUMMYFUNCTION("""COMPUTED_VALUE"""),1.036)</f>
        <v>1.036</v>
      </c>
      <c r="E1328" s="24">
        <f>IFERROR(__xludf.DUMMYFUNCTION("""COMPUTED_VALUE"""),68.0)</f>
        <v>68</v>
      </c>
      <c r="F1328" s="27" t="str">
        <f>IFERROR(__xludf.DUMMYFUNCTION("""COMPUTED_VALUE"""),"BLACK")</f>
        <v>BLACK</v>
      </c>
      <c r="G1328" s="28" t="str">
        <f>IFERROR(__xludf.DUMMYFUNCTION("""COMPUTED_VALUE"""),"First Times a Charm Cider")</f>
        <v>First Times a Charm Cider</v>
      </c>
      <c r="H1328" s="27" t="str">
        <f>IFERROR(__xludf.DUMMYFUNCTION("""COMPUTED_VALUE"""),"")</f>
        <v/>
      </c>
    </row>
    <row r="1329">
      <c r="A1329" s="17"/>
      <c r="B1329" s="23"/>
      <c r="C1329" s="17">
        <f>IFERROR(__xludf.DUMMYFUNCTION("""COMPUTED_VALUE"""),43540.7171467939)</f>
        <v>43540.71715</v>
      </c>
      <c r="D1329" s="23">
        <f>IFERROR(__xludf.DUMMYFUNCTION("""COMPUTED_VALUE"""),1.036)</f>
        <v>1.036</v>
      </c>
      <c r="E1329" s="24">
        <f>IFERROR(__xludf.DUMMYFUNCTION("""COMPUTED_VALUE"""),68.0)</f>
        <v>68</v>
      </c>
      <c r="F1329" s="27" t="str">
        <f>IFERROR(__xludf.DUMMYFUNCTION("""COMPUTED_VALUE"""),"BLACK")</f>
        <v>BLACK</v>
      </c>
      <c r="G1329" s="28" t="str">
        <f>IFERROR(__xludf.DUMMYFUNCTION("""COMPUTED_VALUE"""),"First Times a Charm Cider")</f>
        <v>First Times a Charm Cider</v>
      </c>
      <c r="H1329" s="27" t="str">
        <f>IFERROR(__xludf.DUMMYFUNCTION("""COMPUTED_VALUE"""),"")</f>
        <v/>
      </c>
    </row>
    <row r="1330">
      <c r="A1330" s="17"/>
      <c r="B1330" s="23"/>
      <c r="C1330" s="17">
        <f>IFERROR(__xludf.DUMMYFUNCTION("""COMPUTED_VALUE"""),43540.7067129861)</f>
        <v>43540.70671</v>
      </c>
      <c r="D1330" s="23">
        <f>IFERROR(__xludf.DUMMYFUNCTION("""COMPUTED_VALUE"""),1.036)</f>
        <v>1.036</v>
      </c>
      <c r="E1330" s="24">
        <f>IFERROR(__xludf.DUMMYFUNCTION("""COMPUTED_VALUE"""),68.0)</f>
        <v>68</v>
      </c>
      <c r="F1330" s="27" t="str">
        <f>IFERROR(__xludf.DUMMYFUNCTION("""COMPUTED_VALUE"""),"BLACK")</f>
        <v>BLACK</v>
      </c>
      <c r="G1330" s="28" t="str">
        <f>IFERROR(__xludf.DUMMYFUNCTION("""COMPUTED_VALUE"""),"First Times a Charm Cider")</f>
        <v>First Times a Charm Cider</v>
      </c>
      <c r="H1330" s="27" t="str">
        <f>IFERROR(__xludf.DUMMYFUNCTION("""COMPUTED_VALUE"""),"")</f>
        <v/>
      </c>
    </row>
    <row r="1331">
      <c r="A1331" s="17"/>
      <c r="B1331" s="23"/>
      <c r="C1331" s="17">
        <f>IFERROR(__xludf.DUMMYFUNCTION("""COMPUTED_VALUE"""),43540.6962925925)</f>
        <v>43540.69629</v>
      </c>
      <c r="D1331" s="23">
        <f>IFERROR(__xludf.DUMMYFUNCTION("""COMPUTED_VALUE"""),1.037)</f>
        <v>1.037</v>
      </c>
      <c r="E1331" s="24">
        <f>IFERROR(__xludf.DUMMYFUNCTION("""COMPUTED_VALUE"""),68.0)</f>
        <v>68</v>
      </c>
      <c r="F1331" s="27" t="str">
        <f>IFERROR(__xludf.DUMMYFUNCTION("""COMPUTED_VALUE"""),"BLACK")</f>
        <v>BLACK</v>
      </c>
      <c r="G1331" s="28" t="str">
        <f>IFERROR(__xludf.DUMMYFUNCTION("""COMPUTED_VALUE"""),"First Times a Charm Cider")</f>
        <v>First Times a Charm Cider</v>
      </c>
      <c r="H1331" s="27" t="str">
        <f>IFERROR(__xludf.DUMMYFUNCTION("""COMPUTED_VALUE"""),"")</f>
        <v/>
      </c>
    </row>
    <row r="1332">
      <c r="A1332" s="17"/>
      <c r="B1332" s="23"/>
      <c r="C1332" s="17">
        <f>IFERROR(__xludf.DUMMYFUNCTION("""COMPUTED_VALUE"""),43540.6858716666)</f>
        <v>43540.68587</v>
      </c>
      <c r="D1332" s="23">
        <f>IFERROR(__xludf.DUMMYFUNCTION("""COMPUTED_VALUE"""),1.037)</f>
        <v>1.037</v>
      </c>
      <c r="E1332" s="24">
        <f>IFERROR(__xludf.DUMMYFUNCTION("""COMPUTED_VALUE"""),68.0)</f>
        <v>68</v>
      </c>
      <c r="F1332" s="27" t="str">
        <f>IFERROR(__xludf.DUMMYFUNCTION("""COMPUTED_VALUE"""),"BLACK")</f>
        <v>BLACK</v>
      </c>
      <c r="G1332" s="28" t="str">
        <f>IFERROR(__xludf.DUMMYFUNCTION("""COMPUTED_VALUE"""),"First Times a Charm Cider")</f>
        <v>First Times a Charm Cider</v>
      </c>
      <c r="H1332" s="27" t="str">
        <f>IFERROR(__xludf.DUMMYFUNCTION("""COMPUTED_VALUE"""),"")</f>
        <v/>
      </c>
    </row>
    <row r="1333">
      <c r="A1333" s="17"/>
      <c r="B1333" s="23"/>
      <c r="C1333" s="17">
        <f>IFERROR(__xludf.DUMMYFUNCTION("""COMPUTED_VALUE"""),43540.6754502314)</f>
        <v>43540.67545</v>
      </c>
      <c r="D1333" s="23">
        <f>IFERROR(__xludf.DUMMYFUNCTION("""COMPUTED_VALUE"""),1.037)</f>
        <v>1.037</v>
      </c>
      <c r="E1333" s="24">
        <f>IFERROR(__xludf.DUMMYFUNCTION("""COMPUTED_VALUE"""),68.0)</f>
        <v>68</v>
      </c>
      <c r="F1333" s="27" t="str">
        <f>IFERROR(__xludf.DUMMYFUNCTION("""COMPUTED_VALUE"""),"BLACK")</f>
        <v>BLACK</v>
      </c>
      <c r="G1333" s="28" t="str">
        <f>IFERROR(__xludf.DUMMYFUNCTION("""COMPUTED_VALUE"""),"First Times a Charm Cider")</f>
        <v>First Times a Charm Cider</v>
      </c>
      <c r="H1333" s="27" t="str">
        <f>IFERROR(__xludf.DUMMYFUNCTION("""COMPUTED_VALUE"""),"")</f>
        <v/>
      </c>
    </row>
    <row r="1334">
      <c r="A1334" s="17"/>
      <c r="B1334" s="23"/>
      <c r="C1334" s="17">
        <f>IFERROR(__xludf.DUMMYFUNCTION("""COMPUTED_VALUE"""),43540.6650290393)</f>
        <v>43540.66503</v>
      </c>
      <c r="D1334" s="23">
        <f>IFERROR(__xludf.DUMMYFUNCTION("""COMPUTED_VALUE"""),1.037)</f>
        <v>1.037</v>
      </c>
      <c r="E1334" s="24">
        <f>IFERROR(__xludf.DUMMYFUNCTION("""COMPUTED_VALUE"""),68.0)</f>
        <v>68</v>
      </c>
      <c r="F1334" s="27" t="str">
        <f>IFERROR(__xludf.DUMMYFUNCTION("""COMPUTED_VALUE"""),"BLACK")</f>
        <v>BLACK</v>
      </c>
      <c r="G1334" s="28" t="str">
        <f>IFERROR(__xludf.DUMMYFUNCTION("""COMPUTED_VALUE"""),"First Times a Charm Cider")</f>
        <v>First Times a Charm Cider</v>
      </c>
      <c r="H1334" s="27" t="str">
        <f>IFERROR(__xludf.DUMMYFUNCTION("""COMPUTED_VALUE"""),"")</f>
        <v/>
      </c>
    </row>
    <row r="1335">
      <c r="A1335" s="17"/>
      <c r="B1335" s="23"/>
      <c r="C1335" s="17">
        <f>IFERROR(__xludf.DUMMYFUNCTION("""COMPUTED_VALUE"""),43540.6546074884)</f>
        <v>43540.65461</v>
      </c>
      <c r="D1335" s="23">
        <f>IFERROR(__xludf.DUMMYFUNCTION("""COMPUTED_VALUE"""),1.037)</f>
        <v>1.037</v>
      </c>
      <c r="E1335" s="24">
        <f>IFERROR(__xludf.DUMMYFUNCTION("""COMPUTED_VALUE"""),68.0)</f>
        <v>68</v>
      </c>
      <c r="F1335" s="27" t="str">
        <f>IFERROR(__xludf.DUMMYFUNCTION("""COMPUTED_VALUE"""),"BLACK")</f>
        <v>BLACK</v>
      </c>
      <c r="G1335" s="28" t="str">
        <f>IFERROR(__xludf.DUMMYFUNCTION("""COMPUTED_VALUE"""),"First Times a Charm Cider")</f>
        <v>First Times a Charm Cider</v>
      </c>
      <c r="H1335" s="27" t="str">
        <f>IFERROR(__xludf.DUMMYFUNCTION("""COMPUTED_VALUE"""),"")</f>
        <v/>
      </c>
    </row>
    <row r="1336">
      <c r="A1336" s="17"/>
      <c r="B1336" s="23"/>
      <c r="C1336" s="17">
        <f>IFERROR(__xludf.DUMMYFUNCTION("""COMPUTED_VALUE"""),43540.6441864236)</f>
        <v>43540.64419</v>
      </c>
      <c r="D1336" s="23">
        <f>IFERROR(__xludf.DUMMYFUNCTION("""COMPUTED_VALUE"""),1.037)</f>
        <v>1.037</v>
      </c>
      <c r="E1336" s="24">
        <f>IFERROR(__xludf.DUMMYFUNCTION("""COMPUTED_VALUE"""),68.0)</f>
        <v>68</v>
      </c>
      <c r="F1336" s="27" t="str">
        <f>IFERROR(__xludf.DUMMYFUNCTION("""COMPUTED_VALUE"""),"BLACK")</f>
        <v>BLACK</v>
      </c>
      <c r="G1336" s="28" t="str">
        <f>IFERROR(__xludf.DUMMYFUNCTION("""COMPUTED_VALUE"""),"First Times a Charm Cider")</f>
        <v>First Times a Charm Cider</v>
      </c>
      <c r="H1336" s="27" t="str">
        <f>IFERROR(__xludf.DUMMYFUNCTION("""COMPUTED_VALUE"""),"")</f>
        <v/>
      </c>
    </row>
    <row r="1337">
      <c r="A1337" s="17"/>
      <c r="B1337" s="23"/>
      <c r="C1337" s="17">
        <f>IFERROR(__xludf.DUMMYFUNCTION("""COMPUTED_VALUE"""),43540.633753368)</f>
        <v>43540.63375</v>
      </c>
      <c r="D1337" s="23">
        <f>IFERROR(__xludf.DUMMYFUNCTION("""COMPUTED_VALUE"""),1.037)</f>
        <v>1.037</v>
      </c>
      <c r="E1337" s="24">
        <f>IFERROR(__xludf.DUMMYFUNCTION("""COMPUTED_VALUE"""),68.0)</f>
        <v>68</v>
      </c>
      <c r="F1337" s="27" t="str">
        <f>IFERROR(__xludf.DUMMYFUNCTION("""COMPUTED_VALUE"""),"BLACK")</f>
        <v>BLACK</v>
      </c>
      <c r="G1337" s="28" t="str">
        <f>IFERROR(__xludf.DUMMYFUNCTION("""COMPUTED_VALUE"""),"First Times a Charm Cider")</f>
        <v>First Times a Charm Cider</v>
      </c>
      <c r="H1337" s="27" t="str">
        <f>IFERROR(__xludf.DUMMYFUNCTION("""COMPUTED_VALUE"""),"")</f>
        <v/>
      </c>
    </row>
    <row r="1338">
      <c r="A1338" s="17"/>
      <c r="B1338" s="23"/>
      <c r="C1338" s="17">
        <f>IFERROR(__xludf.DUMMYFUNCTION("""COMPUTED_VALUE"""),43540.6233203009)</f>
        <v>43540.62332</v>
      </c>
      <c r="D1338" s="23">
        <f>IFERROR(__xludf.DUMMYFUNCTION("""COMPUTED_VALUE"""),1.037)</f>
        <v>1.037</v>
      </c>
      <c r="E1338" s="24">
        <f>IFERROR(__xludf.DUMMYFUNCTION("""COMPUTED_VALUE"""),68.0)</f>
        <v>68</v>
      </c>
      <c r="F1338" s="27" t="str">
        <f>IFERROR(__xludf.DUMMYFUNCTION("""COMPUTED_VALUE"""),"BLACK")</f>
        <v>BLACK</v>
      </c>
      <c r="G1338" s="28" t="str">
        <f>IFERROR(__xludf.DUMMYFUNCTION("""COMPUTED_VALUE"""),"First Times a Charm Cider")</f>
        <v>First Times a Charm Cider</v>
      </c>
      <c r="H1338" s="27" t="str">
        <f>IFERROR(__xludf.DUMMYFUNCTION("""COMPUTED_VALUE"""),"")</f>
        <v/>
      </c>
    </row>
    <row r="1339">
      <c r="A1339" s="17"/>
      <c r="B1339" s="23"/>
      <c r="C1339" s="17">
        <f>IFERROR(__xludf.DUMMYFUNCTION("""COMPUTED_VALUE"""),43540.6128992592)</f>
        <v>43540.6129</v>
      </c>
      <c r="D1339" s="23">
        <f>IFERROR(__xludf.DUMMYFUNCTION("""COMPUTED_VALUE"""),1.037)</f>
        <v>1.037</v>
      </c>
      <c r="E1339" s="24">
        <f>IFERROR(__xludf.DUMMYFUNCTION("""COMPUTED_VALUE"""),69.0)</f>
        <v>69</v>
      </c>
      <c r="F1339" s="27" t="str">
        <f>IFERROR(__xludf.DUMMYFUNCTION("""COMPUTED_VALUE"""),"BLACK")</f>
        <v>BLACK</v>
      </c>
      <c r="G1339" s="28" t="str">
        <f>IFERROR(__xludf.DUMMYFUNCTION("""COMPUTED_VALUE"""),"First Times a Charm Cider")</f>
        <v>First Times a Charm Cider</v>
      </c>
      <c r="H1339" s="27" t="str">
        <f>IFERROR(__xludf.DUMMYFUNCTION("""COMPUTED_VALUE"""),"")</f>
        <v/>
      </c>
    </row>
    <row r="1340">
      <c r="A1340" s="17"/>
      <c r="B1340" s="23"/>
      <c r="C1340" s="17">
        <f>IFERROR(__xludf.DUMMYFUNCTION("""COMPUTED_VALUE"""),43540.6024778587)</f>
        <v>43540.60248</v>
      </c>
      <c r="D1340" s="23">
        <f>IFERROR(__xludf.DUMMYFUNCTION("""COMPUTED_VALUE"""),1.037)</f>
        <v>1.037</v>
      </c>
      <c r="E1340" s="24">
        <f>IFERROR(__xludf.DUMMYFUNCTION("""COMPUTED_VALUE"""),68.0)</f>
        <v>68</v>
      </c>
      <c r="F1340" s="27" t="str">
        <f>IFERROR(__xludf.DUMMYFUNCTION("""COMPUTED_VALUE"""),"BLACK")</f>
        <v>BLACK</v>
      </c>
      <c r="G1340" s="28" t="str">
        <f>IFERROR(__xludf.DUMMYFUNCTION("""COMPUTED_VALUE"""),"First Times a Charm Cider")</f>
        <v>First Times a Charm Cider</v>
      </c>
      <c r="H1340" s="27" t="str">
        <f>IFERROR(__xludf.DUMMYFUNCTION("""COMPUTED_VALUE"""),"")</f>
        <v/>
      </c>
    </row>
    <row r="1341">
      <c r="A1341" s="17"/>
      <c r="B1341" s="23"/>
      <c r="C1341" s="17">
        <f>IFERROR(__xludf.DUMMYFUNCTION("""COMPUTED_VALUE"""),43540.5920458796)</f>
        <v>43540.59205</v>
      </c>
      <c r="D1341" s="23">
        <f>IFERROR(__xludf.DUMMYFUNCTION("""COMPUTED_VALUE"""),1.037)</f>
        <v>1.037</v>
      </c>
      <c r="E1341" s="24">
        <f>IFERROR(__xludf.DUMMYFUNCTION("""COMPUTED_VALUE"""),68.0)</f>
        <v>68</v>
      </c>
      <c r="F1341" s="27" t="str">
        <f>IFERROR(__xludf.DUMMYFUNCTION("""COMPUTED_VALUE"""),"BLACK")</f>
        <v>BLACK</v>
      </c>
      <c r="G1341" s="28" t="str">
        <f>IFERROR(__xludf.DUMMYFUNCTION("""COMPUTED_VALUE"""),"First Times a Charm Cider")</f>
        <v>First Times a Charm Cider</v>
      </c>
      <c r="H1341" s="27" t="str">
        <f>IFERROR(__xludf.DUMMYFUNCTION("""COMPUTED_VALUE"""),"")</f>
        <v/>
      </c>
    </row>
    <row r="1342">
      <c r="A1342" s="17"/>
      <c r="B1342" s="23"/>
      <c r="C1342" s="17">
        <f>IFERROR(__xludf.DUMMYFUNCTION("""COMPUTED_VALUE"""),43540.581614155)</f>
        <v>43540.58161</v>
      </c>
      <c r="D1342" s="23">
        <f>IFERROR(__xludf.DUMMYFUNCTION("""COMPUTED_VALUE"""),1.037)</f>
        <v>1.037</v>
      </c>
      <c r="E1342" s="24">
        <f>IFERROR(__xludf.DUMMYFUNCTION("""COMPUTED_VALUE"""),68.0)</f>
        <v>68</v>
      </c>
      <c r="F1342" s="27" t="str">
        <f>IFERROR(__xludf.DUMMYFUNCTION("""COMPUTED_VALUE"""),"BLACK")</f>
        <v>BLACK</v>
      </c>
      <c r="G1342" s="28" t="str">
        <f>IFERROR(__xludf.DUMMYFUNCTION("""COMPUTED_VALUE"""),"First Times a Charm Cider")</f>
        <v>First Times a Charm Cider</v>
      </c>
      <c r="H1342" s="27" t="str">
        <f>IFERROR(__xludf.DUMMYFUNCTION("""COMPUTED_VALUE"""),"")</f>
        <v/>
      </c>
    </row>
    <row r="1343">
      <c r="A1343" s="17"/>
      <c r="B1343" s="23"/>
      <c r="C1343" s="17">
        <f>IFERROR(__xludf.DUMMYFUNCTION("""COMPUTED_VALUE"""),43540.5711930324)</f>
        <v>43540.57119</v>
      </c>
      <c r="D1343" s="23">
        <f>IFERROR(__xludf.DUMMYFUNCTION("""COMPUTED_VALUE"""),1.037)</f>
        <v>1.037</v>
      </c>
      <c r="E1343" s="24">
        <f>IFERROR(__xludf.DUMMYFUNCTION("""COMPUTED_VALUE"""),69.0)</f>
        <v>69</v>
      </c>
      <c r="F1343" s="27" t="str">
        <f>IFERROR(__xludf.DUMMYFUNCTION("""COMPUTED_VALUE"""),"BLACK")</f>
        <v>BLACK</v>
      </c>
      <c r="G1343" s="28" t="str">
        <f>IFERROR(__xludf.DUMMYFUNCTION("""COMPUTED_VALUE"""),"First Times a Charm Cider")</f>
        <v>First Times a Charm Cider</v>
      </c>
      <c r="H1343" s="27" t="str">
        <f>IFERROR(__xludf.DUMMYFUNCTION("""COMPUTED_VALUE"""),"")</f>
        <v/>
      </c>
    </row>
    <row r="1344">
      <c r="A1344" s="17"/>
      <c r="B1344" s="23"/>
      <c r="C1344" s="17">
        <f>IFERROR(__xludf.DUMMYFUNCTION("""COMPUTED_VALUE"""),43540.5607705787)</f>
        <v>43540.56077</v>
      </c>
      <c r="D1344" s="23">
        <f>IFERROR(__xludf.DUMMYFUNCTION("""COMPUTED_VALUE"""),1.036)</f>
        <v>1.036</v>
      </c>
      <c r="E1344" s="24">
        <f>IFERROR(__xludf.DUMMYFUNCTION("""COMPUTED_VALUE"""),69.0)</f>
        <v>69</v>
      </c>
      <c r="F1344" s="27" t="str">
        <f>IFERROR(__xludf.DUMMYFUNCTION("""COMPUTED_VALUE"""),"BLACK")</f>
        <v>BLACK</v>
      </c>
      <c r="G1344" s="28" t="str">
        <f>IFERROR(__xludf.DUMMYFUNCTION("""COMPUTED_VALUE"""),"First Times a Charm Cider")</f>
        <v>First Times a Charm Cider</v>
      </c>
      <c r="H1344" s="27" t="str">
        <f>IFERROR(__xludf.DUMMYFUNCTION("""COMPUTED_VALUE"""),"")</f>
        <v/>
      </c>
    </row>
    <row r="1345">
      <c r="A1345" s="17"/>
      <c r="B1345" s="23"/>
      <c r="C1345" s="17">
        <f>IFERROR(__xludf.DUMMYFUNCTION("""COMPUTED_VALUE"""),43540.5503490046)</f>
        <v>43540.55035</v>
      </c>
      <c r="D1345" s="23">
        <f>IFERROR(__xludf.DUMMYFUNCTION("""COMPUTED_VALUE"""),1.037)</f>
        <v>1.037</v>
      </c>
      <c r="E1345" s="24">
        <f>IFERROR(__xludf.DUMMYFUNCTION("""COMPUTED_VALUE"""),69.0)</f>
        <v>69</v>
      </c>
      <c r="F1345" s="27" t="str">
        <f>IFERROR(__xludf.DUMMYFUNCTION("""COMPUTED_VALUE"""),"BLACK")</f>
        <v>BLACK</v>
      </c>
      <c r="G1345" s="28" t="str">
        <f>IFERROR(__xludf.DUMMYFUNCTION("""COMPUTED_VALUE"""),"First Times a Charm Cider")</f>
        <v>First Times a Charm Cider</v>
      </c>
      <c r="H1345" s="27" t="str">
        <f>IFERROR(__xludf.DUMMYFUNCTION("""COMPUTED_VALUE"""),"")</f>
        <v/>
      </c>
    </row>
    <row r="1346">
      <c r="A1346" s="17"/>
      <c r="B1346" s="23"/>
      <c r="C1346" s="17">
        <f>IFERROR(__xludf.DUMMYFUNCTION("""COMPUTED_VALUE"""),43540.5399154282)</f>
        <v>43540.53992</v>
      </c>
      <c r="D1346" s="23">
        <f>IFERROR(__xludf.DUMMYFUNCTION("""COMPUTED_VALUE"""),1.037)</f>
        <v>1.037</v>
      </c>
      <c r="E1346" s="24">
        <f>IFERROR(__xludf.DUMMYFUNCTION("""COMPUTED_VALUE"""),69.0)</f>
        <v>69</v>
      </c>
      <c r="F1346" s="27" t="str">
        <f>IFERROR(__xludf.DUMMYFUNCTION("""COMPUTED_VALUE"""),"BLACK")</f>
        <v>BLACK</v>
      </c>
      <c r="G1346" s="28" t="str">
        <f>IFERROR(__xludf.DUMMYFUNCTION("""COMPUTED_VALUE"""),"First Times a Charm Cider")</f>
        <v>First Times a Charm Cider</v>
      </c>
      <c r="H1346" s="27" t="str">
        <f>IFERROR(__xludf.DUMMYFUNCTION("""COMPUTED_VALUE"""),"")</f>
        <v/>
      </c>
    </row>
    <row r="1347">
      <c r="A1347" s="17"/>
      <c r="B1347" s="23"/>
      <c r="C1347" s="17">
        <f>IFERROR(__xludf.DUMMYFUNCTION("""COMPUTED_VALUE"""),43540.5294950347)</f>
        <v>43540.5295</v>
      </c>
      <c r="D1347" s="23">
        <f>IFERROR(__xludf.DUMMYFUNCTION("""COMPUTED_VALUE"""),1.037)</f>
        <v>1.037</v>
      </c>
      <c r="E1347" s="24">
        <f>IFERROR(__xludf.DUMMYFUNCTION("""COMPUTED_VALUE"""),69.0)</f>
        <v>69</v>
      </c>
      <c r="F1347" s="27" t="str">
        <f>IFERROR(__xludf.DUMMYFUNCTION("""COMPUTED_VALUE"""),"BLACK")</f>
        <v>BLACK</v>
      </c>
      <c r="G1347" s="28" t="str">
        <f>IFERROR(__xludf.DUMMYFUNCTION("""COMPUTED_VALUE"""),"First Times a Charm Cider")</f>
        <v>First Times a Charm Cider</v>
      </c>
      <c r="H1347" s="27" t="str">
        <f>IFERROR(__xludf.DUMMYFUNCTION("""COMPUTED_VALUE"""),"")</f>
        <v/>
      </c>
    </row>
    <row r="1348">
      <c r="A1348" s="17"/>
      <c r="B1348" s="23"/>
      <c r="C1348" s="17">
        <f>IFERROR(__xludf.DUMMYFUNCTION("""COMPUTED_VALUE"""),43540.5190736111)</f>
        <v>43540.51907</v>
      </c>
      <c r="D1348" s="23">
        <f>IFERROR(__xludf.DUMMYFUNCTION("""COMPUTED_VALUE"""),1.037)</f>
        <v>1.037</v>
      </c>
      <c r="E1348" s="24">
        <f>IFERROR(__xludf.DUMMYFUNCTION("""COMPUTED_VALUE"""),69.0)</f>
        <v>69</v>
      </c>
      <c r="F1348" s="27" t="str">
        <f>IFERROR(__xludf.DUMMYFUNCTION("""COMPUTED_VALUE"""),"BLACK")</f>
        <v>BLACK</v>
      </c>
      <c r="G1348" s="28" t="str">
        <f>IFERROR(__xludf.DUMMYFUNCTION("""COMPUTED_VALUE"""),"First Times a Charm Cider")</f>
        <v>First Times a Charm Cider</v>
      </c>
      <c r="H1348" s="27" t="str">
        <f>IFERROR(__xludf.DUMMYFUNCTION("""COMPUTED_VALUE"""),"")</f>
        <v/>
      </c>
    </row>
    <row r="1349">
      <c r="A1349" s="17"/>
      <c r="B1349" s="23"/>
      <c r="C1349" s="17">
        <f>IFERROR(__xludf.DUMMYFUNCTION("""COMPUTED_VALUE"""),43540.508650787)</f>
        <v>43540.50865</v>
      </c>
      <c r="D1349" s="23">
        <f>IFERROR(__xludf.DUMMYFUNCTION("""COMPUTED_VALUE"""),1.037)</f>
        <v>1.037</v>
      </c>
      <c r="E1349" s="24">
        <f>IFERROR(__xludf.DUMMYFUNCTION("""COMPUTED_VALUE"""),69.0)</f>
        <v>69</v>
      </c>
      <c r="F1349" s="27" t="str">
        <f>IFERROR(__xludf.DUMMYFUNCTION("""COMPUTED_VALUE"""),"BLACK")</f>
        <v>BLACK</v>
      </c>
      <c r="G1349" s="28" t="str">
        <f>IFERROR(__xludf.DUMMYFUNCTION("""COMPUTED_VALUE"""),"First Times a Charm Cider")</f>
        <v>First Times a Charm Cider</v>
      </c>
      <c r="H1349" s="27" t="str">
        <f>IFERROR(__xludf.DUMMYFUNCTION("""COMPUTED_VALUE"""),"")</f>
        <v/>
      </c>
    </row>
    <row r="1350">
      <c r="A1350" s="17"/>
      <c r="B1350" s="23"/>
      <c r="C1350" s="17">
        <f>IFERROR(__xludf.DUMMYFUNCTION("""COMPUTED_VALUE"""),43540.4982301967)</f>
        <v>43540.49823</v>
      </c>
      <c r="D1350" s="23">
        <f>IFERROR(__xludf.DUMMYFUNCTION("""COMPUTED_VALUE"""),1.037)</f>
        <v>1.037</v>
      </c>
      <c r="E1350" s="24">
        <f>IFERROR(__xludf.DUMMYFUNCTION("""COMPUTED_VALUE"""),69.0)</f>
        <v>69</v>
      </c>
      <c r="F1350" s="27" t="str">
        <f>IFERROR(__xludf.DUMMYFUNCTION("""COMPUTED_VALUE"""),"BLACK")</f>
        <v>BLACK</v>
      </c>
      <c r="G1350" s="28" t="str">
        <f>IFERROR(__xludf.DUMMYFUNCTION("""COMPUTED_VALUE"""),"First Times a Charm Cider")</f>
        <v>First Times a Charm Cider</v>
      </c>
      <c r="H1350" s="27" t="str">
        <f>IFERROR(__xludf.DUMMYFUNCTION("""COMPUTED_VALUE"""),"")</f>
        <v/>
      </c>
    </row>
    <row r="1351">
      <c r="A1351" s="17"/>
      <c r="B1351" s="23"/>
      <c r="C1351" s="17">
        <f>IFERROR(__xludf.DUMMYFUNCTION("""COMPUTED_VALUE"""),43540.4878088425)</f>
        <v>43540.48781</v>
      </c>
      <c r="D1351" s="23">
        <f>IFERROR(__xludf.DUMMYFUNCTION("""COMPUTED_VALUE"""),1.037)</f>
        <v>1.037</v>
      </c>
      <c r="E1351" s="24">
        <f>IFERROR(__xludf.DUMMYFUNCTION("""COMPUTED_VALUE"""),69.0)</f>
        <v>69</v>
      </c>
      <c r="F1351" s="27" t="str">
        <f>IFERROR(__xludf.DUMMYFUNCTION("""COMPUTED_VALUE"""),"BLACK")</f>
        <v>BLACK</v>
      </c>
      <c r="G1351" s="28" t="str">
        <f>IFERROR(__xludf.DUMMYFUNCTION("""COMPUTED_VALUE"""),"First Times a Charm Cider")</f>
        <v>First Times a Charm Cider</v>
      </c>
      <c r="H1351" s="27" t="str">
        <f>IFERROR(__xludf.DUMMYFUNCTION("""COMPUTED_VALUE"""),"")</f>
        <v/>
      </c>
    </row>
    <row r="1352">
      <c r="A1352" s="17"/>
      <c r="B1352" s="23"/>
      <c r="C1352" s="17">
        <f>IFERROR(__xludf.DUMMYFUNCTION("""COMPUTED_VALUE"""),43540.4773766435)</f>
        <v>43540.47738</v>
      </c>
      <c r="D1352" s="23">
        <f>IFERROR(__xludf.DUMMYFUNCTION("""COMPUTED_VALUE"""),1.037)</f>
        <v>1.037</v>
      </c>
      <c r="E1352" s="24">
        <f>IFERROR(__xludf.DUMMYFUNCTION("""COMPUTED_VALUE"""),69.0)</f>
        <v>69</v>
      </c>
      <c r="F1352" s="27" t="str">
        <f>IFERROR(__xludf.DUMMYFUNCTION("""COMPUTED_VALUE"""),"BLACK")</f>
        <v>BLACK</v>
      </c>
      <c r="G1352" s="28" t="str">
        <f>IFERROR(__xludf.DUMMYFUNCTION("""COMPUTED_VALUE"""),"First Times a Charm Cider")</f>
        <v>First Times a Charm Cider</v>
      </c>
      <c r="H1352" s="27" t="str">
        <f>IFERROR(__xludf.DUMMYFUNCTION("""COMPUTED_VALUE"""),"")</f>
        <v/>
      </c>
    </row>
    <row r="1353">
      <c r="A1353" s="17"/>
      <c r="B1353" s="23"/>
      <c r="C1353" s="17">
        <f>IFERROR(__xludf.DUMMYFUNCTION("""COMPUTED_VALUE"""),43540.4669561458)</f>
        <v>43540.46696</v>
      </c>
      <c r="D1353" s="23">
        <f>IFERROR(__xludf.DUMMYFUNCTION("""COMPUTED_VALUE"""),1.037)</f>
        <v>1.037</v>
      </c>
      <c r="E1353" s="24">
        <f>IFERROR(__xludf.DUMMYFUNCTION("""COMPUTED_VALUE"""),69.0)</f>
        <v>69</v>
      </c>
      <c r="F1353" s="27" t="str">
        <f>IFERROR(__xludf.DUMMYFUNCTION("""COMPUTED_VALUE"""),"BLACK")</f>
        <v>BLACK</v>
      </c>
      <c r="G1353" s="28" t="str">
        <f>IFERROR(__xludf.DUMMYFUNCTION("""COMPUTED_VALUE"""),"First Times a Charm Cider")</f>
        <v>First Times a Charm Cider</v>
      </c>
      <c r="H1353" s="27" t="str">
        <f>IFERROR(__xludf.DUMMYFUNCTION("""COMPUTED_VALUE"""),"")</f>
        <v/>
      </c>
    </row>
    <row r="1354">
      <c r="A1354" s="17"/>
      <c r="B1354" s="23"/>
      <c r="C1354" s="17">
        <f>IFERROR(__xludf.DUMMYFUNCTION("""COMPUTED_VALUE"""),43540.4565242129)</f>
        <v>43540.45652</v>
      </c>
      <c r="D1354" s="23">
        <f>IFERROR(__xludf.DUMMYFUNCTION("""COMPUTED_VALUE"""),1.037)</f>
        <v>1.037</v>
      </c>
      <c r="E1354" s="24">
        <f>IFERROR(__xludf.DUMMYFUNCTION("""COMPUTED_VALUE"""),69.0)</f>
        <v>69</v>
      </c>
      <c r="F1354" s="27" t="str">
        <f>IFERROR(__xludf.DUMMYFUNCTION("""COMPUTED_VALUE"""),"BLACK")</f>
        <v>BLACK</v>
      </c>
      <c r="G1354" s="28" t="str">
        <f>IFERROR(__xludf.DUMMYFUNCTION("""COMPUTED_VALUE"""),"First Times a Charm Cider")</f>
        <v>First Times a Charm Cider</v>
      </c>
      <c r="H1354" s="27" t="str">
        <f>IFERROR(__xludf.DUMMYFUNCTION("""COMPUTED_VALUE"""),"")</f>
        <v/>
      </c>
    </row>
    <row r="1355">
      <c r="A1355" s="17"/>
      <c r="B1355" s="23"/>
      <c r="C1355" s="17">
        <f>IFERROR(__xludf.DUMMYFUNCTION("""COMPUTED_VALUE"""),43540.4460915277)</f>
        <v>43540.44609</v>
      </c>
      <c r="D1355" s="23">
        <f>IFERROR(__xludf.DUMMYFUNCTION("""COMPUTED_VALUE"""),1.036)</f>
        <v>1.036</v>
      </c>
      <c r="E1355" s="24">
        <f>IFERROR(__xludf.DUMMYFUNCTION("""COMPUTED_VALUE"""),69.0)</f>
        <v>69</v>
      </c>
      <c r="F1355" s="27" t="str">
        <f>IFERROR(__xludf.DUMMYFUNCTION("""COMPUTED_VALUE"""),"BLACK")</f>
        <v>BLACK</v>
      </c>
      <c r="G1355" s="28" t="str">
        <f>IFERROR(__xludf.DUMMYFUNCTION("""COMPUTED_VALUE"""),"First Times a Charm Cider")</f>
        <v>First Times a Charm Cider</v>
      </c>
      <c r="H1355" s="27" t="str">
        <f>IFERROR(__xludf.DUMMYFUNCTION("""COMPUTED_VALUE"""),"")</f>
        <v/>
      </c>
    </row>
    <row r="1356">
      <c r="A1356" s="17"/>
      <c r="B1356" s="23"/>
      <c r="C1356" s="17">
        <f>IFERROR(__xludf.DUMMYFUNCTION("""COMPUTED_VALUE"""),43540.4356593518)</f>
        <v>43540.43566</v>
      </c>
      <c r="D1356" s="23">
        <f>IFERROR(__xludf.DUMMYFUNCTION("""COMPUTED_VALUE"""),1.037)</f>
        <v>1.037</v>
      </c>
      <c r="E1356" s="24">
        <f>IFERROR(__xludf.DUMMYFUNCTION("""COMPUTED_VALUE"""),69.0)</f>
        <v>69</v>
      </c>
      <c r="F1356" s="27" t="str">
        <f>IFERROR(__xludf.DUMMYFUNCTION("""COMPUTED_VALUE"""),"BLACK")</f>
        <v>BLACK</v>
      </c>
      <c r="G1356" s="28" t="str">
        <f>IFERROR(__xludf.DUMMYFUNCTION("""COMPUTED_VALUE"""),"First Times a Charm Cider")</f>
        <v>First Times a Charm Cider</v>
      </c>
      <c r="H1356" s="27" t="str">
        <f>IFERROR(__xludf.DUMMYFUNCTION("""COMPUTED_VALUE"""),"")</f>
        <v/>
      </c>
    </row>
    <row r="1357">
      <c r="A1357" s="17"/>
      <c r="B1357" s="23"/>
      <c r="C1357" s="17">
        <f>IFERROR(__xludf.DUMMYFUNCTION("""COMPUTED_VALUE"""),43540.4252157291)</f>
        <v>43540.42522</v>
      </c>
      <c r="D1357" s="23">
        <f>IFERROR(__xludf.DUMMYFUNCTION("""COMPUTED_VALUE"""),1.037)</f>
        <v>1.037</v>
      </c>
      <c r="E1357" s="24">
        <f>IFERROR(__xludf.DUMMYFUNCTION("""COMPUTED_VALUE"""),69.0)</f>
        <v>69</v>
      </c>
      <c r="F1357" s="27" t="str">
        <f>IFERROR(__xludf.DUMMYFUNCTION("""COMPUTED_VALUE"""),"BLACK")</f>
        <v>BLACK</v>
      </c>
      <c r="G1357" s="28" t="str">
        <f>IFERROR(__xludf.DUMMYFUNCTION("""COMPUTED_VALUE"""),"First Times a Charm Cider")</f>
        <v>First Times a Charm Cider</v>
      </c>
      <c r="H1357" s="27" t="str">
        <f>IFERROR(__xludf.DUMMYFUNCTION("""COMPUTED_VALUE"""),"")</f>
        <v/>
      </c>
    </row>
    <row r="1358">
      <c r="A1358" s="17"/>
      <c r="B1358" s="23"/>
      <c r="C1358" s="17">
        <f>IFERROR(__xludf.DUMMYFUNCTION("""COMPUTED_VALUE"""),43540.4147944791)</f>
        <v>43540.41479</v>
      </c>
      <c r="D1358" s="23">
        <f>IFERROR(__xludf.DUMMYFUNCTION("""COMPUTED_VALUE"""),1.037)</f>
        <v>1.037</v>
      </c>
      <c r="E1358" s="24">
        <f>IFERROR(__xludf.DUMMYFUNCTION("""COMPUTED_VALUE"""),69.0)</f>
        <v>69</v>
      </c>
      <c r="F1358" s="27" t="str">
        <f>IFERROR(__xludf.DUMMYFUNCTION("""COMPUTED_VALUE"""),"BLACK")</f>
        <v>BLACK</v>
      </c>
      <c r="G1358" s="28" t="str">
        <f>IFERROR(__xludf.DUMMYFUNCTION("""COMPUTED_VALUE"""),"First Times a Charm Cider")</f>
        <v>First Times a Charm Cider</v>
      </c>
      <c r="H1358" s="27" t="str">
        <f>IFERROR(__xludf.DUMMYFUNCTION("""COMPUTED_VALUE"""),"")</f>
        <v/>
      </c>
    </row>
    <row r="1359">
      <c r="A1359" s="17"/>
      <c r="B1359" s="23"/>
      <c r="C1359" s="17">
        <f>IFERROR(__xludf.DUMMYFUNCTION("""COMPUTED_VALUE"""),43540.4043505092)</f>
        <v>43540.40435</v>
      </c>
      <c r="D1359" s="23">
        <f>IFERROR(__xludf.DUMMYFUNCTION("""COMPUTED_VALUE"""),1.037)</f>
        <v>1.037</v>
      </c>
      <c r="E1359" s="24">
        <f>IFERROR(__xludf.DUMMYFUNCTION("""COMPUTED_VALUE"""),69.0)</f>
        <v>69</v>
      </c>
      <c r="F1359" s="27" t="str">
        <f>IFERROR(__xludf.DUMMYFUNCTION("""COMPUTED_VALUE"""),"BLACK")</f>
        <v>BLACK</v>
      </c>
      <c r="G1359" s="28" t="str">
        <f>IFERROR(__xludf.DUMMYFUNCTION("""COMPUTED_VALUE"""),"First Times a Charm Cider")</f>
        <v>First Times a Charm Cider</v>
      </c>
      <c r="H1359" s="27" t="str">
        <f>IFERROR(__xludf.DUMMYFUNCTION("""COMPUTED_VALUE"""),"")</f>
        <v/>
      </c>
    </row>
    <row r="1360">
      <c r="A1360" s="17"/>
      <c r="B1360" s="23"/>
      <c r="C1360" s="17">
        <f>IFERROR(__xludf.DUMMYFUNCTION("""COMPUTED_VALUE"""),43540.3938837152)</f>
        <v>43540.39388</v>
      </c>
      <c r="D1360" s="23">
        <f>IFERROR(__xludf.DUMMYFUNCTION("""COMPUTED_VALUE"""),1.037)</f>
        <v>1.037</v>
      </c>
      <c r="E1360" s="24">
        <f>IFERROR(__xludf.DUMMYFUNCTION("""COMPUTED_VALUE"""),69.0)</f>
        <v>69</v>
      </c>
      <c r="F1360" s="27" t="str">
        <f>IFERROR(__xludf.DUMMYFUNCTION("""COMPUTED_VALUE"""),"BLACK")</f>
        <v>BLACK</v>
      </c>
      <c r="G1360" s="28" t="str">
        <f>IFERROR(__xludf.DUMMYFUNCTION("""COMPUTED_VALUE"""),"First Times a Charm Cider")</f>
        <v>First Times a Charm Cider</v>
      </c>
      <c r="H1360" s="27" t="str">
        <f>IFERROR(__xludf.DUMMYFUNCTION("""COMPUTED_VALUE"""),"")</f>
        <v/>
      </c>
    </row>
    <row r="1361">
      <c r="A1361" s="17"/>
      <c r="B1361" s="23"/>
      <c r="C1361" s="17">
        <f>IFERROR(__xludf.DUMMYFUNCTION("""COMPUTED_VALUE"""),43540.3834639699)</f>
        <v>43540.38346</v>
      </c>
      <c r="D1361" s="23">
        <f>IFERROR(__xludf.DUMMYFUNCTION("""COMPUTED_VALUE"""),1.037)</f>
        <v>1.037</v>
      </c>
      <c r="E1361" s="24">
        <f>IFERROR(__xludf.DUMMYFUNCTION("""COMPUTED_VALUE"""),69.0)</f>
        <v>69</v>
      </c>
      <c r="F1361" s="27" t="str">
        <f>IFERROR(__xludf.DUMMYFUNCTION("""COMPUTED_VALUE"""),"BLACK")</f>
        <v>BLACK</v>
      </c>
      <c r="G1361" s="28" t="str">
        <f>IFERROR(__xludf.DUMMYFUNCTION("""COMPUTED_VALUE"""),"First Times a Charm Cider")</f>
        <v>First Times a Charm Cider</v>
      </c>
      <c r="H1361" s="27" t="str">
        <f>IFERROR(__xludf.DUMMYFUNCTION("""COMPUTED_VALUE"""),"")</f>
        <v/>
      </c>
    </row>
    <row r="1362">
      <c r="A1362" s="17"/>
      <c r="B1362" s="23"/>
      <c r="C1362" s="17">
        <f>IFERROR(__xludf.DUMMYFUNCTION("""COMPUTED_VALUE"""),43540.3730426504)</f>
        <v>43540.37304</v>
      </c>
      <c r="D1362" s="23">
        <f>IFERROR(__xludf.DUMMYFUNCTION("""COMPUTED_VALUE"""),1.037)</f>
        <v>1.037</v>
      </c>
      <c r="E1362" s="24">
        <f>IFERROR(__xludf.DUMMYFUNCTION("""COMPUTED_VALUE"""),69.0)</f>
        <v>69</v>
      </c>
      <c r="F1362" s="27" t="str">
        <f>IFERROR(__xludf.DUMMYFUNCTION("""COMPUTED_VALUE"""),"BLACK")</f>
        <v>BLACK</v>
      </c>
      <c r="G1362" s="28" t="str">
        <f>IFERROR(__xludf.DUMMYFUNCTION("""COMPUTED_VALUE"""),"First Times a Charm Cider")</f>
        <v>First Times a Charm Cider</v>
      </c>
      <c r="H1362" s="27" t="str">
        <f>IFERROR(__xludf.DUMMYFUNCTION("""COMPUTED_VALUE"""),"")</f>
        <v/>
      </c>
    </row>
    <row r="1363">
      <c r="A1363" s="17"/>
      <c r="B1363" s="23"/>
      <c r="C1363" s="17">
        <f>IFERROR(__xludf.DUMMYFUNCTION("""COMPUTED_VALUE"""),43540.3626103009)</f>
        <v>43540.36261</v>
      </c>
      <c r="D1363" s="23">
        <f>IFERROR(__xludf.DUMMYFUNCTION("""COMPUTED_VALUE"""),1.037)</f>
        <v>1.037</v>
      </c>
      <c r="E1363" s="24">
        <f>IFERROR(__xludf.DUMMYFUNCTION("""COMPUTED_VALUE"""),69.0)</f>
        <v>69</v>
      </c>
      <c r="F1363" s="27" t="str">
        <f>IFERROR(__xludf.DUMMYFUNCTION("""COMPUTED_VALUE"""),"BLACK")</f>
        <v>BLACK</v>
      </c>
      <c r="G1363" s="28" t="str">
        <f>IFERROR(__xludf.DUMMYFUNCTION("""COMPUTED_VALUE"""),"First Times a Charm Cider")</f>
        <v>First Times a Charm Cider</v>
      </c>
      <c r="H1363" s="27" t="str">
        <f>IFERROR(__xludf.DUMMYFUNCTION("""COMPUTED_VALUE"""),"")</f>
        <v/>
      </c>
    </row>
    <row r="1364">
      <c r="A1364" s="17"/>
      <c r="B1364" s="23"/>
      <c r="C1364" s="17">
        <f>IFERROR(__xludf.DUMMYFUNCTION("""COMPUTED_VALUE"""),43540.3521882986)</f>
        <v>43540.35219</v>
      </c>
      <c r="D1364" s="23">
        <f>IFERROR(__xludf.DUMMYFUNCTION("""COMPUTED_VALUE"""),1.037)</f>
        <v>1.037</v>
      </c>
      <c r="E1364" s="24">
        <f>IFERROR(__xludf.DUMMYFUNCTION("""COMPUTED_VALUE"""),69.0)</f>
        <v>69</v>
      </c>
      <c r="F1364" s="27" t="str">
        <f>IFERROR(__xludf.DUMMYFUNCTION("""COMPUTED_VALUE"""),"BLACK")</f>
        <v>BLACK</v>
      </c>
      <c r="G1364" s="28" t="str">
        <f>IFERROR(__xludf.DUMMYFUNCTION("""COMPUTED_VALUE"""),"First Times a Charm Cider")</f>
        <v>First Times a Charm Cider</v>
      </c>
      <c r="H1364" s="27" t="str">
        <f>IFERROR(__xludf.DUMMYFUNCTION("""COMPUTED_VALUE"""),"")</f>
        <v/>
      </c>
    </row>
    <row r="1365">
      <c r="A1365" s="17"/>
      <c r="B1365" s="23"/>
      <c r="C1365" s="17">
        <f>IFERROR(__xludf.DUMMYFUNCTION("""COMPUTED_VALUE"""),43540.3417665393)</f>
        <v>43540.34177</v>
      </c>
      <c r="D1365" s="23">
        <f>IFERROR(__xludf.DUMMYFUNCTION("""COMPUTED_VALUE"""),1.037)</f>
        <v>1.037</v>
      </c>
      <c r="E1365" s="24">
        <f>IFERROR(__xludf.DUMMYFUNCTION("""COMPUTED_VALUE"""),69.0)</f>
        <v>69</v>
      </c>
      <c r="F1365" s="27" t="str">
        <f>IFERROR(__xludf.DUMMYFUNCTION("""COMPUTED_VALUE"""),"BLACK")</f>
        <v>BLACK</v>
      </c>
      <c r="G1365" s="28" t="str">
        <f>IFERROR(__xludf.DUMMYFUNCTION("""COMPUTED_VALUE"""),"First Times a Charm Cider")</f>
        <v>First Times a Charm Cider</v>
      </c>
      <c r="H1365" s="27" t="str">
        <f>IFERROR(__xludf.DUMMYFUNCTION("""COMPUTED_VALUE"""),"")</f>
        <v/>
      </c>
    </row>
    <row r="1366">
      <c r="A1366" s="17"/>
      <c r="B1366" s="23"/>
      <c r="C1366" s="17">
        <f>IFERROR(__xludf.DUMMYFUNCTION("""COMPUTED_VALUE"""),43540.3313464004)</f>
        <v>43540.33135</v>
      </c>
      <c r="D1366" s="23">
        <f>IFERROR(__xludf.DUMMYFUNCTION("""COMPUTED_VALUE"""),1.037)</f>
        <v>1.037</v>
      </c>
      <c r="E1366" s="24">
        <f>IFERROR(__xludf.DUMMYFUNCTION("""COMPUTED_VALUE"""),69.0)</f>
        <v>69</v>
      </c>
      <c r="F1366" s="27" t="str">
        <f>IFERROR(__xludf.DUMMYFUNCTION("""COMPUTED_VALUE"""),"BLACK")</f>
        <v>BLACK</v>
      </c>
      <c r="G1366" s="28" t="str">
        <f>IFERROR(__xludf.DUMMYFUNCTION("""COMPUTED_VALUE"""),"First Times a Charm Cider")</f>
        <v>First Times a Charm Cider</v>
      </c>
      <c r="H1366" s="27" t="str">
        <f>IFERROR(__xludf.DUMMYFUNCTION("""COMPUTED_VALUE"""),"")</f>
        <v/>
      </c>
    </row>
    <row r="1367">
      <c r="A1367" s="17"/>
      <c r="B1367" s="23"/>
      <c r="C1367" s="17">
        <f>IFERROR(__xludf.DUMMYFUNCTION("""COMPUTED_VALUE"""),43540.3209259143)</f>
        <v>43540.32093</v>
      </c>
      <c r="D1367" s="23">
        <f>IFERROR(__xludf.DUMMYFUNCTION("""COMPUTED_VALUE"""),1.037)</f>
        <v>1.037</v>
      </c>
      <c r="E1367" s="24">
        <f>IFERROR(__xludf.DUMMYFUNCTION("""COMPUTED_VALUE"""),70.0)</f>
        <v>70</v>
      </c>
      <c r="F1367" s="27" t="str">
        <f>IFERROR(__xludf.DUMMYFUNCTION("""COMPUTED_VALUE"""),"BLACK")</f>
        <v>BLACK</v>
      </c>
      <c r="G1367" s="28" t="str">
        <f>IFERROR(__xludf.DUMMYFUNCTION("""COMPUTED_VALUE"""),"First Times a Charm Cider")</f>
        <v>First Times a Charm Cider</v>
      </c>
      <c r="H1367" s="27" t="str">
        <f>IFERROR(__xludf.DUMMYFUNCTION("""COMPUTED_VALUE"""),"")</f>
        <v/>
      </c>
    </row>
    <row r="1368">
      <c r="A1368" s="17"/>
      <c r="B1368" s="23"/>
      <c r="C1368" s="17">
        <f>IFERROR(__xludf.DUMMYFUNCTION("""COMPUTED_VALUE"""),43540.310505243)</f>
        <v>43540.31051</v>
      </c>
      <c r="D1368" s="23">
        <f>IFERROR(__xludf.DUMMYFUNCTION("""COMPUTED_VALUE"""),1.037)</f>
        <v>1.037</v>
      </c>
      <c r="E1368" s="24">
        <f>IFERROR(__xludf.DUMMYFUNCTION("""COMPUTED_VALUE"""),69.0)</f>
        <v>69</v>
      </c>
      <c r="F1368" s="27" t="str">
        <f>IFERROR(__xludf.DUMMYFUNCTION("""COMPUTED_VALUE"""),"BLACK")</f>
        <v>BLACK</v>
      </c>
      <c r="G1368" s="28" t="str">
        <f>IFERROR(__xludf.DUMMYFUNCTION("""COMPUTED_VALUE"""),"First Times a Charm Cider")</f>
        <v>First Times a Charm Cider</v>
      </c>
      <c r="H1368" s="27" t="str">
        <f>IFERROR(__xludf.DUMMYFUNCTION("""COMPUTED_VALUE"""),"")</f>
        <v/>
      </c>
    </row>
    <row r="1369">
      <c r="A1369" s="17"/>
      <c r="B1369" s="23"/>
      <c r="C1369" s="17">
        <f>IFERROR(__xludf.DUMMYFUNCTION("""COMPUTED_VALUE"""),43540.3000604629)</f>
        <v>43540.30006</v>
      </c>
      <c r="D1369" s="23">
        <f>IFERROR(__xludf.DUMMYFUNCTION("""COMPUTED_VALUE"""),1.037)</f>
        <v>1.037</v>
      </c>
      <c r="E1369" s="24">
        <f>IFERROR(__xludf.DUMMYFUNCTION("""COMPUTED_VALUE"""),69.0)</f>
        <v>69</v>
      </c>
      <c r="F1369" s="27" t="str">
        <f>IFERROR(__xludf.DUMMYFUNCTION("""COMPUTED_VALUE"""),"BLACK")</f>
        <v>BLACK</v>
      </c>
      <c r="G1369" s="28" t="str">
        <f>IFERROR(__xludf.DUMMYFUNCTION("""COMPUTED_VALUE"""),"First Times a Charm Cider")</f>
        <v>First Times a Charm Cider</v>
      </c>
      <c r="H1369" s="27" t="str">
        <f>IFERROR(__xludf.DUMMYFUNCTION("""COMPUTED_VALUE"""),"")</f>
        <v/>
      </c>
    </row>
    <row r="1370">
      <c r="A1370" s="17"/>
      <c r="B1370" s="23"/>
      <c r="C1370" s="17">
        <f>IFERROR(__xludf.DUMMYFUNCTION("""COMPUTED_VALUE"""),43540.2896383564)</f>
        <v>43540.28964</v>
      </c>
      <c r="D1370" s="23">
        <f>IFERROR(__xludf.DUMMYFUNCTION("""COMPUTED_VALUE"""),1.037)</f>
        <v>1.037</v>
      </c>
      <c r="E1370" s="24">
        <f>IFERROR(__xludf.DUMMYFUNCTION("""COMPUTED_VALUE"""),69.0)</f>
        <v>69</v>
      </c>
      <c r="F1370" s="27" t="str">
        <f>IFERROR(__xludf.DUMMYFUNCTION("""COMPUTED_VALUE"""),"BLACK")</f>
        <v>BLACK</v>
      </c>
      <c r="G1370" s="28" t="str">
        <f>IFERROR(__xludf.DUMMYFUNCTION("""COMPUTED_VALUE"""),"First Times a Charm Cider")</f>
        <v>First Times a Charm Cider</v>
      </c>
      <c r="H1370" s="27" t="str">
        <f>IFERROR(__xludf.DUMMYFUNCTION("""COMPUTED_VALUE"""),"")</f>
        <v/>
      </c>
    </row>
    <row r="1371">
      <c r="A1371" s="17"/>
      <c r="B1371" s="23"/>
      <c r="C1371" s="17">
        <f>IFERROR(__xludf.DUMMYFUNCTION("""COMPUTED_VALUE"""),43540.2792184722)</f>
        <v>43540.27922</v>
      </c>
      <c r="D1371" s="23">
        <f>IFERROR(__xludf.DUMMYFUNCTION("""COMPUTED_VALUE"""),1.037)</f>
        <v>1.037</v>
      </c>
      <c r="E1371" s="24">
        <f>IFERROR(__xludf.DUMMYFUNCTION("""COMPUTED_VALUE"""),70.0)</f>
        <v>70</v>
      </c>
      <c r="F1371" s="27" t="str">
        <f>IFERROR(__xludf.DUMMYFUNCTION("""COMPUTED_VALUE"""),"BLACK")</f>
        <v>BLACK</v>
      </c>
      <c r="G1371" s="28" t="str">
        <f>IFERROR(__xludf.DUMMYFUNCTION("""COMPUTED_VALUE"""),"First Times a Charm Cider")</f>
        <v>First Times a Charm Cider</v>
      </c>
      <c r="H1371" s="27" t="str">
        <f>IFERROR(__xludf.DUMMYFUNCTION("""COMPUTED_VALUE"""),"")</f>
        <v/>
      </c>
    </row>
    <row r="1372">
      <c r="A1372" s="17"/>
      <c r="B1372" s="23"/>
      <c r="C1372" s="17">
        <f>IFERROR(__xludf.DUMMYFUNCTION("""COMPUTED_VALUE"""),43540.2687856597)</f>
        <v>43540.26879</v>
      </c>
      <c r="D1372" s="23">
        <f>IFERROR(__xludf.DUMMYFUNCTION("""COMPUTED_VALUE"""),1.037)</f>
        <v>1.037</v>
      </c>
      <c r="E1372" s="24">
        <f>IFERROR(__xludf.DUMMYFUNCTION("""COMPUTED_VALUE"""),70.0)</f>
        <v>70</v>
      </c>
      <c r="F1372" s="27" t="str">
        <f>IFERROR(__xludf.DUMMYFUNCTION("""COMPUTED_VALUE"""),"BLACK")</f>
        <v>BLACK</v>
      </c>
      <c r="G1372" s="28" t="str">
        <f>IFERROR(__xludf.DUMMYFUNCTION("""COMPUTED_VALUE"""),"First Times a Charm Cider")</f>
        <v>First Times a Charm Cider</v>
      </c>
      <c r="H1372" s="27" t="str">
        <f>IFERROR(__xludf.DUMMYFUNCTION("""COMPUTED_VALUE"""),"")</f>
        <v/>
      </c>
    </row>
    <row r="1373">
      <c r="A1373" s="17"/>
      <c r="B1373" s="23"/>
      <c r="C1373" s="17">
        <f>IFERROR(__xludf.DUMMYFUNCTION("""COMPUTED_VALUE"""),43540.2583659953)</f>
        <v>43540.25837</v>
      </c>
      <c r="D1373" s="23">
        <f>IFERROR(__xludf.DUMMYFUNCTION("""COMPUTED_VALUE"""),1.037)</f>
        <v>1.037</v>
      </c>
      <c r="E1373" s="24">
        <f>IFERROR(__xludf.DUMMYFUNCTION("""COMPUTED_VALUE"""),70.0)</f>
        <v>70</v>
      </c>
      <c r="F1373" s="27" t="str">
        <f>IFERROR(__xludf.DUMMYFUNCTION("""COMPUTED_VALUE"""),"BLACK")</f>
        <v>BLACK</v>
      </c>
      <c r="G1373" s="28" t="str">
        <f>IFERROR(__xludf.DUMMYFUNCTION("""COMPUTED_VALUE"""),"First Times a Charm Cider")</f>
        <v>First Times a Charm Cider</v>
      </c>
      <c r="H1373" s="27" t="str">
        <f>IFERROR(__xludf.DUMMYFUNCTION("""COMPUTED_VALUE"""),"")</f>
        <v/>
      </c>
    </row>
    <row r="1374">
      <c r="A1374" s="17"/>
      <c r="B1374" s="23"/>
      <c r="C1374" s="17">
        <f>IFERROR(__xludf.DUMMYFUNCTION("""COMPUTED_VALUE"""),43540.247944537)</f>
        <v>43540.24794</v>
      </c>
      <c r="D1374" s="23">
        <f>IFERROR(__xludf.DUMMYFUNCTION("""COMPUTED_VALUE"""),1.037)</f>
        <v>1.037</v>
      </c>
      <c r="E1374" s="24">
        <f>IFERROR(__xludf.DUMMYFUNCTION("""COMPUTED_VALUE"""),70.0)</f>
        <v>70</v>
      </c>
      <c r="F1374" s="27" t="str">
        <f>IFERROR(__xludf.DUMMYFUNCTION("""COMPUTED_VALUE"""),"BLACK")</f>
        <v>BLACK</v>
      </c>
      <c r="G1374" s="28" t="str">
        <f>IFERROR(__xludf.DUMMYFUNCTION("""COMPUTED_VALUE"""),"First Times a Charm Cider")</f>
        <v>First Times a Charm Cider</v>
      </c>
      <c r="H1374" s="27" t="str">
        <f>IFERROR(__xludf.DUMMYFUNCTION("""COMPUTED_VALUE"""),"")</f>
        <v/>
      </c>
    </row>
    <row r="1375">
      <c r="A1375" s="17"/>
      <c r="B1375" s="23"/>
      <c r="C1375" s="17">
        <f>IFERROR(__xludf.DUMMYFUNCTION("""COMPUTED_VALUE"""),43540.2375231712)</f>
        <v>43540.23752</v>
      </c>
      <c r="D1375" s="23">
        <f>IFERROR(__xludf.DUMMYFUNCTION("""COMPUTED_VALUE"""),1.037)</f>
        <v>1.037</v>
      </c>
      <c r="E1375" s="24">
        <f>IFERROR(__xludf.DUMMYFUNCTION("""COMPUTED_VALUE"""),70.0)</f>
        <v>70</v>
      </c>
      <c r="F1375" s="27" t="str">
        <f>IFERROR(__xludf.DUMMYFUNCTION("""COMPUTED_VALUE"""),"BLACK")</f>
        <v>BLACK</v>
      </c>
      <c r="G1375" s="28" t="str">
        <f>IFERROR(__xludf.DUMMYFUNCTION("""COMPUTED_VALUE"""),"First Times a Charm Cider")</f>
        <v>First Times a Charm Cider</v>
      </c>
      <c r="H1375" s="27" t="str">
        <f>IFERROR(__xludf.DUMMYFUNCTION("""COMPUTED_VALUE"""),"")</f>
        <v/>
      </c>
    </row>
    <row r="1376">
      <c r="A1376" s="17"/>
      <c r="B1376" s="23"/>
      <c r="C1376" s="17">
        <f>IFERROR(__xludf.DUMMYFUNCTION("""COMPUTED_VALUE"""),43540.2271024074)</f>
        <v>43540.2271</v>
      </c>
      <c r="D1376" s="23">
        <f>IFERROR(__xludf.DUMMYFUNCTION("""COMPUTED_VALUE"""),1.037)</f>
        <v>1.037</v>
      </c>
      <c r="E1376" s="24">
        <f>IFERROR(__xludf.DUMMYFUNCTION("""COMPUTED_VALUE"""),70.0)</f>
        <v>70</v>
      </c>
      <c r="F1376" s="27" t="str">
        <f>IFERROR(__xludf.DUMMYFUNCTION("""COMPUTED_VALUE"""),"BLACK")</f>
        <v>BLACK</v>
      </c>
      <c r="G1376" s="28" t="str">
        <f>IFERROR(__xludf.DUMMYFUNCTION("""COMPUTED_VALUE"""),"First Times a Charm Cider")</f>
        <v>First Times a Charm Cider</v>
      </c>
      <c r="H1376" s="27" t="str">
        <f>IFERROR(__xludf.DUMMYFUNCTION("""COMPUTED_VALUE"""),"")</f>
        <v/>
      </c>
    </row>
    <row r="1377">
      <c r="A1377" s="17"/>
      <c r="B1377" s="23"/>
      <c r="C1377" s="17">
        <f>IFERROR(__xludf.DUMMYFUNCTION("""COMPUTED_VALUE"""),43540.2166804513)</f>
        <v>43540.21668</v>
      </c>
      <c r="D1377" s="23">
        <f>IFERROR(__xludf.DUMMYFUNCTION("""COMPUTED_VALUE"""),1.037)</f>
        <v>1.037</v>
      </c>
      <c r="E1377" s="24">
        <f>IFERROR(__xludf.DUMMYFUNCTION("""COMPUTED_VALUE"""),70.0)</f>
        <v>70</v>
      </c>
      <c r="F1377" s="27" t="str">
        <f>IFERROR(__xludf.DUMMYFUNCTION("""COMPUTED_VALUE"""),"BLACK")</f>
        <v>BLACK</v>
      </c>
      <c r="G1377" s="28" t="str">
        <f>IFERROR(__xludf.DUMMYFUNCTION("""COMPUTED_VALUE"""),"First Times a Charm Cider")</f>
        <v>First Times a Charm Cider</v>
      </c>
      <c r="H1377" s="27" t="str">
        <f>IFERROR(__xludf.DUMMYFUNCTION("""COMPUTED_VALUE"""),"")</f>
        <v/>
      </c>
    </row>
    <row r="1378">
      <c r="A1378" s="17"/>
      <c r="B1378" s="23"/>
      <c r="C1378" s="17">
        <f>IFERROR(__xludf.DUMMYFUNCTION("""COMPUTED_VALUE"""),43540.206247118)</f>
        <v>43540.20625</v>
      </c>
      <c r="D1378" s="23">
        <f>IFERROR(__xludf.DUMMYFUNCTION("""COMPUTED_VALUE"""),1.037)</f>
        <v>1.037</v>
      </c>
      <c r="E1378" s="24">
        <f>IFERROR(__xludf.DUMMYFUNCTION("""COMPUTED_VALUE"""),70.0)</f>
        <v>70</v>
      </c>
      <c r="F1378" s="27" t="str">
        <f>IFERROR(__xludf.DUMMYFUNCTION("""COMPUTED_VALUE"""),"BLACK")</f>
        <v>BLACK</v>
      </c>
      <c r="G1378" s="28" t="str">
        <f>IFERROR(__xludf.DUMMYFUNCTION("""COMPUTED_VALUE"""),"First Times a Charm Cider")</f>
        <v>First Times a Charm Cider</v>
      </c>
      <c r="H1378" s="27" t="str">
        <f>IFERROR(__xludf.DUMMYFUNCTION("""COMPUTED_VALUE"""),"")</f>
        <v/>
      </c>
    </row>
    <row r="1379">
      <c r="A1379" s="17"/>
      <c r="B1379" s="23"/>
      <c r="C1379" s="17">
        <f>IFERROR(__xludf.DUMMYFUNCTION("""COMPUTED_VALUE"""),43540.1958138078)</f>
        <v>43540.19581</v>
      </c>
      <c r="D1379" s="23">
        <f>IFERROR(__xludf.DUMMYFUNCTION("""COMPUTED_VALUE"""),1.037)</f>
        <v>1.037</v>
      </c>
      <c r="E1379" s="24">
        <f>IFERROR(__xludf.DUMMYFUNCTION("""COMPUTED_VALUE"""),70.0)</f>
        <v>70</v>
      </c>
      <c r="F1379" s="27" t="str">
        <f>IFERROR(__xludf.DUMMYFUNCTION("""COMPUTED_VALUE"""),"BLACK")</f>
        <v>BLACK</v>
      </c>
      <c r="G1379" s="28" t="str">
        <f>IFERROR(__xludf.DUMMYFUNCTION("""COMPUTED_VALUE"""),"First Times a Charm Cider")</f>
        <v>First Times a Charm Cider</v>
      </c>
      <c r="H1379" s="27" t="str">
        <f>IFERROR(__xludf.DUMMYFUNCTION("""COMPUTED_VALUE"""),"")</f>
        <v/>
      </c>
    </row>
    <row r="1380">
      <c r="A1380" s="17"/>
      <c r="B1380" s="23"/>
      <c r="C1380" s="17">
        <f>IFERROR(__xludf.DUMMYFUNCTION("""COMPUTED_VALUE"""),43540.1853703819)</f>
        <v>43540.18537</v>
      </c>
      <c r="D1380" s="23">
        <f>IFERROR(__xludf.DUMMYFUNCTION("""COMPUTED_VALUE"""),1.037)</f>
        <v>1.037</v>
      </c>
      <c r="E1380" s="24">
        <f>IFERROR(__xludf.DUMMYFUNCTION("""COMPUTED_VALUE"""),70.0)</f>
        <v>70</v>
      </c>
      <c r="F1380" s="27" t="str">
        <f>IFERROR(__xludf.DUMMYFUNCTION("""COMPUTED_VALUE"""),"BLACK")</f>
        <v>BLACK</v>
      </c>
      <c r="G1380" s="28" t="str">
        <f>IFERROR(__xludf.DUMMYFUNCTION("""COMPUTED_VALUE"""),"First Times a Charm Cider")</f>
        <v>First Times a Charm Cider</v>
      </c>
      <c r="H1380" s="27" t="str">
        <f>IFERROR(__xludf.DUMMYFUNCTION("""COMPUTED_VALUE"""),"")</f>
        <v/>
      </c>
    </row>
    <row r="1381">
      <c r="A1381" s="17"/>
      <c r="B1381" s="23"/>
      <c r="C1381" s="17">
        <f>IFERROR(__xludf.DUMMYFUNCTION("""COMPUTED_VALUE"""),43540.1749506712)</f>
        <v>43540.17495</v>
      </c>
      <c r="D1381" s="23">
        <f>IFERROR(__xludf.DUMMYFUNCTION("""COMPUTED_VALUE"""),1.037)</f>
        <v>1.037</v>
      </c>
      <c r="E1381" s="24">
        <f>IFERROR(__xludf.DUMMYFUNCTION("""COMPUTED_VALUE"""),70.0)</f>
        <v>70</v>
      </c>
      <c r="F1381" s="27" t="str">
        <f>IFERROR(__xludf.DUMMYFUNCTION("""COMPUTED_VALUE"""),"BLACK")</f>
        <v>BLACK</v>
      </c>
      <c r="G1381" s="28" t="str">
        <f>IFERROR(__xludf.DUMMYFUNCTION("""COMPUTED_VALUE"""),"First Times a Charm Cider")</f>
        <v>First Times a Charm Cider</v>
      </c>
      <c r="H1381" s="27" t="str">
        <f>IFERROR(__xludf.DUMMYFUNCTION("""COMPUTED_VALUE"""),"")</f>
        <v/>
      </c>
    </row>
    <row r="1382">
      <c r="A1382" s="17"/>
      <c r="B1382" s="23"/>
      <c r="C1382" s="17">
        <f>IFERROR(__xludf.DUMMYFUNCTION("""COMPUTED_VALUE"""),43540.1645040509)</f>
        <v>43540.1645</v>
      </c>
      <c r="D1382" s="23">
        <f>IFERROR(__xludf.DUMMYFUNCTION("""COMPUTED_VALUE"""),1.037)</f>
        <v>1.037</v>
      </c>
      <c r="E1382" s="24">
        <f>IFERROR(__xludf.DUMMYFUNCTION("""COMPUTED_VALUE"""),70.0)</f>
        <v>70</v>
      </c>
      <c r="F1382" s="27" t="str">
        <f>IFERROR(__xludf.DUMMYFUNCTION("""COMPUTED_VALUE"""),"BLACK")</f>
        <v>BLACK</v>
      </c>
      <c r="G1382" s="28" t="str">
        <f>IFERROR(__xludf.DUMMYFUNCTION("""COMPUTED_VALUE"""),"First Times a Charm Cider")</f>
        <v>First Times a Charm Cider</v>
      </c>
      <c r="H1382" s="27" t="str">
        <f>IFERROR(__xludf.DUMMYFUNCTION("""COMPUTED_VALUE"""),"")</f>
        <v/>
      </c>
    </row>
    <row r="1383">
      <c r="A1383" s="17"/>
      <c r="B1383" s="23"/>
      <c r="C1383" s="17">
        <f>IFERROR(__xludf.DUMMYFUNCTION("""COMPUTED_VALUE"""),43540.1540616088)</f>
        <v>43540.15406</v>
      </c>
      <c r="D1383" s="23">
        <f>IFERROR(__xludf.DUMMYFUNCTION("""COMPUTED_VALUE"""),1.037)</f>
        <v>1.037</v>
      </c>
      <c r="E1383" s="24">
        <f>IFERROR(__xludf.DUMMYFUNCTION("""COMPUTED_VALUE"""),70.0)</f>
        <v>70</v>
      </c>
      <c r="F1383" s="27" t="str">
        <f>IFERROR(__xludf.DUMMYFUNCTION("""COMPUTED_VALUE"""),"BLACK")</f>
        <v>BLACK</v>
      </c>
      <c r="G1383" s="28" t="str">
        <f>IFERROR(__xludf.DUMMYFUNCTION("""COMPUTED_VALUE"""),"First Times a Charm Cider")</f>
        <v>First Times a Charm Cider</v>
      </c>
      <c r="H1383" s="27" t="str">
        <f>IFERROR(__xludf.DUMMYFUNCTION("""COMPUTED_VALUE"""),"")</f>
        <v/>
      </c>
    </row>
    <row r="1384">
      <c r="A1384" s="17"/>
      <c r="B1384" s="23"/>
      <c r="C1384" s="17">
        <f>IFERROR(__xludf.DUMMYFUNCTION("""COMPUTED_VALUE"""),43540.1436407291)</f>
        <v>43540.14364</v>
      </c>
      <c r="D1384" s="23">
        <f>IFERROR(__xludf.DUMMYFUNCTION("""COMPUTED_VALUE"""),1.037)</f>
        <v>1.037</v>
      </c>
      <c r="E1384" s="24">
        <f>IFERROR(__xludf.DUMMYFUNCTION("""COMPUTED_VALUE"""),70.0)</f>
        <v>70</v>
      </c>
      <c r="F1384" s="27" t="str">
        <f>IFERROR(__xludf.DUMMYFUNCTION("""COMPUTED_VALUE"""),"BLACK")</f>
        <v>BLACK</v>
      </c>
      <c r="G1384" s="28" t="str">
        <f>IFERROR(__xludf.DUMMYFUNCTION("""COMPUTED_VALUE"""),"First Times a Charm Cider")</f>
        <v>First Times a Charm Cider</v>
      </c>
      <c r="H1384" s="27" t="str">
        <f>IFERROR(__xludf.DUMMYFUNCTION("""COMPUTED_VALUE"""),"")</f>
        <v/>
      </c>
    </row>
    <row r="1385">
      <c r="A1385" s="17"/>
      <c r="B1385" s="23"/>
      <c r="C1385" s="17">
        <f>IFERROR(__xludf.DUMMYFUNCTION("""COMPUTED_VALUE"""),43540.1331962268)</f>
        <v>43540.1332</v>
      </c>
      <c r="D1385" s="23">
        <f>IFERROR(__xludf.DUMMYFUNCTION("""COMPUTED_VALUE"""),1.037)</f>
        <v>1.037</v>
      </c>
      <c r="E1385" s="24">
        <f>IFERROR(__xludf.DUMMYFUNCTION("""COMPUTED_VALUE"""),70.0)</f>
        <v>70</v>
      </c>
      <c r="F1385" s="27" t="str">
        <f>IFERROR(__xludf.DUMMYFUNCTION("""COMPUTED_VALUE"""),"BLACK")</f>
        <v>BLACK</v>
      </c>
      <c r="G1385" s="28" t="str">
        <f>IFERROR(__xludf.DUMMYFUNCTION("""COMPUTED_VALUE"""),"First Times a Charm Cider")</f>
        <v>First Times a Charm Cider</v>
      </c>
      <c r="H1385" s="27" t="str">
        <f>IFERROR(__xludf.DUMMYFUNCTION("""COMPUTED_VALUE"""),"")</f>
        <v/>
      </c>
    </row>
    <row r="1386">
      <c r="A1386" s="17"/>
      <c r="B1386" s="23"/>
      <c r="C1386" s="17">
        <f>IFERROR(__xludf.DUMMYFUNCTION("""COMPUTED_VALUE"""),43540.1227650115)</f>
        <v>43540.12277</v>
      </c>
      <c r="D1386" s="23">
        <f>IFERROR(__xludf.DUMMYFUNCTION("""COMPUTED_VALUE"""),1.038)</f>
        <v>1.038</v>
      </c>
      <c r="E1386" s="24">
        <f>IFERROR(__xludf.DUMMYFUNCTION("""COMPUTED_VALUE"""),70.0)</f>
        <v>70</v>
      </c>
      <c r="F1386" s="27" t="str">
        <f>IFERROR(__xludf.DUMMYFUNCTION("""COMPUTED_VALUE"""),"BLACK")</f>
        <v>BLACK</v>
      </c>
      <c r="G1386" s="28" t="str">
        <f>IFERROR(__xludf.DUMMYFUNCTION("""COMPUTED_VALUE"""),"First Times a Charm Cider")</f>
        <v>First Times a Charm Cider</v>
      </c>
      <c r="H1386" s="27" t="str">
        <f>IFERROR(__xludf.DUMMYFUNCTION("""COMPUTED_VALUE"""),"")</f>
        <v/>
      </c>
    </row>
    <row r="1387">
      <c r="A1387" s="17"/>
      <c r="B1387" s="23"/>
      <c r="C1387" s="17">
        <f>IFERROR(__xludf.DUMMYFUNCTION("""COMPUTED_VALUE"""),43540.1123434837)</f>
        <v>43540.11234</v>
      </c>
      <c r="D1387" s="23">
        <f>IFERROR(__xludf.DUMMYFUNCTION("""COMPUTED_VALUE"""),1.037)</f>
        <v>1.037</v>
      </c>
      <c r="E1387" s="24">
        <f>IFERROR(__xludf.DUMMYFUNCTION("""COMPUTED_VALUE"""),70.0)</f>
        <v>70</v>
      </c>
      <c r="F1387" s="27" t="str">
        <f>IFERROR(__xludf.DUMMYFUNCTION("""COMPUTED_VALUE"""),"BLACK")</f>
        <v>BLACK</v>
      </c>
      <c r="G1387" s="28" t="str">
        <f>IFERROR(__xludf.DUMMYFUNCTION("""COMPUTED_VALUE"""),"First Times a Charm Cider")</f>
        <v>First Times a Charm Cider</v>
      </c>
      <c r="H1387" s="27" t="str">
        <f>IFERROR(__xludf.DUMMYFUNCTION("""COMPUTED_VALUE"""),"")</f>
        <v/>
      </c>
    </row>
    <row r="1388">
      <c r="A1388" s="17"/>
      <c r="B1388" s="23"/>
      <c r="C1388" s="17">
        <f>IFERROR(__xludf.DUMMYFUNCTION("""COMPUTED_VALUE"""),43540.1019243402)</f>
        <v>43540.10192</v>
      </c>
      <c r="D1388" s="23">
        <f>IFERROR(__xludf.DUMMYFUNCTION("""COMPUTED_VALUE"""),1.037)</f>
        <v>1.037</v>
      </c>
      <c r="E1388" s="24">
        <f>IFERROR(__xludf.DUMMYFUNCTION("""COMPUTED_VALUE"""),70.0)</f>
        <v>70</v>
      </c>
      <c r="F1388" s="27" t="str">
        <f>IFERROR(__xludf.DUMMYFUNCTION("""COMPUTED_VALUE"""),"BLACK")</f>
        <v>BLACK</v>
      </c>
      <c r="G1388" s="28" t="str">
        <f>IFERROR(__xludf.DUMMYFUNCTION("""COMPUTED_VALUE"""),"First Times a Charm Cider")</f>
        <v>First Times a Charm Cider</v>
      </c>
      <c r="H1388" s="27" t="str">
        <f>IFERROR(__xludf.DUMMYFUNCTION("""COMPUTED_VALUE"""),"")</f>
        <v/>
      </c>
    </row>
    <row r="1389">
      <c r="A1389" s="17"/>
      <c r="B1389" s="23"/>
      <c r="C1389" s="17">
        <f>IFERROR(__xludf.DUMMYFUNCTION("""COMPUTED_VALUE"""),43540.0915050231)</f>
        <v>43540.09151</v>
      </c>
      <c r="D1389" s="23">
        <f>IFERROR(__xludf.DUMMYFUNCTION("""COMPUTED_VALUE"""),1.038)</f>
        <v>1.038</v>
      </c>
      <c r="E1389" s="24">
        <f>IFERROR(__xludf.DUMMYFUNCTION("""COMPUTED_VALUE"""),70.0)</f>
        <v>70</v>
      </c>
      <c r="F1389" s="27" t="str">
        <f>IFERROR(__xludf.DUMMYFUNCTION("""COMPUTED_VALUE"""),"BLACK")</f>
        <v>BLACK</v>
      </c>
      <c r="G1389" s="28" t="str">
        <f>IFERROR(__xludf.DUMMYFUNCTION("""COMPUTED_VALUE"""),"First Times a Charm Cider")</f>
        <v>First Times a Charm Cider</v>
      </c>
      <c r="H1389" s="27" t="str">
        <f>IFERROR(__xludf.DUMMYFUNCTION("""COMPUTED_VALUE"""),"")</f>
        <v/>
      </c>
    </row>
    <row r="1390">
      <c r="A1390" s="17"/>
      <c r="B1390" s="23"/>
      <c r="C1390" s="17">
        <f>IFERROR(__xludf.DUMMYFUNCTION("""COMPUTED_VALUE"""),43540.0810848032)</f>
        <v>43540.08108</v>
      </c>
      <c r="D1390" s="23">
        <f>IFERROR(__xludf.DUMMYFUNCTION("""COMPUTED_VALUE"""),1.037)</f>
        <v>1.037</v>
      </c>
      <c r="E1390" s="24">
        <f>IFERROR(__xludf.DUMMYFUNCTION("""COMPUTED_VALUE"""),70.0)</f>
        <v>70</v>
      </c>
      <c r="F1390" s="27" t="str">
        <f>IFERROR(__xludf.DUMMYFUNCTION("""COMPUTED_VALUE"""),"BLACK")</f>
        <v>BLACK</v>
      </c>
      <c r="G1390" s="28" t="str">
        <f>IFERROR(__xludf.DUMMYFUNCTION("""COMPUTED_VALUE"""),"First Times a Charm Cider")</f>
        <v>First Times a Charm Cider</v>
      </c>
      <c r="H1390" s="27" t="str">
        <f>IFERROR(__xludf.DUMMYFUNCTION("""COMPUTED_VALUE"""),"")</f>
        <v/>
      </c>
    </row>
    <row r="1391">
      <c r="A1391" s="17"/>
      <c r="B1391" s="23"/>
      <c r="C1391" s="17">
        <f>IFERROR(__xludf.DUMMYFUNCTION("""COMPUTED_VALUE"""),43540.0706636342)</f>
        <v>43540.07066</v>
      </c>
      <c r="D1391" s="23">
        <f>IFERROR(__xludf.DUMMYFUNCTION("""COMPUTED_VALUE"""),1.037)</f>
        <v>1.037</v>
      </c>
      <c r="E1391" s="24">
        <f>IFERROR(__xludf.DUMMYFUNCTION("""COMPUTED_VALUE"""),70.0)</f>
        <v>70</v>
      </c>
      <c r="F1391" s="27" t="str">
        <f>IFERROR(__xludf.DUMMYFUNCTION("""COMPUTED_VALUE"""),"BLACK")</f>
        <v>BLACK</v>
      </c>
      <c r="G1391" s="28" t="str">
        <f>IFERROR(__xludf.DUMMYFUNCTION("""COMPUTED_VALUE"""),"First Times a Charm Cider")</f>
        <v>First Times a Charm Cider</v>
      </c>
      <c r="H1391" s="27" t="str">
        <f>IFERROR(__xludf.DUMMYFUNCTION("""COMPUTED_VALUE"""),"")</f>
        <v/>
      </c>
    </row>
    <row r="1392">
      <c r="A1392" s="17"/>
      <c r="B1392" s="23"/>
      <c r="C1392" s="17">
        <f>IFERROR(__xludf.DUMMYFUNCTION("""COMPUTED_VALUE"""),43540.0602434837)</f>
        <v>43540.06024</v>
      </c>
      <c r="D1392" s="23">
        <f>IFERROR(__xludf.DUMMYFUNCTION("""COMPUTED_VALUE"""),1.038)</f>
        <v>1.038</v>
      </c>
      <c r="E1392" s="24">
        <f>IFERROR(__xludf.DUMMYFUNCTION("""COMPUTED_VALUE"""),70.0)</f>
        <v>70</v>
      </c>
      <c r="F1392" s="27" t="str">
        <f>IFERROR(__xludf.DUMMYFUNCTION("""COMPUTED_VALUE"""),"BLACK")</f>
        <v>BLACK</v>
      </c>
      <c r="G1392" s="28" t="str">
        <f>IFERROR(__xludf.DUMMYFUNCTION("""COMPUTED_VALUE"""),"First Times a Charm Cider")</f>
        <v>First Times a Charm Cider</v>
      </c>
      <c r="H1392" s="27" t="str">
        <f>IFERROR(__xludf.DUMMYFUNCTION("""COMPUTED_VALUE"""),"")</f>
        <v/>
      </c>
    </row>
    <row r="1393">
      <c r="A1393" s="17"/>
      <c r="B1393" s="23"/>
      <c r="C1393" s="17">
        <f>IFERROR(__xludf.DUMMYFUNCTION("""COMPUTED_VALUE"""),43540.0498224652)</f>
        <v>43540.04982</v>
      </c>
      <c r="D1393" s="23">
        <f>IFERROR(__xludf.DUMMYFUNCTION("""COMPUTED_VALUE"""),1.038)</f>
        <v>1.038</v>
      </c>
      <c r="E1393" s="24">
        <f>IFERROR(__xludf.DUMMYFUNCTION("""COMPUTED_VALUE"""),70.0)</f>
        <v>70</v>
      </c>
      <c r="F1393" s="27" t="str">
        <f>IFERROR(__xludf.DUMMYFUNCTION("""COMPUTED_VALUE"""),"BLACK")</f>
        <v>BLACK</v>
      </c>
      <c r="G1393" s="28" t="str">
        <f>IFERROR(__xludf.DUMMYFUNCTION("""COMPUTED_VALUE"""),"First Times a Charm Cider")</f>
        <v>First Times a Charm Cider</v>
      </c>
      <c r="H1393" s="27" t="str">
        <f>IFERROR(__xludf.DUMMYFUNCTION("""COMPUTED_VALUE"""),"")</f>
        <v/>
      </c>
    </row>
    <row r="1394">
      <c r="A1394" s="17"/>
      <c r="B1394" s="23"/>
      <c r="C1394" s="17">
        <f>IFERROR(__xludf.DUMMYFUNCTION("""COMPUTED_VALUE"""),43540.0394013888)</f>
        <v>43540.0394</v>
      </c>
      <c r="D1394" s="23">
        <f>IFERROR(__xludf.DUMMYFUNCTION("""COMPUTED_VALUE"""),1.038)</f>
        <v>1.038</v>
      </c>
      <c r="E1394" s="24">
        <f>IFERROR(__xludf.DUMMYFUNCTION("""COMPUTED_VALUE"""),70.0)</f>
        <v>70</v>
      </c>
      <c r="F1394" s="27" t="str">
        <f>IFERROR(__xludf.DUMMYFUNCTION("""COMPUTED_VALUE"""),"BLACK")</f>
        <v>BLACK</v>
      </c>
      <c r="G1394" s="28" t="str">
        <f>IFERROR(__xludf.DUMMYFUNCTION("""COMPUTED_VALUE"""),"First Times a Charm Cider")</f>
        <v>First Times a Charm Cider</v>
      </c>
      <c r="H1394" s="27" t="str">
        <f>IFERROR(__xludf.DUMMYFUNCTION("""COMPUTED_VALUE"""),"")</f>
        <v/>
      </c>
    </row>
    <row r="1395">
      <c r="A1395" s="17"/>
      <c r="B1395" s="23"/>
      <c r="C1395" s="17">
        <f>IFERROR(__xludf.DUMMYFUNCTION("""COMPUTED_VALUE"""),43540.0289690856)</f>
        <v>43540.02897</v>
      </c>
      <c r="D1395" s="23">
        <f>IFERROR(__xludf.DUMMYFUNCTION("""COMPUTED_VALUE"""),1.037)</f>
        <v>1.037</v>
      </c>
      <c r="E1395" s="24">
        <f>IFERROR(__xludf.DUMMYFUNCTION("""COMPUTED_VALUE"""),69.0)</f>
        <v>69</v>
      </c>
      <c r="F1395" s="27" t="str">
        <f>IFERROR(__xludf.DUMMYFUNCTION("""COMPUTED_VALUE"""),"BLACK")</f>
        <v>BLACK</v>
      </c>
      <c r="G1395" s="28" t="str">
        <f>IFERROR(__xludf.DUMMYFUNCTION("""COMPUTED_VALUE"""),"First Times a Charm Cider")</f>
        <v>First Times a Charm Cider</v>
      </c>
      <c r="H1395" s="27" t="str">
        <f>IFERROR(__xludf.DUMMYFUNCTION("""COMPUTED_VALUE"""),"")</f>
        <v/>
      </c>
    </row>
    <row r="1396">
      <c r="A1396" s="17"/>
      <c r="B1396" s="23"/>
      <c r="C1396" s="17">
        <f>IFERROR(__xludf.DUMMYFUNCTION("""COMPUTED_VALUE"""),43540.0185477777)</f>
        <v>43540.01855</v>
      </c>
      <c r="D1396" s="23">
        <f>IFERROR(__xludf.DUMMYFUNCTION("""COMPUTED_VALUE"""),1.037)</f>
        <v>1.037</v>
      </c>
      <c r="E1396" s="24">
        <f>IFERROR(__xludf.DUMMYFUNCTION("""COMPUTED_VALUE"""),69.0)</f>
        <v>69</v>
      </c>
      <c r="F1396" s="27" t="str">
        <f>IFERROR(__xludf.DUMMYFUNCTION("""COMPUTED_VALUE"""),"BLACK")</f>
        <v>BLACK</v>
      </c>
      <c r="G1396" s="28" t="str">
        <f>IFERROR(__xludf.DUMMYFUNCTION("""COMPUTED_VALUE"""),"First Times a Charm Cider")</f>
        <v>First Times a Charm Cider</v>
      </c>
      <c r="H1396" s="27" t="str">
        <f>IFERROR(__xludf.DUMMYFUNCTION("""COMPUTED_VALUE"""),"")</f>
        <v/>
      </c>
    </row>
    <row r="1397">
      <c r="A1397" s="17"/>
      <c r="B1397" s="23"/>
      <c r="C1397" s="17">
        <f>IFERROR(__xludf.DUMMYFUNCTION("""COMPUTED_VALUE"""),43540.008125706)</f>
        <v>43540.00813</v>
      </c>
      <c r="D1397" s="23">
        <f>IFERROR(__xludf.DUMMYFUNCTION("""COMPUTED_VALUE"""),1.037)</f>
        <v>1.037</v>
      </c>
      <c r="E1397" s="24">
        <f>IFERROR(__xludf.DUMMYFUNCTION("""COMPUTED_VALUE"""),69.0)</f>
        <v>69</v>
      </c>
      <c r="F1397" s="27" t="str">
        <f>IFERROR(__xludf.DUMMYFUNCTION("""COMPUTED_VALUE"""),"BLACK")</f>
        <v>BLACK</v>
      </c>
      <c r="G1397" s="28" t="str">
        <f>IFERROR(__xludf.DUMMYFUNCTION("""COMPUTED_VALUE"""),"First Times a Charm Cider")</f>
        <v>First Times a Charm Cider</v>
      </c>
      <c r="H1397" s="27" t="str">
        <f>IFERROR(__xludf.DUMMYFUNCTION("""COMPUTED_VALUE"""),"")</f>
        <v/>
      </c>
    </row>
    <row r="1398">
      <c r="A1398" s="17"/>
      <c r="B1398" s="23"/>
      <c r="C1398" s="17">
        <f>IFERROR(__xludf.DUMMYFUNCTION("""COMPUTED_VALUE"""),43539.9976804166)</f>
        <v>43539.99768</v>
      </c>
      <c r="D1398" s="23">
        <f>IFERROR(__xludf.DUMMYFUNCTION("""COMPUTED_VALUE"""),1.038)</f>
        <v>1.038</v>
      </c>
      <c r="E1398" s="24">
        <f>IFERROR(__xludf.DUMMYFUNCTION("""COMPUTED_VALUE"""),69.0)</f>
        <v>69</v>
      </c>
      <c r="F1398" s="27" t="str">
        <f>IFERROR(__xludf.DUMMYFUNCTION("""COMPUTED_VALUE"""),"BLACK")</f>
        <v>BLACK</v>
      </c>
      <c r="G1398" s="28" t="str">
        <f>IFERROR(__xludf.DUMMYFUNCTION("""COMPUTED_VALUE"""),"First Times a Charm Cider")</f>
        <v>First Times a Charm Cider</v>
      </c>
      <c r="H1398" s="27" t="str">
        <f>IFERROR(__xludf.DUMMYFUNCTION("""COMPUTED_VALUE"""),"")</f>
        <v/>
      </c>
    </row>
    <row r="1399">
      <c r="A1399" s="17"/>
      <c r="B1399" s="23"/>
      <c r="C1399" s="17">
        <f>IFERROR(__xludf.DUMMYFUNCTION("""COMPUTED_VALUE"""),43539.9872597453)</f>
        <v>43539.98726</v>
      </c>
      <c r="D1399" s="23">
        <f>IFERROR(__xludf.DUMMYFUNCTION("""COMPUTED_VALUE"""),1.038)</f>
        <v>1.038</v>
      </c>
      <c r="E1399" s="24">
        <f>IFERROR(__xludf.DUMMYFUNCTION("""COMPUTED_VALUE"""),69.0)</f>
        <v>69</v>
      </c>
      <c r="F1399" s="27" t="str">
        <f>IFERROR(__xludf.DUMMYFUNCTION("""COMPUTED_VALUE"""),"BLACK")</f>
        <v>BLACK</v>
      </c>
      <c r="G1399" s="28" t="str">
        <f>IFERROR(__xludf.DUMMYFUNCTION("""COMPUTED_VALUE"""),"First Times a Charm Cider")</f>
        <v>First Times a Charm Cider</v>
      </c>
      <c r="H1399" s="27" t="str">
        <f>IFERROR(__xludf.DUMMYFUNCTION("""COMPUTED_VALUE"""),"")</f>
        <v/>
      </c>
    </row>
    <row r="1400">
      <c r="A1400" s="17"/>
      <c r="B1400" s="23"/>
      <c r="C1400" s="17">
        <f>IFERROR(__xludf.DUMMYFUNCTION("""COMPUTED_VALUE"""),43539.9768262847)</f>
        <v>43539.97683</v>
      </c>
      <c r="D1400" s="23">
        <f>IFERROR(__xludf.DUMMYFUNCTION("""COMPUTED_VALUE"""),1.038)</f>
        <v>1.038</v>
      </c>
      <c r="E1400" s="24">
        <f>IFERROR(__xludf.DUMMYFUNCTION("""COMPUTED_VALUE"""),69.0)</f>
        <v>69</v>
      </c>
      <c r="F1400" s="27" t="str">
        <f>IFERROR(__xludf.DUMMYFUNCTION("""COMPUTED_VALUE"""),"BLACK")</f>
        <v>BLACK</v>
      </c>
      <c r="G1400" s="28" t="str">
        <f>IFERROR(__xludf.DUMMYFUNCTION("""COMPUTED_VALUE"""),"First Times a Charm Cider")</f>
        <v>First Times a Charm Cider</v>
      </c>
      <c r="H1400" s="27" t="str">
        <f>IFERROR(__xludf.DUMMYFUNCTION("""COMPUTED_VALUE"""),"")</f>
        <v/>
      </c>
    </row>
    <row r="1401">
      <c r="A1401" s="17"/>
      <c r="B1401" s="23"/>
      <c r="C1401" s="17">
        <f>IFERROR(__xludf.DUMMYFUNCTION("""COMPUTED_VALUE"""),43539.9664035532)</f>
        <v>43539.9664</v>
      </c>
      <c r="D1401" s="23">
        <f>IFERROR(__xludf.DUMMYFUNCTION("""COMPUTED_VALUE"""),1.038)</f>
        <v>1.038</v>
      </c>
      <c r="E1401" s="24">
        <f>IFERROR(__xludf.DUMMYFUNCTION("""COMPUTED_VALUE"""),69.0)</f>
        <v>69</v>
      </c>
      <c r="F1401" s="27" t="str">
        <f>IFERROR(__xludf.DUMMYFUNCTION("""COMPUTED_VALUE"""),"BLACK")</f>
        <v>BLACK</v>
      </c>
      <c r="G1401" s="28" t="str">
        <f>IFERROR(__xludf.DUMMYFUNCTION("""COMPUTED_VALUE"""),"First Times a Charm Cider")</f>
        <v>First Times a Charm Cider</v>
      </c>
      <c r="H1401" s="27" t="str">
        <f>IFERROR(__xludf.DUMMYFUNCTION("""COMPUTED_VALUE"""),"")</f>
        <v/>
      </c>
    </row>
    <row r="1402">
      <c r="A1402" s="17"/>
      <c r="B1402" s="23"/>
      <c r="C1402" s="17">
        <f>IFERROR(__xludf.DUMMYFUNCTION("""COMPUTED_VALUE"""),43539.9559821064)</f>
        <v>43539.95598</v>
      </c>
      <c r="D1402" s="23">
        <f>IFERROR(__xludf.DUMMYFUNCTION("""COMPUTED_VALUE"""),1.038)</f>
        <v>1.038</v>
      </c>
      <c r="E1402" s="24">
        <f>IFERROR(__xludf.DUMMYFUNCTION("""COMPUTED_VALUE"""),69.0)</f>
        <v>69</v>
      </c>
      <c r="F1402" s="27" t="str">
        <f>IFERROR(__xludf.DUMMYFUNCTION("""COMPUTED_VALUE"""),"BLACK")</f>
        <v>BLACK</v>
      </c>
      <c r="G1402" s="28" t="str">
        <f>IFERROR(__xludf.DUMMYFUNCTION("""COMPUTED_VALUE"""),"First Times a Charm Cider")</f>
        <v>First Times a Charm Cider</v>
      </c>
      <c r="H1402" s="27" t="str">
        <f>IFERROR(__xludf.DUMMYFUNCTION("""COMPUTED_VALUE"""),"")</f>
        <v/>
      </c>
    </row>
    <row r="1403">
      <c r="A1403" s="17"/>
      <c r="B1403" s="23"/>
      <c r="C1403" s="17">
        <f>IFERROR(__xludf.DUMMYFUNCTION("""COMPUTED_VALUE"""),43539.945558993)</f>
        <v>43539.94556</v>
      </c>
      <c r="D1403" s="23">
        <f>IFERROR(__xludf.DUMMYFUNCTION("""COMPUTED_VALUE"""),1.038)</f>
        <v>1.038</v>
      </c>
      <c r="E1403" s="24">
        <f>IFERROR(__xludf.DUMMYFUNCTION("""COMPUTED_VALUE"""),69.0)</f>
        <v>69</v>
      </c>
      <c r="F1403" s="27" t="str">
        <f>IFERROR(__xludf.DUMMYFUNCTION("""COMPUTED_VALUE"""),"BLACK")</f>
        <v>BLACK</v>
      </c>
      <c r="G1403" s="28" t="str">
        <f>IFERROR(__xludf.DUMMYFUNCTION("""COMPUTED_VALUE"""),"First Times a Charm Cider")</f>
        <v>First Times a Charm Cider</v>
      </c>
      <c r="H1403" s="27" t="str">
        <f>IFERROR(__xludf.DUMMYFUNCTION("""COMPUTED_VALUE"""),"")</f>
        <v/>
      </c>
    </row>
    <row r="1404">
      <c r="A1404" s="17"/>
      <c r="B1404" s="23"/>
      <c r="C1404" s="17">
        <f>IFERROR(__xludf.DUMMYFUNCTION("""COMPUTED_VALUE"""),43539.9351348495)</f>
        <v>43539.93513</v>
      </c>
      <c r="D1404" s="23">
        <f>IFERROR(__xludf.DUMMYFUNCTION("""COMPUTED_VALUE"""),1.038)</f>
        <v>1.038</v>
      </c>
      <c r="E1404" s="24">
        <f>IFERROR(__xludf.DUMMYFUNCTION("""COMPUTED_VALUE"""),69.0)</f>
        <v>69</v>
      </c>
      <c r="F1404" s="27" t="str">
        <f>IFERROR(__xludf.DUMMYFUNCTION("""COMPUTED_VALUE"""),"BLACK")</f>
        <v>BLACK</v>
      </c>
      <c r="G1404" s="28" t="str">
        <f>IFERROR(__xludf.DUMMYFUNCTION("""COMPUTED_VALUE"""),"First Times a Charm Cider")</f>
        <v>First Times a Charm Cider</v>
      </c>
      <c r="H1404" s="27" t="str">
        <f>IFERROR(__xludf.DUMMYFUNCTION("""COMPUTED_VALUE"""),"")</f>
        <v/>
      </c>
    </row>
    <row r="1405">
      <c r="A1405" s="17"/>
      <c r="B1405" s="23"/>
      <c r="C1405" s="17">
        <f>IFERROR(__xludf.DUMMYFUNCTION("""COMPUTED_VALUE"""),43539.9247123148)</f>
        <v>43539.92471</v>
      </c>
      <c r="D1405" s="23">
        <f>IFERROR(__xludf.DUMMYFUNCTION("""COMPUTED_VALUE"""),1.038)</f>
        <v>1.038</v>
      </c>
      <c r="E1405" s="24">
        <f>IFERROR(__xludf.DUMMYFUNCTION("""COMPUTED_VALUE"""),69.0)</f>
        <v>69</v>
      </c>
      <c r="F1405" s="27" t="str">
        <f>IFERROR(__xludf.DUMMYFUNCTION("""COMPUTED_VALUE"""),"BLACK")</f>
        <v>BLACK</v>
      </c>
      <c r="G1405" s="28" t="str">
        <f>IFERROR(__xludf.DUMMYFUNCTION("""COMPUTED_VALUE"""),"First Times a Charm Cider")</f>
        <v>First Times a Charm Cider</v>
      </c>
      <c r="H1405" s="27" t="str">
        <f>IFERROR(__xludf.DUMMYFUNCTION("""COMPUTED_VALUE"""),"")</f>
        <v/>
      </c>
    </row>
    <row r="1406">
      <c r="A1406" s="17"/>
      <c r="B1406" s="23"/>
      <c r="C1406" s="17">
        <f>IFERROR(__xludf.DUMMYFUNCTION("""COMPUTED_VALUE"""),43539.9142921064)</f>
        <v>43539.91429</v>
      </c>
      <c r="D1406" s="23">
        <f>IFERROR(__xludf.DUMMYFUNCTION("""COMPUTED_VALUE"""),1.038)</f>
        <v>1.038</v>
      </c>
      <c r="E1406" s="24">
        <f>IFERROR(__xludf.DUMMYFUNCTION("""COMPUTED_VALUE"""),69.0)</f>
        <v>69</v>
      </c>
      <c r="F1406" s="27" t="str">
        <f>IFERROR(__xludf.DUMMYFUNCTION("""COMPUTED_VALUE"""),"BLACK")</f>
        <v>BLACK</v>
      </c>
      <c r="G1406" s="28" t="str">
        <f>IFERROR(__xludf.DUMMYFUNCTION("""COMPUTED_VALUE"""),"First Times a Charm Cider")</f>
        <v>First Times a Charm Cider</v>
      </c>
      <c r="H1406" s="27" t="str">
        <f>IFERROR(__xludf.DUMMYFUNCTION("""COMPUTED_VALUE"""),"")</f>
        <v/>
      </c>
    </row>
    <row r="1407">
      <c r="A1407" s="17"/>
      <c r="B1407" s="23"/>
      <c r="C1407" s="17">
        <f>IFERROR(__xludf.DUMMYFUNCTION("""COMPUTED_VALUE"""),43539.9038579166)</f>
        <v>43539.90386</v>
      </c>
      <c r="D1407" s="23">
        <f>IFERROR(__xludf.DUMMYFUNCTION("""COMPUTED_VALUE"""),1.038)</f>
        <v>1.038</v>
      </c>
      <c r="E1407" s="24">
        <f>IFERROR(__xludf.DUMMYFUNCTION("""COMPUTED_VALUE"""),69.0)</f>
        <v>69</v>
      </c>
      <c r="F1407" s="27" t="str">
        <f>IFERROR(__xludf.DUMMYFUNCTION("""COMPUTED_VALUE"""),"BLACK")</f>
        <v>BLACK</v>
      </c>
      <c r="G1407" s="28" t="str">
        <f>IFERROR(__xludf.DUMMYFUNCTION("""COMPUTED_VALUE"""),"First Times a Charm Cider")</f>
        <v>First Times a Charm Cider</v>
      </c>
      <c r="H1407" s="27" t="str">
        <f>IFERROR(__xludf.DUMMYFUNCTION("""COMPUTED_VALUE"""),"")</f>
        <v/>
      </c>
    </row>
    <row r="1408">
      <c r="A1408" s="17"/>
      <c r="B1408" s="23"/>
      <c r="C1408" s="17">
        <f>IFERROR(__xludf.DUMMYFUNCTION("""COMPUTED_VALUE"""),43539.8934376851)</f>
        <v>43539.89344</v>
      </c>
      <c r="D1408" s="23">
        <f>IFERROR(__xludf.DUMMYFUNCTION("""COMPUTED_VALUE"""),1.038)</f>
        <v>1.038</v>
      </c>
      <c r="E1408" s="24">
        <f>IFERROR(__xludf.DUMMYFUNCTION("""COMPUTED_VALUE"""),69.0)</f>
        <v>69</v>
      </c>
      <c r="F1408" s="27" t="str">
        <f>IFERROR(__xludf.DUMMYFUNCTION("""COMPUTED_VALUE"""),"BLACK")</f>
        <v>BLACK</v>
      </c>
      <c r="G1408" s="28" t="str">
        <f>IFERROR(__xludf.DUMMYFUNCTION("""COMPUTED_VALUE"""),"First Times a Charm Cider")</f>
        <v>First Times a Charm Cider</v>
      </c>
      <c r="H1408" s="27" t="str">
        <f>IFERROR(__xludf.DUMMYFUNCTION("""COMPUTED_VALUE"""),"")</f>
        <v/>
      </c>
    </row>
    <row r="1409">
      <c r="A1409" s="17"/>
      <c r="B1409" s="23"/>
      <c r="C1409" s="17">
        <f>IFERROR(__xludf.DUMMYFUNCTION("""COMPUTED_VALUE"""),43539.8830172569)</f>
        <v>43539.88302</v>
      </c>
      <c r="D1409" s="23">
        <f>IFERROR(__xludf.DUMMYFUNCTION("""COMPUTED_VALUE"""),1.038)</f>
        <v>1.038</v>
      </c>
      <c r="E1409" s="24">
        <f>IFERROR(__xludf.DUMMYFUNCTION("""COMPUTED_VALUE"""),69.0)</f>
        <v>69</v>
      </c>
      <c r="F1409" s="27" t="str">
        <f>IFERROR(__xludf.DUMMYFUNCTION("""COMPUTED_VALUE"""),"BLACK")</f>
        <v>BLACK</v>
      </c>
      <c r="G1409" s="28" t="str">
        <f>IFERROR(__xludf.DUMMYFUNCTION("""COMPUTED_VALUE"""),"First Times a Charm Cider")</f>
        <v>First Times a Charm Cider</v>
      </c>
      <c r="H1409" s="27" t="str">
        <f>IFERROR(__xludf.DUMMYFUNCTION("""COMPUTED_VALUE"""),"")</f>
        <v/>
      </c>
    </row>
    <row r="1410">
      <c r="A1410" s="17"/>
      <c r="B1410" s="23"/>
      <c r="C1410" s="17">
        <f>IFERROR(__xludf.DUMMYFUNCTION("""COMPUTED_VALUE"""),43539.87259603)</f>
        <v>43539.8726</v>
      </c>
      <c r="D1410" s="23">
        <f>IFERROR(__xludf.DUMMYFUNCTION("""COMPUTED_VALUE"""),1.038)</f>
        <v>1.038</v>
      </c>
      <c r="E1410" s="24">
        <f>IFERROR(__xludf.DUMMYFUNCTION("""COMPUTED_VALUE"""),69.0)</f>
        <v>69</v>
      </c>
      <c r="F1410" s="27" t="str">
        <f>IFERROR(__xludf.DUMMYFUNCTION("""COMPUTED_VALUE"""),"BLACK")</f>
        <v>BLACK</v>
      </c>
      <c r="G1410" s="28" t="str">
        <f>IFERROR(__xludf.DUMMYFUNCTION("""COMPUTED_VALUE"""),"First Times a Charm Cider")</f>
        <v>First Times a Charm Cider</v>
      </c>
      <c r="H1410" s="27" t="str">
        <f>IFERROR(__xludf.DUMMYFUNCTION("""COMPUTED_VALUE"""),"")</f>
        <v/>
      </c>
    </row>
    <row r="1411">
      <c r="A1411" s="17"/>
      <c r="B1411" s="23"/>
      <c r="C1411" s="17">
        <f>IFERROR(__xludf.DUMMYFUNCTION("""COMPUTED_VALUE"""),43539.8621736111)</f>
        <v>43539.86217</v>
      </c>
      <c r="D1411" s="23">
        <f>IFERROR(__xludf.DUMMYFUNCTION("""COMPUTED_VALUE"""),1.038)</f>
        <v>1.038</v>
      </c>
      <c r="E1411" s="24">
        <f>IFERROR(__xludf.DUMMYFUNCTION("""COMPUTED_VALUE"""),69.0)</f>
        <v>69</v>
      </c>
      <c r="F1411" s="27" t="str">
        <f>IFERROR(__xludf.DUMMYFUNCTION("""COMPUTED_VALUE"""),"BLACK")</f>
        <v>BLACK</v>
      </c>
      <c r="G1411" s="28" t="str">
        <f>IFERROR(__xludf.DUMMYFUNCTION("""COMPUTED_VALUE"""),"First Times a Charm Cider")</f>
        <v>First Times a Charm Cider</v>
      </c>
      <c r="H1411" s="27" t="str">
        <f>IFERROR(__xludf.DUMMYFUNCTION("""COMPUTED_VALUE"""),"")</f>
        <v/>
      </c>
    </row>
    <row r="1412">
      <c r="A1412" s="17"/>
      <c r="B1412" s="23"/>
      <c r="C1412" s="17">
        <f>IFERROR(__xludf.DUMMYFUNCTION("""COMPUTED_VALUE"""),43539.8517496296)</f>
        <v>43539.85175</v>
      </c>
      <c r="D1412" s="23">
        <f>IFERROR(__xludf.DUMMYFUNCTION("""COMPUTED_VALUE"""),1.038)</f>
        <v>1.038</v>
      </c>
      <c r="E1412" s="24">
        <f>IFERROR(__xludf.DUMMYFUNCTION("""COMPUTED_VALUE"""),69.0)</f>
        <v>69</v>
      </c>
      <c r="F1412" s="27" t="str">
        <f>IFERROR(__xludf.DUMMYFUNCTION("""COMPUTED_VALUE"""),"BLACK")</f>
        <v>BLACK</v>
      </c>
      <c r="G1412" s="28" t="str">
        <f>IFERROR(__xludf.DUMMYFUNCTION("""COMPUTED_VALUE"""),"First Times a Charm Cider")</f>
        <v>First Times a Charm Cider</v>
      </c>
      <c r="H1412" s="27" t="str">
        <f>IFERROR(__xludf.DUMMYFUNCTION("""COMPUTED_VALUE"""),"")</f>
        <v/>
      </c>
    </row>
    <row r="1413">
      <c r="A1413" s="17"/>
      <c r="B1413" s="23"/>
      <c r="C1413" s="17">
        <f>IFERROR(__xludf.DUMMYFUNCTION("""COMPUTED_VALUE"""),43539.8413267824)</f>
        <v>43539.84133</v>
      </c>
      <c r="D1413" s="23">
        <f>IFERROR(__xludf.DUMMYFUNCTION("""COMPUTED_VALUE"""),1.038)</f>
        <v>1.038</v>
      </c>
      <c r="E1413" s="24">
        <f>IFERROR(__xludf.DUMMYFUNCTION("""COMPUTED_VALUE"""),69.0)</f>
        <v>69</v>
      </c>
      <c r="F1413" s="27" t="str">
        <f>IFERROR(__xludf.DUMMYFUNCTION("""COMPUTED_VALUE"""),"BLACK")</f>
        <v>BLACK</v>
      </c>
      <c r="G1413" s="28" t="str">
        <f>IFERROR(__xludf.DUMMYFUNCTION("""COMPUTED_VALUE"""),"First Times a Charm Cider")</f>
        <v>First Times a Charm Cider</v>
      </c>
      <c r="H1413" s="27" t="str">
        <f>IFERROR(__xludf.DUMMYFUNCTION("""COMPUTED_VALUE"""),"")</f>
        <v/>
      </c>
    </row>
    <row r="1414">
      <c r="A1414" s="17"/>
      <c r="B1414" s="23"/>
      <c r="C1414" s="17">
        <f>IFERROR(__xludf.DUMMYFUNCTION("""COMPUTED_VALUE"""),43539.8309058796)</f>
        <v>43539.83091</v>
      </c>
      <c r="D1414" s="23">
        <f>IFERROR(__xludf.DUMMYFUNCTION("""COMPUTED_VALUE"""),1.038)</f>
        <v>1.038</v>
      </c>
      <c r="E1414" s="24">
        <f>IFERROR(__xludf.DUMMYFUNCTION("""COMPUTED_VALUE"""),69.0)</f>
        <v>69</v>
      </c>
      <c r="F1414" s="27" t="str">
        <f>IFERROR(__xludf.DUMMYFUNCTION("""COMPUTED_VALUE"""),"BLACK")</f>
        <v>BLACK</v>
      </c>
      <c r="G1414" s="28" t="str">
        <f>IFERROR(__xludf.DUMMYFUNCTION("""COMPUTED_VALUE"""),"First Times a Charm Cider")</f>
        <v>First Times a Charm Cider</v>
      </c>
      <c r="H1414" s="27" t="str">
        <f>IFERROR(__xludf.DUMMYFUNCTION("""COMPUTED_VALUE"""),"")</f>
        <v/>
      </c>
    </row>
    <row r="1415">
      <c r="A1415" s="17"/>
      <c r="B1415" s="23"/>
      <c r="C1415" s="17">
        <f>IFERROR(__xludf.DUMMYFUNCTION("""COMPUTED_VALUE"""),43539.8204823495)</f>
        <v>43539.82048</v>
      </c>
      <c r="D1415" s="23">
        <f>IFERROR(__xludf.DUMMYFUNCTION("""COMPUTED_VALUE"""),1.038)</f>
        <v>1.038</v>
      </c>
      <c r="E1415" s="24">
        <f>IFERROR(__xludf.DUMMYFUNCTION("""COMPUTED_VALUE"""),69.0)</f>
        <v>69</v>
      </c>
      <c r="F1415" s="27" t="str">
        <f>IFERROR(__xludf.DUMMYFUNCTION("""COMPUTED_VALUE"""),"BLACK")</f>
        <v>BLACK</v>
      </c>
      <c r="G1415" s="28" t="str">
        <f>IFERROR(__xludf.DUMMYFUNCTION("""COMPUTED_VALUE"""),"First Times a Charm Cider")</f>
        <v>First Times a Charm Cider</v>
      </c>
      <c r="H1415" s="27" t="str">
        <f>IFERROR(__xludf.DUMMYFUNCTION("""COMPUTED_VALUE"""),"")</f>
        <v/>
      </c>
    </row>
    <row r="1416">
      <c r="A1416" s="17"/>
      <c r="B1416" s="23"/>
      <c r="C1416" s="17">
        <f>IFERROR(__xludf.DUMMYFUNCTION("""COMPUTED_VALUE"""),43539.8100606249)</f>
        <v>43539.81006</v>
      </c>
      <c r="D1416" s="23">
        <f>IFERROR(__xludf.DUMMYFUNCTION("""COMPUTED_VALUE"""),1.038)</f>
        <v>1.038</v>
      </c>
      <c r="E1416" s="24">
        <f>IFERROR(__xludf.DUMMYFUNCTION("""COMPUTED_VALUE"""),69.0)</f>
        <v>69</v>
      </c>
      <c r="F1416" s="27" t="str">
        <f>IFERROR(__xludf.DUMMYFUNCTION("""COMPUTED_VALUE"""),"BLACK")</f>
        <v>BLACK</v>
      </c>
      <c r="G1416" s="28" t="str">
        <f>IFERROR(__xludf.DUMMYFUNCTION("""COMPUTED_VALUE"""),"First Times a Charm Cider")</f>
        <v>First Times a Charm Cider</v>
      </c>
      <c r="H1416" s="27" t="str">
        <f>IFERROR(__xludf.DUMMYFUNCTION("""COMPUTED_VALUE"""),"")</f>
        <v/>
      </c>
    </row>
    <row r="1417">
      <c r="A1417" s="17"/>
      <c r="B1417" s="23"/>
      <c r="C1417" s="17">
        <f>IFERROR(__xludf.DUMMYFUNCTION("""COMPUTED_VALUE"""),43539.799602824)</f>
        <v>43539.7996</v>
      </c>
      <c r="D1417" s="23">
        <f>IFERROR(__xludf.DUMMYFUNCTION("""COMPUTED_VALUE"""),1.038)</f>
        <v>1.038</v>
      </c>
      <c r="E1417" s="24">
        <f>IFERROR(__xludf.DUMMYFUNCTION("""COMPUTED_VALUE"""),69.0)</f>
        <v>69</v>
      </c>
      <c r="F1417" s="27" t="str">
        <f>IFERROR(__xludf.DUMMYFUNCTION("""COMPUTED_VALUE"""),"BLACK")</f>
        <v>BLACK</v>
      </c>
      <c r="G1417" s="28" t="str">
        <f>IFERROR(__xludf.DUMMYFUNCTION("""COMPUTED_VALUE"""),"First Times a Charm Cider")</f>
        <v>First Times a Charm Cider</v>
      </c>
      <c r="H1417" s="27" t="str">
        <f>IFERROR(__xludf.DUMMYFUNCTION("""COMPUTED_VALUE"""),"")</f>
        <v/>
      </c>
    </row>
    <row r="1418">
      <c r="A1418" s="17"/>
      <c r="B1418" s="23"/>
      <c r="C1418" s="17">
        <f>IFERROR(__xludf.DUMMYFUNCTION("""COMPUTED_VALUE"""),43539.7891828935)</f>
        <v>43539.78918</v>
      </c>
      <c r="D1418" s="23">
        <f>IFERROR(__xludf.DUMMYFUNCTION("""COMPUTED_VALUE"""),1.038)</f>
        <v>1.038</v>
      </c>
      <c r="E1418" s="24">
        <f>IFERROR(__xludf.DUMMYFUNCTION("""COMPUTED_VALUE"""),69.0)</f>
        <v>69</v>
      </c>
      <c r="F1418" s="27" t="str">
        <f>IFERROR(__xludf.DUMMYFUNCTION("""COMPUTED_VALUE"""),"BLACK")</f>
        <v>BLACK</v>
      </c>
      <c r="G1418" s="28" t="str">
        <f>IFERROR(__xludf.DUMMYFUNCTION("""COMPUTED_VALUE"""),"First Times a Charm Cider")</f>
        <v>First Times a Charm Cider</v>
      </c>
      <c r="H1418" s="27" t="str">
        <f>IFERROR(__xludf.DUMMYFUNCTION("""COMPUTED_VALUE"""),"")</f>
        <v/>
      </c>
    </row>
    <row r="1419">
      <c r="A1419" s="17"/>
      <c r="B1419" s="23"/>
      <c r="C1419" s="17">
        <f>IFERROR(__xludf.DUMMYFUNCTION("""COMPUTED_VALUE"""),43539.7787627893)</f>
        <v>43539.77876</v>
      </c>
      <c r="D1419" s="23">
        <f>IFERROR(__xludf.DUMMYFUNCTION("""COMPUTED_VALUE"""),1.038)</f>
        <v>1.038</v>
      </c>
      <c r="E1419" s="24">
        <f>IFERROR(__xludf.DUMMYFUNCTION("""COMPUTED_VALUE"""),69.0)</f>
        <v>69</v>
      </c>
      <c r="F1419" s="27" t="str">
        <f>IFERROR(__xludf.DUMMYFUNCTION("""COMPUTED_VALUE"""),"BLACK")</f>
        <v>BLACK</v>
      </c>
      <c r="G1419" s="28" t="str">
        <f>IFERROR(__xludf.DUMMYFUNCTION("""COMPUTED_VALUE"""),"First Times a Charm Cider")</f>
        <v>First Times a Charm Cider</v>
      </c>
      <c r="H1419" s="27" t="str">
        <f>IFERROR(__xludf.DUMMYFUNCTION("""COMPUTED_VALUE"""),"")</f>
        <v/>
      </c>
    </row>
    <row r="1420">
      <c r="A1420" s="17"/>
      <c r="B1420" s="23"/>
      <c r="C1420" s="17">
        <f>IFERROR(__xludf.DUMMYFUNCTION("""COMPUTED_VALUE"""),43539.7683412268)</f>
        <v>43539.76834</v>
      </c>
      <c r="D1420" s="23">
        <f>IFERROR(__xludf.DUMMYFUNCTION("""COMPUTED_VALUE"""),1.038)</f>
        <v>1.038</v>
      </c>
      <c r="E1420" s="24">
        <f>IFERROR(__xludf.DUMMYFUNCTION("""COMPUTED_VALUE"""),69.0)</f>
        <v>69</v>
      </c>
      <c r="F1420" s="27" t="str">
        <f>IFERROR(__xludf.DUMMYFUNCTION("""COMPUTED_VALUE"""),"BLACK")</f>
        <v>BLACK</v>
      </c>
      <c r="G1420" s="28" t="str">
        <f>IFERROR(__xludf.DUMMYFUNCTION("""COMPUTED_VALUE"""),"First Times a Charm Cider")</f>
        <v>First Times a Charm Cider</v>
      </c>
      <c r="H1420" s="27" t="str">
        <f>IFERROR(__xludf.DUMMYFUNCTION("""COMPUTED_VALUE"""),"")</f>
        <v/>
      </c>
    </row>
    <row r="1421">
      <c r="A1421" s="17"/>
      <c r="B1421" s="23"/>
      <c r="C1421" s="17">
        <f>IFERROR(__xludf.DUMMYFUNCTION("""COMPUTED_VALUE"""),43539.7579223726)</f>
        <v>43539.75792</v>
      </c>
      <c r="D1421" s="23">
        <f>IFERROR(__xludf.DUMMYFUNCTION("""COMPUTED_VALUE"""),1.038)</f>
        <v>1.038</v>
      </c>
      <c r="E1421" s="24">
        <f>IFERROR(__xludf.DUMMYFUNCTION("""COMPUTED_VALUE"""),69.0)</f>
        <v>69</v>
      </c>
      <c r="F1421" s="27" t="str">
        <f>IFERROR(__xludf.DUMMYFUNCTION("""COMPUTED_VALUE"""),"BLACK")</f>
        <v>BLACK</v>
      </c>
      <c r="G1421" s="28" t="str">
        <f>IFERROR(__xludf.DUMMYFUNCTION("""COMPUTED_VALUE"""),"First Times a Charm Cider")</f>
        <v>First Times a Charm Cider</v>
      </c>
      <c r="H1421" s="27" t="str">
        <f>IFERROR(__xludf.DUMMYFUNCTION("""COMPUTED_VALUE"""),"")</f>
        <v/>
      </c>
    </row>
    <row r="1422">
      <c r="A1422" s="17"/>
      <c r="B1422" s="23"/>
      <c r="C1422" s="17">
        <f>IFERROR(__xludf.DUMMYFUNCTION("""COMPUTED_VALUE"""),43539.7475029398)</f>
        <v>43539.7475</v>
      </c>
      <c r="D1422" s="23">
        <f>IFERROR(__xludf.DUMMYFUNCTION("""COMPUTED_VALUE"""),1.038)</f>
        <v>1.038</v>
      </c>
      <c r="E1422" s="24">
        <f>IFERROR(__xludf.DUMMYFUNCTION("""COMPUTED_VALUE"""),69.0)</f>
        <v>69</v>
      </c>
      <c r="F1422" s="27" t="str">
        <f>IFERROR(__xludf.DUMMYFUNCTION("""COMPUTED_VALUE"""),"BLACK")</f>
        <v>BLACK</v>
      </c>
      <c r="G1422" s="28" t="str">
        <f>IFERROR(__xludf.DUMMYFUNCTION("""COMPUTED_VALUE"""),"First Times a Charm Cider")</f>
        <v>First Times a Charm Cider</v>
      </c>
      <c r="H1422" s="27" t="str">
        <f>IFERROR(__xludf.DUMMYFUNCTION("""COMPUTED_VALUE"""),"")</f>
        <v/>
      </c>
    </row>
    <row r="1423">
      <c r="A1423" s="17"/>
      <c r="B1423" s="23"/>
      <c r="C1423" s="17">
        <f>IFERROR(__xludf.DUMMYFUNCTION("""COMPUTED_VALUE"""),43539.737082581)</f>
        <v>43539.73708</v>
      </c>
      <c r="D1423" s="23">
        <f>IFERROR(__xludf.DUMMYFUNCTION("""COMPUTED_VALUE"""),1.038)</f>
        <v>1.038</v>
      </c>
      <c r="E1423" s="24">
        <f>IFERROR(__xludf.DUMMYFUNCTION("""COMPUTED_VALUE"""),69.0)</f>
        <v>69</v>
      </c>
      <c r="F1423" s="27" t="str">
        <f>IFERROR(__xludf.DUMMYFUNCTION("""COMPUTED_VALUE"""),"BLACK")</f>
        <v>BLACK</v>
      </c>
      <c r="G1423" s="28" t="str">
        <f>IFERROR(__xludf.DUMMYFUNCTION("""COMPUTED_VALUE"""),"First Times a Charm Cider")</f>
        <v>First Times a Charm Cider</v>
      </c>
      <c r="H1423" s="27" t="str">
        <f>IFERROR(__xludf.DUMMYFUNCTION("""COMPUTED_VALUE"""),"")</f>
        <v/>
      </c>
    </row>
    <row r="1424">
      <c r="A1424" s="17"/>
      <c r="B1424" s="23"/>
      <c r="C1424" s="17">
        <f>IFERROR(__xludf.DUMMYFUNCTION("""COMPUTED_VALUE"""),43539.7266499421)</f>
        <v>43539.72665</v>
      </c>
      <c r="D1424" s="23">
        <f>IFERROR(__xludf.DUMMYFUNCTION("""COMPUTED_VALUE"""),1.038)</f>
        <v>1.038</v>
      </c>
      <c r="E1424" s="24">
        <f>IFERROR(__xludf.DUMMYFUNCTION("""COMPUTED_VALUE"""),69.0)</f>
        <v>69</v>
      </c>
      <c r="F1424" s="27" t="str">
        <f>IFERROR(__xludf.DUMMYFUNCTION("""COMPUTED_VALUE"""),"BLACK")</f>
        <v>BLACK</v>
      </c>
      <c r="G1424" s="28" t="str">
        <f>IFERROR(__xludf.DUMMYFUNCTION("""COMPUTED_VALUE"""),"First Times a Charm Cider")</f>
        <v>First Times a Charm Cider</v>
      </c>
      <c r="H1424" s="27" t="str">
        <f>IFERROR(__xludf.DUMMYFUNCTION("""COMPUTED_VALUE"""),"")</f>
        <v/>
      </c>
    </row>
    <row r="1425">
      <c r="A1425" s="17"/>
      <c r="B1425" s="23"/>
      <c r="C1425" s="17">
        <f>IFERROR(__xludf.DUMMYFUNCTION("""COMPUTED_VALUE"""),43539.7162296412)</f>
        <v>43539.71623</v>
      </c>
      <c r="D1425" s="23">
        <f>IFERROR(__xludf.DUMMYFUNCTION("""COMPUTED_VALUE"""),1.038)</f>
        <v>1.038</v>
      </c>
      <c r="E1425" s="24">
        <f>IFERROR(__xludf.DUMMYFUNCTION("""COMPUTED_VALUE"""),69.0)</f>
        <v>69</v>
      </c>
      <c r="F1425" s="27" t="str">
        <f>IFERROR(__xludf.DUMMYFUNCTION("""COMPUTED_VALUE"""),"BLACK")</f>
        <v>BLACK</v>
      </c>
      <c r="G1425" s="28" t="str">
        <f>IFERROR(__xludf.DUMMYFUNCTION("""COMPUTED_VALUE"""),"First Times a Charm Cider")</f>
        <v>First Times a Charm Cider</v>
      </c>
      <c r="H1425" s="27" t="str">
        <f>IFERROR(__xludf.DUMMYFUNCTION("""COMPUTED_VALUE"""),"")</f>
        <v/>
      </c>
    </row>
    <row r="1426">
      <c r="A1426" s="17"/>
      <c r="B1426" s="23"/>
      <c r="C1426" s="17">
        <f>IFERROR(__xludf.DUMMYFUNCTION("""COMPUTED_VALUE"""),43539.7058098726)</f>
        <v>43539.70581</v>
      </c>
      <c r="D1426" s="23">
        <f>IFERROR(__xludf.DUMMYFUNCTION("""COMPUTED_VALUE"""),1.038)</f>
        <v>1.038</v>
      </c>
      <c r="E1426" s="24">
        <f>IFERROR(__xludf.DUMMYFUNCTION("""COMPUTED_VALUE"""),69.0)</f>
        <v>69</v>
      </c>
      <c r="F1426" s="27" t="str">
        <f>IFERROR(__xludf.DUMMYFUNCTION("""COMPUTED_VALUE"""),"BLACK")</f>
        <v>BLACK</v>
      </c>
      <c r="G1426" s="28" t="str">
        <f>IFERROR(__xludf.DUMMYFUNCTION("""COMPUTED_VALUE"""),"First Times a Charm Cider")</f>
        <v>First Times a Charm Cider</v>
      </c>
      <c r="H1426" s="27" t="str">
        <f>IFERROR(__xludf.DUMMYFUNCTION("""COMPUTED_VALUE"""),"")</f>
        <v/>
      </c>
    </row>
    <row r="1427">
      <c r="A1427" s="17"/>
      <c r="B1427" s="23"/>
      <c r="C1427" s="17">
        <f>IFERROR(__xludf.DUMMYFUNCTION("""COMPUTED_VALUE"""),43539.6953418518)</f>
        <v>43539.69534</v>
      </c>
      <c r="D1427" s="23">
        <f>IFERROR(__xludf.DUMMYFUNCTION("""COMPUTED_VALUE"""),1.038)</f>
        <v>1.038</v>
      </c>
      <c r="E1427" s="24">
        <f>IFERROR(__xludf.DUMMYFUNCTION("""COMPUTED_VALUE"""),69.0)</f>
        <v>69</v>
      </c>
      <c r="F1427" s="27" t="str">
        <f>IFERROR(__xludf.DUMMYFUNCTION("""COMPUTED_VALUE"""),"BLACK")</f>
        <v>BLACK</v>
      </c>
      <c r="G1427" s="28" t="str">
        <f>IFERROR(__xludf.DUMMYFUNCTION("""COMPUTED_VALUE"""),"First Times a Charm Cider")</f>
        <v>First Times a Charm Cider</v>
      </c>
      <c r="H1427" s="27" t="str">
        <f>IFERROR(__xludf.DUMMYFUNCTION("""COMPUTED_VALUE"""),"")</f>
        <v/>
      </c>
    </row>
    <row r="1428">
      <c r="A1428" s="17"/>
      <c r="B1428" s="23"/>
      <c r="C1428" s="17">
        <f>IFERROR(__xludf.DUMMYFUNCTION("""COMPUTED_VALUE"""),43539.6849199537)</f>
        <v>43539.68492</v>
      </c>
      <c r="D1428" s="23">
        <f>IFERROR(__xludf.DUMMYFUNCTION("""COMPUTED_VALUE"""),1.038)</f>
        <v>1.038</v>
      </c>
      <c r="E1428" s="24">
        <f>IFERROR(__xludf.DUMMYFUNCTION("""COMPUTED_VALUE"""),69.0)</f>
        <v>69</v>
      </c>
      <c r="F1428" s="27" t="str">
        <f>IFERROR(__xludf.DUMMYFUNCTION("""COMPUTED_VALUE"""),"BLACK")</f>
        <v>BLACK</v>
      </c>
      <c r="G1428" s="28" t="str">
        <f>IFERROR(__xludf.DUMMYFUNCTION("""COMPUTED_VALUE"""),"First Times a Charm Cider")</f>
        <v>First Times a Charm Cider</v>
      </c>
      <c r="H1428" s="27" t="str">
        <f>IFERROR(__xludf.DUMMYFUNCTION("""COMPUTED_VALUE"""),"")</f>
        <v/>
      </c>
    </row>
    <row r="1429">
      <c r="A1429" s="17"/>
      <c r="B1429" s="23"/>
      <c r="C1429" s="17">
        <f>IFERROR(__xludf.DUMMYFUNCTION("""COMPUTED_VALUE"""),43539.6744974768)</f>
        <v>43539.6745</v>
      </c>
      <c r="D1429" s="23">
        <f>IFERROR(__xludf.DUMMYFUNCTION("""COMPUTED_VALUE"""),1.038)</f>
        <v>1.038</v>
      </c>
      <c r="E1429" s="24">
        <f>IFERROR(__xludf.DUMMYFUNCTION("""COMPUTED_VALUE"""),68.0)</f>
        <v>68</v>
      </c>
      <c r="F1429" s="27" t="str">
        <f>IFERROR(__xludf.DUMMYFUNCTION("""COMPUTED_VALUE"""),"BLACK")</f>
        <v>BLACK</v>
      </c>
      <c r="G1429" s="28" t="str">
        <f>IFERROR(__xludf.DUMMYFUNCTION("""COMPUTED_VALUE"""),"First Times a Charm Cider")</f>
        <v>First Times a Charm Cider</v>
      </c>
      <c r="H1429" s="27" t="str">
        <f>IFERROR(__xludf.DUMMYFUNCTION("""COMPUTED_VALUE"""),"")</f>
        <v/>
      </c>
    </row>
    <row r="1430">
      <c r="A1430" s="17"/>
      <c r="B1430" s="23"/>
      <c r="C1430" s="17">
        <f>IFERROR(__xludf.DUMMYFUNCTION("""COMPUTED_VALUE"""),43539.6640755555)</f>
        <v>43539.66408</v>
      </c>
      <c r="D1430" s="23">
        <f>IFERROR(__xludf.DUMMYFUNCTION("""COMPUTED_VALUE"""),1.038)</f>
        <v>1.038</v>
      </c>
      <c r="E1430" s="24">
        <f>IFERROR(__xludf.DUMMYFUNCTION("""COMPUTED_VALUE"""),69.0)</f>
        <v>69</v>
      </c>
      <c r="F1430" s="27" t="str">
        <f>IFERROR(__xludf.DUMMYFUNCTION("""COMPUTED_VALUE"""),"BLACK")</f>
        <v>BLACK</v>
      </c>
      <c r="G1430" s="28" t="str">
        <f>IFERROR(__xludf.DUMMYFUNCTION("""COMPUTED_VALUE"""),"First Times a Charm Cider")</f>
        <v>First Times a Charm Cider</v>
      </c>
      <c r="H1430" s="27" t="str">
        <f>IFERROR(__xludf.DUMMYFUNCTION("""COMPUTED_VALUE"""),"")</f>
        <v/>
      </c>
    </row>
    <row r="1431">
      <c r="A1431" s="17"/>
      <c r="B1431" s="23"/>
      <c r="C1431" s="17">
        <f>IFERROR(__xludf.DUMMYFUNCTION("""COMPUTED_VALUE"""),43539.6536542939)</f>
        <v>43539.65365</v>
      </c>
      <c r="D1431" s="23">
        <f>IFERROR(__xludf.DUMMYFUNCTION("""COMPUTED_VALUE"""),1.038)</f>
        <v>1.038</v>
      </c>
      <c r="E1431" s="24">
        <f>IFERROR(__xludf.DUMMYFUNCTION("""COMPUTED_VALUE"""),69.0)</f>
        <v>69</v>
      </c>
      <c r="F1431" s="27" t="str">
        <f>IFERROR(__xludf.DUMMYFUNCTION("""COMPUTED_VALUE"""),"BLACK")</f>
        <v>BLACK</v>
      </c>
      <c r="G1431" s="28" t="str">
        <f>IFERROR(__xludf.DUMMYFUNCTION("""COMPUTED_VALUE"""),"First Times a Charm Cider")</f>
        <v>First Times a Charm Cider</v>
      </c>
      <c r="H1431" s="27" t="str">
        <f>IFERROR(__xludf.DUMMYFUNCTION("""COMPUTED_VALUE"""),"")</f>
        <v/>
      </c>
    </row>
    <row r="1432">
      <c r="A1432" s="17"/>
      <c r="B1432" s="23"/>
      <c r="C1432" s="17">
        <f>IFERROR(__xludf.DUMMYFUNCTION("""COMPUTED_VALUE"""),43539.6432339351)</f>
        <v>43539.64323</v>
      </c>
      <c r="D1432" s="23">
        <f>IFERROR(__xludf.DUMMYFUNCTION("""COMPUTED_VALUE"""),1.038)</f>
        <v>1.038</v>
      </c>
      <c r="E1432" s="24">
        <f>IFERROR(__xludf.DUMMYFUNCTION("""COMPUTED_VALUE"""),68.0)</f>
        <v>68</v>
      </c>
      <c r="F1432" s="27" t="str">
        <f>IFERROR(__xludf.DUMMYFUNCTION("""COMPUTED_VALUE"""),"BLACK")</f>
        <v>BLACK</v>
      </c>
      <c r="G1432" s="28" t="str">
        <f>IFERROR(__xludf.DUMMYFUNCTION("""COMPUTED_VALUE"""),"First Times a Charm Cider")</f>
        <v>First Times a Charm Cider</v>
      </c>
      <c r="H1432" s="27" t="str">
        <f>IFERROR(__xludf.DUMMYFUNCTION("""COMPUTED_VALUE"""),"")</f>
        <v/>
      </c>
    </row>
    <row r="1433">
      <c r="A1433" s="17"/>
      <c r="B1433" s="23"/>
      <c r="C1433" s="17">
        <f>IFERROR(__xludf.DUMMYFUNCTION("""COMPUTED_VALUE"""),43539.6328135879)</f>
        <v>43539.63281</v>
      </c>
      <c r="D1433" s="23">
        <f>IFERROR(__xludf.DUMMYFUNCTION("""COMPUTED_VALUE"""),1.038)</f>
        <v>1.038</v>
      </c>
      <c r="E1433" s="24">
        <f>IFERROR(__xludf.DUMMYFUNCTION("""COMPUTED_VALUE"""),68.0)</f>
        <v>68</v>
      </c>
      <c r="F1433" s="27" t="str">
        <f>IFERROR(__xludf.DUMMYFUNCTION("""COMPUTED_VALUE"""),"BLACK")</f>
        <v>BLACK</v>
      </c>
      <c r="G1433" s="28" t="str">
        <f>IFERROR(__xludf.DUMMYFUNCTION("""COMPUTED_VALUE"""),"First Times a Charm Cider")</f>
        <v>First Times a Charm Cider</v>
      </c>
      <c r="H1433" s="27" t="str">
        <f>IFERROR(__xludf.DUMMYFUNCTION("""COMPUTED_VALUE"""),"")</f>
        <v/>
      </c>
    </row>
    <row r="1434">
      <c r="A1434" s="17"/>
      <c r="B1434" s="23"/>
      <c r="C1434" s="17">
        <f>IFERROR(__xludf.DUMMYFUNCTION("""COMPUTED_VALUE"""),43539.6223910069)</f>
        <v>43539.62239</v>
      </c>
      <c r="D1434" s="23">
        <f>IFERROR(__xludf.DUMMYFUNCTION("""COMPUTED_VALUE"""),1.038)</f>
        <v>1.038</v>
      </c>
      <c r="E1434" s="24">
        <f>IFERROR(__xludf.DUMMYFUNCTION("""COMPUTED_VALUE"""),68.0)</f>
        <v>68</v>
      </c>
      <c r="F1434" s="27" t="str">
        <f>IFERROR(__xludf.DUMMYFUNCTION("""COMPUTED_VALUE"""),"BLACK")</f>
        <v>BLACK</v>
      </c>
      <c r="G1434" s="28" t="str">
        <f>IFERROR(__xludf.DUMMYFUNCTION("""COMPUTED_VALUE"""),"First Times a Charm Cider")</f>
        <v>First Times a Charm Cider</v>
      </c>
      <c r="H1434" s="27" t="str">
        <f>IFERROR(__xludf.DUMMYFUNCTION("""COMPUTED_VALUE"""),"")</f>
        <v/>
      </c>
    </row>
    <row r="1435">
      <c r="A1435" s="17"/>
      <c r="B1435" s="23"/>
      <c r="C1435" s="17">
        <f>IFERROR(__xludf.DUMMYFUNCTION("""COMPUTED_VALUE"""),43539.6119232291)</f>
        <v>43539.61192</v>
      </c>
      <c r="D1435" s="23">
        <f>IFERROR(__xludf.DUMMYFUNCTION("""COMPUTED_VALUE"""),1.038)</f>
        <v>1.038</v>
      </c>
      <c r="E1435" s="24">
        <f>IFERROR(__xludf.DUMMYFUNCTION("""COMPUTED_VALUE"""),68.0)</f>
        <v>68</v>
      </c>
      <c r="F1435" s="27" t="str">
        <f>IFERROR(__xludf.DUMMYFUNCTION("""COMPUTED_VALUE"""),"BLACK")</f>
        <v>BLACK</v>
      </c>
      <c r="G1435" s="28" t="str">
        <f>IFERROR(__xludf.DUMMYFUNCTION("""COMPUTED_VALUE"""),"First Times a Charm Cider")</f>
        <v>First Times a Charm Cider</v>
      </c>
      <c r="H1435" s="27" t="str">
        <f>IFERROR(__xludf.DUMMYFUNCTION("""COMPUTED_VALUE"""),"")</f>
        <v/>
      </c>
    </row>
    <row r="1436">
      <c r="A1436" s="17"/>
      <c r="B1436" s="23"/>
      <c r="C1436" s="17">
        <f>IFERROR(__xludf.DUMMYFUNCTION("""COMPUTED_VALUE"""),43539.6015012384)</f>
        <v>43539.6015</v>
      </c>
      <c r="D1436" s="23">
        <f>IFERROR(__xludf.DUMMYFUNCTION("""COMPUTED_VALUE"""),1.038)</f>
        <v>1.038</v>
      </c>
      <c r="E1436" s="24">
        <f>IFERROR(__xludf.DUMMYFUNCTION("""COMPUTED_VALUE"""),68.0)</f>
        <v>68</v>
      </c>
      <c r="F1436" s="27" t="str">
        <f>IFERROR(__xludf.DUMMYFUNCTION("""COMPUTED_VALUE"""),"BLACK")</f>
        <v>BLACK</v>
      </c>
      <c r="G1436" s="28" t="str">
        <f>IFERROR(__xludf.DUMMYFUNCTION("""COMPUTED_VALUE"""),"First Times a Charm Cider")</f>
        <v>First Times a Charm Cider</v>
      </c>
      <c r="H1436" s="27" t="str">
        <f>IFERROR(__xludf.DUMMYFUNCTION("""COMPUTED_VALUE"""),"")</f>
        <v/>
      </c>
    </row>
    <row r="1437">
      <c r="A1437" s="17"/>
      <c r="B1437" s="23"/>
      <c r="C1437" s="17">
        <f>IFERROR(__xludf.DUMMYFUNCTION("""COMPUTED_VALUE"""),43539.5910797106)</f>
        <v>43539.59108</v>
      </c>
      <c r="D1437" s="23">
        <f>IFERROR(__xludf.DUMMYFUNCTION("""COMPUTED_VALUE"""),1.038)</f>
        <v>1.038</v>
      </c>
      <c r="E1437" s="24">
        <f>IFERROR(__xludf.DUMMYFUNCTION("""COMPUTED_VALUE"""),68.0)</f>
        <v>68</v>
      </c>
      <c r="F1437" s="27" t="str">
        <f>IFERROR(__xludf.DUMMYFUNCTION("""COMPUTED_VALUE"""),"BLACK")</f>
        <v>BLACK</v>
      </c>
      <c r="G1437" s="28" t="str">
        <f>IFERROR(__xludf.DUMMYFUNCTION("""COMPUTED_VALUE"""),"First Times a Charm Cider")</f>
        <v>First Times a Charm Cider</v>
      </c>
      <c r="H1437" s="27" t="str">
        <f>IFERROR(__xludf.DUMMYFUNCTION("""COMPUTED_VALUE"""),"")</f>
        <v/>
      </c>
    </row>
    <row r="1438">
      <c r="A1438" s="17"/>
      <c r="B1438" s="23"/>
      <c r="C1438" s="17">
        <f>IFERROR(__xludf.DUMMYFUNCTION("""COMPUTED_VALUE"""),43539.5806579629)</f>
        <v>43539.58066</v>
      </c>
      <c r="D1438" s="23">
        <f>IFERROR(__xludf.DUMMYFUNCTION("""COMPUTED_VALUE"""),1.038)</f>
        <v>1.038</v>
      </c>
      <c r="E1438" s="24">
        <f>IFERROR(__xludf.DUMMYFUNCTION("""COMPUTED_VALUE"""),68.0)</f>
        <v>68</v>
      </c>
      <c r="F1438" s="27" t="str">
        <f>IFERROR(__xludf.DUMMYFUNCTION("""COMPUTED_VALUE"""),"BLACK")</f>
        <v>BLACK</v>
      </c>
      <c r="G1438" s="28" t="str">
        <f>IFERROR(__xludf.DUMMYFUNCTION("""COMPUTED_VALUE"""),"First Times a Charm Cider")</f>
        <v>First Times a Charm Cider</v>
      </c>
      <c r="H1438" s="27" t="str">
        <f>IFERROR(__xludf.DUMMYFUNCTION("""COMPUTED_VALUE"""),"")</f>
        <v/>
      </c>
    </row>
    <row r="1439">
      <c r="A1439" s="17"/>
      <c r="B1439" s="23"/>
      <c r="C1439" s="17">
        <f>IFERROR(__xludf.DUMMYFUNCTION("""COMPUTED_VALUE"""),43539.5702385879)</f>
        <v>43539.57024</v>
      </c>
      <c r="D1439" s="23">
        <f>IFERROR(__xludf.DUMMYFUNCTION("""COMPUTED_VALUE"""),1.038)</f>
        <v>1.038</v>
      </c>
      <c r="E1439" s="24">
        <f>IFERROR(__xludf.DUMMYFUNCTION("""COMPUTED_VALUE"""),68.0)</f>
        <v>68</v>
      </c>
      <c r="F1439" s="27" t="str">
        <f>IFERROR(__xludf.DUMMYFUNCTION("""COMPUTED_VALUE"""),"BLACK")</f>
        <v>BLACK</v>
      </c>
      <c r="G1439" s="28" t="str">
        <f>IFERROR(__xludf.DUMMYFUNCTION("""COMPUTED_VALUE"""),"First Times a Charm Cider")</f>
        <v>First Times a Charm Cider</v>
      </c>
      <c r="H1439" s="27" t="str">
        <f>IFERROR(__xludf.DUMMYFUNCTION("""COMPUTED_VALUE"""),"")</f>
        <v/>
      </c>
    </row>
    <row r="1440">
      <c r="A1440" s="17"/>
      <c r="B1440" s="23"/>
      <c r="C1440" s="17">
        <f>IFERROR(__xludf.DUMMYFUNCTION("""COMPUTED_VALUE"""),43539.5598163078)</f>
        <v>43539.55982</v>
      </c>
      <c r="D1440" s="23">
        <f>IFERROR(__xludf.DUMMYFUNCTION("""COMPUTED_VALUE"""),1.038)</f>
        <v>1.038</v>
      </c>
      <c r="E1440" s="24">
        <f>IFERROR(__xludf.DUMMYFUNCTION("""COMPUTED_VALUE"""),69.0)</f>
        <v>69</v>
      </c>
      <c r="F1440" s="27" t="str">
        <f>IFERROR(__xludf.DUMMYFUNCTION("""COMPUTED_VALUE"""),"BLACK")</f>
        <v>BLACK</v>
      </c>
      <c r="G1440" s="28" t="str">
        <f>IFERROR(__xludf.DUMMYFUNCTION("""COMPUTED_VALUE"""),"First Times a Charm Cider")</f>
        <v>First Times a Charm Cider</v>
      </c>
      <c r="H1440" s="27" t="str">
        <f>IFERROR(__xludf.DUMMYFUNCTION("""COMPUTED_VALUE"""),"")</f>
        <v/>
      </c>
    </row>
    <row r="1441">
      <c r="A1441" s="17"/>
      <c r="B1441" s="23"/>
      <c r="C1441" s="17">
        <f>IFERROR(__xludf.DUMMYFUNCTION("""COMPUTED_VALUE"""),43539.5493950463)</f>
        <v>43539.5494</v>
      </c>
      <c r="D1441" s="23">
        <f>IFERROR(__xludf.DUMMYFUNCTION("""COMPUTED_VALUE"""),1.038)</f>
        <v>1.038</v>
      </c>
      <c r="E1441" s="24">
        <f>IFERROR(__xludf.DUMMYFUNCTION("""COMPUTED_VALUE"""),68.0)</f>
        <v>68</v>
      </c>
      <c r="F1441" s="27" t="str">
        <f>IFERROR(__xludf.DUMMYFUNCTION("""COMPUTED_VALUE"""),"BLACK")</f>
        <v>BLACK</v>
      </c>
      <c r="G1441" s="28" t="str">
        <f>IFERROR(__xludf.DUMMYFUNCTION("""COMPUTED_VALUE"""),"First Times a Charm Cider")</f>
        <v>First Times a Charm Cider</v>
      </c>
      <c r="H1441" s="27" t="str">
        <f>IFERROR(__xludf.DUMMYFUNCTION("""COMPUTED_VALUE"""),"")</f>
        <v/>
      </c>
    </row>
    <row r="1442">
      <c r="A1442" s="17"/>
      <c r="B1442" s="23"/>
      <c r="C1442" s="17">
        <f>IFERROR(__xludf.DUMMYFUNCTION("""COMPUTED_VALUE"""),43539.5389616666)</f>
        <v>43539.53896</v>
      </c>
      <c r="D1442" s="23">
        <f>IFERROR(__xludf.DUMMYFUNCTION("""COMPUTED_VALUE"""),1.038)</f>
        <v>1.038</v>
      </c>
      <c r="E1442" s="24">
        <f>IFERROR(__xludf.DUMMYFUNCTION("""COMPUTED_VALUE"""),68.0)</f>
        <v>68</v>
      </c>
      <c r="F1442" s="27" t="str">
        <f>IFERROR(__xludf.DUMMYFUNCTION("""COMPUTED_VALUE"""),"BLACK")</f>
        <v>BLACK</v>
      </c>
      <c r="G1442" s="28" t="str">
        <f>IFERROR(__xludf.DUMMYFUNCTION("""COMPUTED_VALUE"""),"First Times a Charm Cider")</f>
        <v>First Times a Charm Cider</v>
      </c>
      <c r="H1442" s="27" t="str">
        <f>IFERROR(__xludf.DUMMYFUNCTION("""COMPUTED_VALUE"""),"")</f>
        <v/>
      </c>
    </row>
    <row r="1443">
      <c r="A1443" s="17"/>
      <c r="B1443" s="23"/>
      <c r="C1443" s="17">
        <f>IFERROR(__xludf.DUMMYFUNCTION("""COMPUTED_VALUE"""),43539.5285264004)</f>
        <v>43539.52853</v>
      </c>
      <c r="D1443" s="23">
        <f>IFERROR(__xludf.DUMMYFUNCTION("""COMPUTED_VALUE"""),1.038)</f>
        <v>1.038</v>
      </c>
      <c r="E1443" s="24">
        <f>IFERROR(__xludf.DUMMYFUNCTION("""COMPUTED_VALUE"""),68.0)</f>
        <v>68</v>
      </c>
      <c r="F1443" s="27" t="str">
        <f>IFERROR(__xludf.DUMMYFUNCTION("""COMPUTED_VALUE"""),"BLACK")</f>
        <v>BLACK</v>
      </c>
      <c r="G1443" s="28" t="str">
        <f>IFERROR(__xludf.DUMMYFUNCTION("""COMPUTED_VALUE"""),"First Times a Charm Cider")</f>
        <v>First Times a Charm Cider</v>
      </c>
      <c r="H1443" s="27" t="str">
        <f>IFERROR(__xludf.DUMMYFUNCTION("""COMPUTED_VALUE"""),"")</f>
        <v/>
      </c>
    </row>
    <row r="1444">
      <c r="A1444" s="17"/>
      <c r="B1444" s="23"/>
      <c r="C1444" s="17">
        <f>IFERROR(__xludf.DUMMYFUNCTION("""COMPUTED_VALUE"""),43539.5181050925)</f>
        <v>43539.51811</v>
      </c>
      <c r="D1444" s="23">
        <f>IFERROR(__xludf.DUMMYFUNCTION("""COMPUTED_VALUE"""),1.038)</f>
        <v>1.038</v>
      </c>
      <c r="E1444" s="24">
        <f>IFERROR(__xludf.DUMMYFUNCTION("""COMPUTED_VALUE"""),68.0)</f>
        <v>68</v>
      </c>
      <c r="F1444" s="27" t="str">
        <f>IFERROR(__xludf.DUMMYFUNCTION("""COMPUTED_VALUE"""),"BLACK")</f>
        <v>BLACK</v>
      </c>
      <c r="G1444" s="28" t="str">
        <f>IFERROR(__xludf.DUMMYFUNCTION("""COMPUTED_VALUE"""),"First Times a Charm Cider")</f>
        <v>First Times a Charm Cider</v>
      </c>
      <c r="H1444" s="27" t="str">
        <f>IFERROR(__xludf.DUMMYFUNCTION("""COMPUTED_VALUE"""),"")</f>
        <v/>
      </c>
    </row>
    <row r="1445">
      <c r="A1445" s="17"/>
      <c r="B1445" s="23"/>
      <c r="C1445" s="17">
        <f>IFERROR(__xludf.DUMMYFUNCTION("""COMPUTED_VALUE"""),43539.5076729629)</f>
        <v>43539.50767</v>
      </c>
      <c r="D1445" s="23">
        <f>IFERROR(__xludf.DUMMYFUNCTION("""COMPUTED_VALUE"""),1.038)</f>
        <v>1.038</v>
      </c>
      <c r="E1445" s="24">
        <f>IFERROR(__xludf.DUMMYFUNCTION("""COMPUTED_VALUE"""),68.0)</f>
        <v>68</v>
      </c>
      <c r="F1445" s="27" t="str">
        <f>IFERROR(__xludf.DUMMYFUNCTION("""COMPUTED_VALUE"""),"BLACK")</f>
        <v>BLACK</v>
      </c>
      <c r="G1445" s="28" t="str">
        <f>IFERROR(__xludf.DUMMYFUNCTION("""COMPUTED_VALUE"""),"First Times a Charm Cider")</f>
        <v>First Times a Charm Cider</v>
      </c>
      <c r="H1445" s="27" t="str">
        <f>IFERROR(__xludf.DUMMYFUNCTION("""COMPUTED_VALUE"""),"")</f>
        <v/>
      </c>
    </row>
    <row r="1446">
      <c r="A1446" s="17"/>
      <c r="B1446" s="23"/>
      <c r="C1446" s="17">
        <f>IFERROR(__xludf.DUMMYFUNCTION("""COMPUTED_VALUE"""),43539.4972509953)</f>
        <v>43539.49725</v>
      </c>
      <c r="D1446" s="23">
        <f>IFERROR(__xludf.DUMMYFUNCTION("""COMPUTED_VALUE"""),1.038)</f>
        <v>1.038</v>
      </c>
      <c r="E1446" s="24">
        <f>IFERROR(__xludf.DUMMYFUNCTION("""COMPUTED_VALUE"""),68.0)</f>
        <v>68</v>
      </c>
      <c r="F1446" s="27" t="str">
        <f>IFERROR(__xludf.DUMMYFUNCTION("""COMPUTED_VALUE"""),"BLACK")</f>
        <v>BLACK</v>
      </c>
      <c r="G1446" s="28" t="str">
        <f>IFERROR(__xludf.DUMMYFUNCTION("""COMPUTED_VALUE"""),"First Times a Charm Cider")</f>
        <v>First Times a Charm Cider</v>
      </c>
      <c r="H1446" s="27" t="str">
        <f>IFERROR(__xludf.DUMMYFUNCTION("""COMPUTED_VALUE"""),"")</f>
        <v/>
      </c>
    </row>
    <row r="1447">
      <c r="A1447" s="17"/>
      <c r="B1447" s="23"/>
      <c r="C1447" s="17">
        <f>IFERROR(__xludf.DUMMYFUNCTION("""COMPUTED_VALUE"""),43539.4868289467)</f>
        <v>43539.48683</v>
      </c>
      <c r="D1447" s="23">
        <f>IFERROR(__xludf.DUMMYFUNCTION("""COMPUTED_VALUE"""),1.038)</f>
        <v>1.038</v>
      </c>
      <c r="E1447" s="24">
        <f>IFERROR(__xludf.DUMMYFUNCTION("""COMPUTED_VALUE"""),68.0)</f>
        <v>68</v>
      </c>
      <c r="F1447" s="27" t="str">
        <f>IFERROR(__xludf.DUMMYFUNCTION("""COMPUTED_VALUE"""),"BLACK")</f>
        <v>BLACK</v>
      </c>
      <c r="G1447" s="28" t="str">
        <f>IFERROR(__xludf.DUMMYFUNCTION("""COMPUTED_VALUE"""),"First Times a Charm Cider")</f>
        <v>First Times a Charm Cider</v>
      </c>
      <c r="H1447" s="27" t="str">
        <f>IFERROR(__xludf.DUMMYFUNCTION("""COMPUTED_VALUE"""),"")</f>
        <v/>
      </c>
    </row>
    <row r="1448">
      <c r="A1448" s="17"/>
      <c r="B1448" s="23"/>
      <c r="C1448" s="17">
        <f>IFERROR(__xludf.DUMMYFUNCTION("""COMPUTED_VALUE"""),43539.4763954629)</f>
        <v>43539.4764</v>
      </c>
      <c r="D1448" s="23">
        <f>IFERROR(__xludf.DUMMYFUNCTION("""COMPUTED_VALUE"""),1.038)</f>
        <v>1.038</v>
      </c>
      <c r="E1448" s="24">
        <f>IFERROR(__xludf.DUMMYFUNCTION("""COMPUTED_VALUE"""),68.0)</f>
        <v>68</v>
      </c>
      <c r="F1448" s="27" t="str">
        <f>IFERROR(__xludf.DUMMYFUNCTION("""COMPUTED_VALUE"""),"BLACK")</f>
        <v>BLACK</v>
      </c>
      <c r="G1448" s="28" t="str">
        <f>IFERROR(__xludf.DUMMYFUNCTION("""COMPUTED_VALUE"""),"First Times a Charm Cider")</f>
        <v>First Times a Charm Cider</v>
      </c>
      <c r="H1448" s="27" t="str">
        <f>IFERROR(__xludf.DUMMYFUNCTION("""COMPUTED_VALUE"""),"")</f>
        <v/>
      </c>
    </row>
    <row r="1449">
      <c r="A1449" s="17"/>
      <c r="B1449" s="23"/>
      <c r="C1449" s="17">
        <f>IFERROR(__xludf.DUMMYFUNCTION("""COMPUTED_VALUE"""),43539.4659725925)</f>
        <v>43539.46597</v>
      </c>
      <c r="D1449" s="23">
        <f>IFERROR(__xludf.DUMMYFUNCTION("""COMPUTED_VALUE"""),1.038)</f>
        <v>1.038</v>
      </c>
      <c r="E1449" s="24">
        <f>IFERROR(__xludf.DUMMYFUNCTION("""COMPUTED_VALUE"""),68.0)</f>
        <v>68</v>
      </c>
      <c r="F1449" s="27" t="str">
        <f>IFERROR(__xludf.DUMMYFUNCTION("""COMPUTED_VALUE"""),"BLACK")</f>
        <v>BLACK</v>
      </c>
      <c r="G1449" s="28" t="str">
        <f>IFERROR(__xludf.DUMMYFUNCTION("""COMPUTED_VALUE"""),"First Times a Charm Cider")</f>
        <v>First Times a Charm Cider</v>
      </c>
      <c r="H1449" s="27" t="str">
        <f>IFERROR(__xludf.DUMMYFUNCTION("""COMPUTED_VALUE"""),"")</f>
        <v/>
      </c>
    </row>
    <row r="1450">
      <c r="A1450" s="17"/>
      <c r="B1450" s="23"/>
      <c r="C1450" s="17">
        <f>IFERROR(__xludf.DUMMYFUNCTION("""COMPUTED_VALUE"""),43539.4555493518)</f>
        <v>43539.45555</v>
      </c>
      <c r="D1450" s="23">
        <f>IFERROR(__xludf.DUMMYFUNCTION("""COMPUTED_VALUE"""),1.038)</f>
        <v>1.038</v>
      </c>
      <c r="E1450" s="24">
        <f>IFERROR(__xludf.DUMMYFUNCTION("""COMPUTED_VALUE"""),68.0)</f>
        <v>68</v>
      </c>
      <c r="F1450" s="27" t="str">
        <f>IFERROR(__xludf.DUMMYFUNCTION("""COMPUTED_VALUE"""),"BLACK")</f>
        <v>BLACK</v>
      </c>
      <c r="G1450" s="28" t="str">
        <f>IFERROR(__xludf.DUMMYFUNCTION("""COMPUTED_VALUE"""),"First Times a Charm Cider")</f>
        <v>First Times a Charm Cider</v>
      </c>
      <c r="H1450" s="27" t="str">
        <f>IFERROR(__xludf.DUMMYFUNCTION("""COMPUTED_VALUE"""),"")</f>
        <v/>
      </c>
    </row>
    <row r="1451">
      <c r="A1451" s="17"/>
      <c r="B1451" s="23"/>
      <c r="C1451" s="17">
        <f>IFERROR(__xludf.DUMMYFUNCTION("""COMPUTED_VALUE"""),43539.4451273032)</f>
        <v>43539.44513</v>
      </c>
      <c r="D1451" s="23">
        <f>IFERROR(__xludf.DUMMYFUNCTION("""COMPUTED_VALUE"""),1.038)</f>
        <v>1.038</v>
      </c>
      <c r="E1451" s="24">
        <f>IFERROR(__xludf.DUMMYFUNCTION("""COMPUTED_VALUE"""),68.0)</f>
        <v>68</v>
      </c>
      <c r="F1451" s="27" t="str">
        <f>IFERROR(__xludf.DUMMYFUNCTION("""COMPUTED_VALUE"""),"BLACK")</f>
        <v>BLACK</v>
      </c>
      <c r="G1451" s="28" t="str">
        <f>IFERROR(__xludf.DUMMYFUNCTION("""COMPUTED_VALUE"""),"First Times a Charm Cider")</f>
        <v>First Times a Charm Cider</v>
      </c>
      <c r="H1451" s="27" t="str">
        <f>IFERROR(__xludf.DUMMYFUNCTION("""COMPUTED_VALUE"""),"")</f>
        <v/>
      </c>
    </row>
    <row r="1452">
      <c r="A1452" s="17"/>
      <c r="B1452" s="23"/>
      <c r="C1452" s="17">
        <f>IFERROR(__xludf.DUMMYFUNCTION("""COMPUTED_VALUE"""),43539.434694537)</f>
        <v>43539.43469</v>
      </c>
      <c r="D1452" s="23">
        <f>IFERROR(__xludf.DUMMYFUNCTION("""COMPUTED_VALUE"""),1.038)</f>
        <v>1.038</v>
      </c>
      <c r="E1452" s="24">
        <f>IFERROR(__xludf.DUMMYFUNCTION("""COMPUTED_VALUE"""),68.0)</f>
        <v>68</v>
      </c>
      <c r="F1452" s="27" t="str">
        <f>IFERROR(__xludf.DUMMYFUNCTION("""COMPUTED_VALUE"""),"BLACK")</f>
        <v>BLACK</v>
      </c>
      <c r="G1452" s="28" t="str">
        <f>IFERROR(__xludf.DUMMYFUNCTION("""COMPUTED_VALUE"""),"First Times a Charm Cider")</f>
        <v>First Times a Charm Cider</v>
      </c>
      <c r="H1452" s="27" t="str">
        <f>IFERROR(__xludf.DUMMYFUNCTION("""COMPUTED_VALUE"""),"")</f>
        <v/>
      </c>
    </row>
    <row r="1453">
      <c r="A1453" s="17"/>
      <c r="B1453" s="23"/>
      <c r="C1453" s="17">
        <f>IFERROR(__xludf.DUMMYFUNCTION("""COMPUTED_VALUE"""),43539.4242615856)</f>
        <v>43539.42426</v>
      </c>
      <c r="D1453" s="23">
        <f>IFERROR(__xludf.DUMMYFUNCTION("""COMPUTED_VALUE"""),1.038)</f>
        <v>1.038</v>
      </c>
      <c r="E1453" s="24">
        <f>IFERROR(__xludf.DUMMYFUNCTION("""COMPUTED_VALUE"""),68.0)</f>
        <v>68</v>
      </c>
      <c r="F1453" s="27" t="str">
        <f>IFERROR(__xludf.DUMMYFUNCTION("""COMPUTED_VALUE"""),"BLACK")</f>
        <v>BLACK</v>
      </c>
      <c r="G1453" s="28" t="str">
        <f>IFERROR(__xludf.DUMMYFUNCTION("""COMPUTED_VALUE"""),"First Times a Charm Cider")</f>
        <v>First Times a Charm Cider</v>
      </c>
      <c r="H1453" s="27" t="str">
        <f>IFERROR(__xludf.DUMMYFUNCTION("""COMPUTED_VALUE"""),"")</f>
        <v/>
      </c>
    </row>
    <row r="1454">
      <c r="A1454" s="17"/>
      <c r="B1454" s="23"/>
      <c r="C1454" s="17">
        <f>IFERROR(__xludf.DUMMYFUNCTION("""COMPUTED_VALUE"""),43539.4138408217)</f>
        <v>43539.41384</v>
      </c>
      <c r="D1454" s="23">
        <f>IFERROR(__xludf.DUMMYFUNCTION("""COMPUTED_VALUE"""),1.038)</f>
        <v>1.038</v>
      </c>
      <c r="E1454" s="24">
        <f>IFERROR(__xludf.DUMMYFUNCTION("""COMPUTED_VALUE"""),68.0)</f>
        <v>68</v>
      </c>
      <c r="F1454" s="27" t="str">
        <f>IFERROR(__xludf.DUMMYFUNCTION("""COMPUTED_VALUE"""),"BLACK")</f>
        <v>BLACK</v>
      </c>
      <c r="G1454" s="28" t="str">
        <f>IFERROR(__xludf.DUMMYFUNCTION("""COMPUTED_VALUE"""),"First Times a Charm Cider")</f>
        <v>First Times a Charm Cider</v>
      </c>
      <c r="H1454" s="27" t="str">
        <f>IFERROR(__xludf.DUMMYFUNCTION("""COMPUTED_VALUE"""),"")</f>
        <v/>
      </c>
    </row>
    <row r="1455">
      <c r="A1455" s="17"/>
      <c r="B1455" s="23"/>
      <c r="C1455" s="17">
        <f>IFERROR(__xludf.DUMMYFUNCTION("""COMPUTED_VALUE"""),43539.4034195254)</f>
        <v>43539.40342</v>
      </c>
      <c r="D1455" s="23">
        <f>IFERROR(__xludf.DUMMYFUNCTION("""COMPUTED_VALUE"""),1.038)</f>
        <v>1.038</v>
      </c>
      <c r="E1455" s="24">
        <f>IFERROR(__xludf.DUMMYFUNCTION("""COMPUTED_VALUE"""),68.0)</f>
        <v>68</v>
      </c>
      <c r="F1455" s="27" t="str">
        <f>IFERROR(__xludf.DUMMYFUNCTION("""COMPUTED_VALUE"""),"BLACK")</f>
        <v>BLACK</v>
      </c>
      <c r="G1455" s="28" t="str">
        <f>IFERROR(__xludf.DUMMYFUNCTION("""COMPUTED_VALUE"""),"First Times a Charm Cider")</f>
        <v>First Times a Charm Cider</v>
      </c>
      <c r="H1455" s="27" t="str">
        <f>IFERROR(__xludf.DUMMYFUNCTION("""COMPUTED_VALUE"""),"")</f>
        <v/>
      </c>
    </row>
    <row r="1456">
      <c r="A1456" s="17"/>
      <c r="B1456" s="23"/>
      <c r="C1456" s="17">
        <f>IFERROR(__xludf.DUMMYFUNCTION("""COMPUTED_VALUE"""),43539.3929972222)</f>
        <v>43539.393</v>
      </c>
      <c r="D1456" s="23">
        <f>IFERROR(__xludf.DUMMYFUNCTION("""COMPUTED_VALUE"""),1.038)</f>
        <v>1.038</v>
      </c>
      <c r="E1456" s="24">
        <f>IFERROR(__xludf.DUMMYFUNCTION("""COMPUTED_VALUE"""),68.0)</f>
        <v>68</v>
      </c>
      <c r="F1456" s="27" t="str">
        <f>IFERROR(__xludf.DUMMYFUNCTION("""COMPUTED_VALUE"""),"BLACK")</f>
        <v>BLACK</v>
      </c>
      <c r="G1456" s="28" t="str">
        <f>IFERROR(__xludf.DUMMYFUNCTION("""COMPUTED_VALUE"""),"First Times a Charm Cider")</f>
        <v>First Times a Charm Cider</v>
      </c>
      <c r="H1456" s="27" t="str">
        <f>IFERROR(__xludf.DUMMYFUNCTION("""COMPUTED_VALUE"""),"")</f>
        <v/>
      </c>
    </row>
    <row r="1457">
      <c r="A1457" s="17"/>
      <c r="B1457" s="23"/>
      <c r="C1457" s="17">
        <f>IFERROR(__xludf.DUMMYFUNCTION("""COMPUTED_VALUE"""),43539.3825749074)</f>
        <v>43539.38257</v>
      </c>
      <c r="D1457" s="23">
        <f>IFERROR(__xludf.DUMMYFUNCTION("""COMPUTED_VALUE"""),1.038)</f>
        <v>1.038</v>
      </c>
      <c r="E1457" s="24">
        <f>IFERROR(__xludf.DUMMYFUNCTION("""COMPUTED_VALUE"""),68.0)</f>
        <v>68</v>
      </c>
      <c r="F1457" s="27" t="str">
        <f>IFERROR(__xludf.DUMMYFUNCTION("""COMPUTED_VALUE"""),"BLACK")</f>
        <v>BLACK</v>
      </c>
      <c r="G1457" s="28" t="str">
        <f>IFERROR(__xludf.DUMMYFUNCTION("""COMPUTED_VALUE"""),"First Times a Charm Cider")</f>
        <v>First Times a Charm Cider</v>
      </c>
      <c r="H1457" s="27" t="str">
        <f>IFERROR(__xludf.DUMMYFUNCTION("""COMPUTED_VALUE"""),"")</f>
        <v/>
      </c>
    </row>
    <row r="1458">
      <c r="A1458" s="17"/>
      <c r="B1458" s="23"/>
      <c r="C1458" s="17">
        <f>IFERROR(__xludf.DUMMYFUNCTION("""COMPUTED_VALUE"""),43539.3721552893)</f>
        <v>43539.37216</v>
      </c>
      <c r="D1458" s="23">
        <f>IFERROR(__xludf.DUMMYFUNCTION("""COMPUTED_VALUE"""),1.038)</f>
        <v>1.038</v>
      </c>
      <c r="E1458" s="24">
        <f>IFERROR(__xludf.DUMMYFUNCTION("""COMPUTED_VALUE"""),68.0)</f>
        <v>68</v>
      </c>
      <c r="F1458" s="27" t="str">
        <f>IFERROR(__xludf.DUMMYFUNCTION("""COMPUTED_VALUE"""),"BLACK")</f>
        <v>BLACK</v>
      </c>
      <c r="G1458" s="28" t="str">
        <f>IFERROR(__xludf.DUMMYFUNCTION("""COMPUTED_VALUE"""),"First Times a Charm Cider")</f>
        <v>First Times a Charm Cider</v>
      </c>
      <c r="H1458" s="27" t="str">
        <f>IFERROR(__xludf.DUMMYFUNCTION("""COMPUTED_VALUE"""),"")</f>
        <v/>
      </c>
    </row>
    <row r="1459">
      <c r="A1459" s="17"/>
      <c r="B1459" s="23"/>
      <c r="C1459" s="17">
        <f>IFERROR(__xludf.DUMMYFUNCTION("""COMPUTED_VALUE"""),43539.3617352083)</f>
        <v>43539.36174</v>
      </c>
      <c r="D1459" s="23">
        <f>IFERROR(__xludf.DUMMYFUNCTION("""COMPUTED_VALUE"""),1.038)</f>
        <v>1.038</v>
      </c>
      <c r="E1459" s="24">
        <f>IFERROR(__xludf.DUMMYFUNCTION("""COMPUTED_VALUE"""),68.0)</f>
        <v>68</v>
      </c>
      <c r="F1459" s="27" t="str">
        <f>IFERROR(__xludf.DUMMYFUNCTION("""COMPUTED_VALUE"""),"BLACK")</f>
        <v>BLACK</v>
      </c>
      <c r="G1459" s="28" t="str">
        <f>IFERROR(__xludf.DUMMYFUNCTION("""COMPUTED_VALUE"""),"First Times a Charm Cider")</f>
        <v>First Times a Charm Cider</v>
      </c>
      <c r="H1459" s="27" t="str">
        <f>IFERROR(__xludf.DUMMYFUNCTION("""COMPUTED_VALUE"""),"")</f>
        <v/>
      </c>
    </row>
    <row r="1460">
      <c r="A1460" s="17"/>
      <c r="B1460" s="23"/>
      <c r="C1460" s="17">
        <f>IFERROR(__xludf.DUMMYFUNCTION("""COMPUTED_VALUE"""),43539.3513020254)</f>
        <v>43539.3513</v>
      </c>
      <c r="D1460" s="23">
        <f>IFERROR(__xludf.DUMMYFUNCTION("""COMPUTED_VALUE"""),1.038)</f>
        <v>1.038</v>
      </c>
      <c r="E1460" s="24">
        <f>IFERROR(__xludf.DUMMYFUNCTION("""COMPUTED_VALUE"""),68.0)</f>
        <v>68</v>
      </c>
      <c r="F1460" s="27" t="str">
        <f>IFERROR(__xludf.DUMMYFUNCTION("""COMPUTED_VALUE"""),"BLACK")</f>
        <v>BLACK</v>
      </c>
      <c r="G1460" s="28" t="str">
        <f>IFERROR(__xludf.DUMMYFUNCTION("""COMPUTED_VALUE"""),"First Times a Charm Cider")</f>
        <v>First Times a Charm Cider</v>
      </c>
      <c r="H1460" s="27" t="str">
        <f>IFERROR(__xludf.DUMMYFUNCTION("""COMPUTED_VALUE"""),"")</f>
        <v/>
      </c>
    </row>
    <row r="1461">
      <c r="A1461" s="17"/>
      <c r="B1461" s="23"/>
      <c r="C1461" s="17">
        <f>IFERROR(__xludf.DUMMYFUNCTION("""COMPUTED_VALUE"""),43539.3408712037)</f>
        <v>43539.34087</v>
      </c>
      <c r="D1461" s="23">
        <f>IFERROR(__xludf.DUMMYFUNCTION("""COMPUTED_VALUE"""),1.038)</f>
        <v>1.038</v>
      </c>
      <c r="E1461" s="24">
        <f>IFERROR(__xludf.DUMMYFUNCTION("""COMPUTED_VALUE"""),68.0)</f>
        <v>68</v>
      </c>
      <c r="F1461" s="27" t="str">
        <f>IFERROR(__xludf.DUMMYFUNCTION("""COMPUTED_VALUE"""),"BLACK")</f>
        <v>BLACK</v>
      </c>
      <c r="G1461" s="28" t="str">
        <f>IFERROR(__xludf.DUMMYFUNCTION("""COMPUTED_VALUE"""),"First Times a Charm Cider")</f>
        <v>First Times a Charm Cider</v>
      </c>
      <c r="H1461" s="27" t="str">
        <f>IFERROR(__xludf.DUMMYFUNCTION("""COMPUTED_VALUE"""),"")</f>
        <v/>
      </c>
    </row>
    <row r="1462">
      <c r="A1462" s="17"/>
      <c r="B1462" s="23"/>
      <c r="C1462" s="17">
        <f>IFERROR(__xludf.DUMMYFUNCTION("""COMPUTED_VALUE"""),43539.3304376736)</f>
        <v>43539.33044</v>
      </c>
      <c r="D1462" s="23">
        <f>IFERROR(__xludf.DUMMYFUNCTION("""COMPUTED_VALUE"""),1.038)</f>
        <v>1.038</v>
      </c>
      <c r="E1462" s="24">
        <f>IFERROR(__xludf.DUMMYFUNCTION("""COMPUTED_VALUE"""),68.0)</f>
        <v>68</v>
      </c>
      <c r="F1462" s="27" t="str">
        <f>IFERROR(__xludf.DUMMYFUNCTION("""COMPUTED_VALUE"""),"BLACK")</f>
        <v>BLACK</v>
      </c>
      <c r="G1462" s="28" t="str">
        <f>IFERROR(__xludf.DUMMYFUNCTION("""COMPUTED_VALUE"""),"First Times a Charm Cider")</f>
        <v>First Times a Charm Cider</v>
      </c>
      <c r="H1462" s="27" t="str">
        <f>IFERROR(__xludf.DUMMYFUNCTION("""COMPUTED_VALUE"""),"")</f>
        <v/>
      </c>
    </row>
    <row r="1463">
      <c r="A1463" s="17"/>
      <c r="B1463" s="23"/>
      <c r="C1463" s="17">
        <f>IFERROR(__xludf.DUMMYFUNCTION("""COMPUTED_VALUE"""),43539.320015949)</f>
        <v>43539.32002</v>
      </c>
      <c r="D1463" s="23">
        <f>IFERROR(__xludf.DUMMYFUNCTION("""COMPUTED_VALUE"""),1.038)</f>
        <v>1.038</v>
      </c>
      <c r="E1463" s="24">
        <f>IFERROR(__xludf.DUMMYFUNCTION("""COMPUTED_VALUE"""),68.0)</f>
        <v>68</v>
      </c>
      <c r="F1463" s="27" t="str">
        <f>IFERROR(__xludf.DUMMYFUNCTION("""COMPUTED_VALUE"""),"BLACK")</f>
        <v>BLACK</v>
      </c>
      <c r="G1463" s="28" t="str">
        <f>IFERROR(__xludf.DUMMYFUNCTION("""COMPUTED_VALUE"""),"First Times a Charm Cider")</f>
        <v>First Times a Charm Cider</v>
      </c>
      <c r="H1463" s="27" t="str">
        <f>IFERROR(__xludf.DUMMYFUNCTION("""COMPUTED_VALUE"""),"")</f>
        <v/>
      </c>
    </row>
    <row r="1464">
      <c r="A1464" s="17"/>
      <c r="B1464" s="23"/>
      <c r="C1464" s="17">
        <f>IFERROR(__xludf.DUMMYFUNCTION("""COMPUTED_VALUE"""),43539.3095579282)</f>
        <v>43539.30956</v>
      </c>
      <c r="D1464" s="23">
        <f>IFERROR(__xludf.DUMMYFUNCTION("""COMPUTED_VALUE"""),1.038)</f>
        <v>1.038</v>
      </c>
      <c r="E1464" s="24">
        <f>IFERROR(__xludf.DUMMYFUNCTION("""COMPUTED_VALUE"""),68.0)</f>
        <v>68</v>
      </c>
      <c r="F1464" s="27" t="str">
        <f>IFERROR(__xludf.DUMMYFUNCTION("""COMPUTED_VALUE"""),"BLACK")</f>
        <v>BLACK</v>
      </c>
      <c r="G1464" s="28" t="str">
        <f>IFERROR(__xludf.DUMMYFUNCTION("""COMPUTED_VALUE"""),"First Times a Charm Cider")</f>
        <v>First Times a Charm Cider</v>
      </c>
      <c r="H1464" s="27" t="str">
        <f>IFERROR(__xludf.DUMMYFUNCTION("""COMPUTED_VALUE"""),"")</f>
        <v/>
      </c>
    </row>
    <row r="1465">
      <c r="A1465" s="17"/>
      <c r="B1465" s="23"/>
      <c r="C1465" s="17">
        <f>IFERROR(__xludf.DUMMYFUNCTION("""COMPUTED_VALUE"""),43539.299137199)</f>
        <v>43539.29914</v>
      </c>
      <c r="D1465" s="23">
        <f>IFERROR(__xludf.DUMMYFUNCTION("""COMPUTED_VALUE"""),1.038)</f>
        <v>1.038</v>
      </c>
      <c r="E1465" s="24">
        <f>IFERROR(__xludf.DUMMYFUNCTION("""COMPUTED_VALUE"""),68.0)</f>
        <v>68</v>
      </c>
      <c r="F1465" s="27" t="str">
        <f>IFERROR(__xludf.DUMMYFUNCTION("""COMPUTED_VALUE"""),"BLACK")</f>
        <v>BLACK</v>
      </c>
      <c r="G1465" s="28" t="str">
        <f>IFERROR(__xludf.DUMMYFUNCTION("""COMPUTED_VALUE"""),"First Times a Charm Cider")</f>
        <v>First Times a Charm Cider</v>
      </c>
      <c r="H1465" s="27" t="str">
        <f>IFERROR(__xludf.DUMMYFUNCTION("""COMPUTED_VALUE"""),"")</f>
        <v/>
      </c>
    </row>
    <row r="1466">
      <c r="A1466" s="17"/>
      <c r="B1466" s="23"/>
      <c r="C1466" s="17">
        <f>IFERROR(__xludf.DUMMYFUNCTION("""COMPUTED_VALUE"""),43539.2886923379)</f>
        <v>43539.28869</v>
      </c>
      <c r="D1466" s="23">
        <f>IFERROR(__xludf.DUMMYFUNCTION("""COMPUTED_VALUE"""),1.038)</f>
        <v>1.038</v>
      </c>
      <c r="E1466" s="24">
        <f>IFERROR(__xludf.DUMMYFUNCTION("""COMPUTED_VALUE"""),68.0)</f>
        <v>68</v>
      </c>
      <c r="F1466" s="27" t="str">
        <f>IFERROR(__xludf.DUMMYFUNCTION("""COMPUTED_VALUE"""),"BLACK")</f>
        <v>BLACK</v>
      </c>
      <c r="G1466" s="28" t="str">
        <f>IFERROR(__xludf.DUMMYFUNCTION("""COMPUTED_VALUE"""),"First Times a Charm Cider")</f>
        <v>First Times a Charm Cider</v>
      </c>
      <c r="H1466" s="27" t="str">
        <f>IFERROR(__xludf.DUMMYFUNCTION("""COMPUTED_VALUE"""),"")</f>
        <v/>
      </c>
    </row>
    <row r="1467">
      <c r="A1467" s="17"/>
      <c r="B1467" s="23"/>
      <c r="C1467" s="17">
        <f>IFERROR(__xludf.DUMMYFUNCTION("""COMPUTED_VALUE"""),43539.2782578935)</f>
        <v>43539.27826</v>
      </c>
      <c r="D1467" s="23">
        <f>IFERROR(__xludf.DUMMYFUNCTION("""COMPUTED_VALUE"""),1.038)</f>
        <v>1.038</v>
      </c>
      <c r="E1467" s="24">
        <f>IFERROR(__xludf.DUMMYFUNCTION("""COMPUTED_VALUE"""),68.0)</f>
        <v>68</v>
      </c>
      <c r="F1467" s="27" t="str">
        <f>IFERROR(__xludf.DUMMYFUNCTION("""COMPUTED_VALUE"""),"BLACK")</f>
        <v>BLACK</v>
      </c>
      <c r="G1467" s="28" t="str">
        <f>IFERROR(__xludf.DUMMYFUNCTION("""COMPUTED_VALUE"""),"First Times a Charm Cider")</f>
        <v>First Times a Charm Cider</v>
      </c>
      <c r="H1467" s="27" t="str">
        <f>IFERROR(__xludf.DUMMYFUNCTION("""COMPUTED_VALUE"""),"")</f>
        <v/>
      </c>
    </row>
    <row r="1468">
      <c r="A1468" s="17"/>
      <c r="B1468" s="23"/>
      <c r="C1468" s="17">
        <f>IFERROR(__xludf.DUMMYFUNCTION("""COMPUTED_VALUE"""),43539.267835949)</f>
        <v>43539.26784</v>
      </c>
      <c r="D1468" s="23">
        <f>IFERROR(__xludf.DUMMYFUNCTION("""COMPUTED_VALUE"""),1.038)</f>
        <v>1.038</v>
      </c>
      <c r="E1468" s="24">
        <f>IFERROR(__xludf.DUMMYFUNCTION("""COMPUTED_VALUE"""),68.0)</f>
        <v>68</v>
      </c>
      <c r="F1468" s="27" t="str">
        <f>IFERROR(__xludf.DUMMYFUNCTION("""COMPUTED_VALUE"""),"BLACK")</f>
        <v>BLACK</v>
      </c>
      <c r="G1468" s="28" t="str">
        <f>IFERROR(__xludf.DUMMYFUNCTION("""COMPUTED_VALUE"""),"First Times a Charm Cider")</f>
        <v>First Times a Charm Cider</v>
      </c>
      <c r="H1468" s="27" t="str">
        <f>IFERROR(__xludf.DUMMYFUNCTION("""COMPUTED_VALUE"""),"")</f>
        <v/>
      </c>
    </row>
    <row r="1469">
      <c r="A1469" s="17"/>
      <c r="B1469" s="23"/>
      <c r="C1469" s="17">
        <f>IFERROR(__xludf.DUMMYFUNCTION("""COMPUTED_VALUE"""),43539.2573702314)</f>
        <v>43539.25737</v>
      </c>
      <c r="D1469" s="23">
        <f>IFERROR(__xludf.DUMMYFUNCTION("""COMPUTED_VALUE"""),1.039)</f>
        <v>1.039</v>
      </c>
      <c r="E1469" s="24">
        <f>IFERROR(__xludf.DUMMYFUNCTION("""COMPUTED_VALUE"""),68.0)</f>
        <v>68</v>
      </c>
      <c r="F1469" s="27" t="str">
        <f>IFERROR(__xludf.DUMMYFUNCTION("""COMPUTED_VALUE"""),"BLACK")</f>
        <v>BLACK</v>
      </c>
      <c r="G1469" s="28" t="str">
        <f>IFERROR(__xludf.DUMMYFUNCTION("""COMPUTED_VALUE"""),"First Times a Charm Cider")</f>
        <v>First Times a Charm Cider</v>
      </c>
      <c r="H1469" s="27" t="str">
        <f>IFERROR(__xludf.DUMMYFUNCTION("""COMPUTED_VALUE"""),"")</f>
        <v/>
      </c>
    </row>
    <row r="1470">
      <c r="A1470" s="17"/>
      <c r="B1470" s="23"/>
      <c r="C1470" s="17">
        <f>IFERROR(__xludf.DUMMYFUNCTION("""COMPUTED_VALUE"""),43539.2469371643)</f>
        <v>43539.24694</v>
      </c>
      <c r="D1470" s="23">
        <f>IFERROR(__xludf.DUMMYFUNCTION("""COMPUTED_VALUE"""),1.039)</f>
        <v>1.039</v>
      </c>
      <c r="E1470" s="24">
        <f>IFERROR(__xludf.DUMMYFUNCTION("""COMPUTED_VALUE"""),68.0)</f>
        <v>68</v>
      </c>
      <c r="F1470" s="27" t="str">
        <f>IFERROR(__xludf.DUMMYFUNCTION("""COMPUTED_VALUE"""),"BLACK")</f>
        <v>BLACK</v>
      </c>
      <c r="G1470" s="28" t="str">
        <f>IFERROR(__xludf.DUMMYFUNCTION("""COMPUTED_VALUE"""),"First Times a Charm Cider")</f>
        <v>First Times a Charm Cider</v>
      </c>
      <c r="H1470" s="27" t="str">
        <f>IFERROR(__xludf.DUMMYFUNCTION("""COMPUTED_VALUE"""),"")</f>
        <v/>
      </c>
    </row>
    <row r="1471">
      <c r="A1471" s="17"/>
      <c r="B1471" s="23"/>
      <c r="C1471" s="17">
        <f>IFERROR(__xludf.DUMMYFUNCTION("""COMPUTED_VALUE"""),43539.2365067592)</f>
        <v>43539.23651</v>
      </c>
      <c r="D1471" s="23">
        <f>IFERROR(__xludf.DUMMYFUNCTION("""COMPUTED_VALUE"""),1.039)</f>
        <v>1.039</v>
      </c>
      <c r="E1471" s="24">
        <f>IFERROR(__xludf.DUMMYFUNCTION("""COMPUTED_VALUE"""),68.0)</f>
        <v>68</v>
      </c>
      <c r="F1471" s="27" t="str">
        <f>IFERROR(__xludf.DUMMYFUNCTION("""COMPUTED_VALUE"""),"BLACK")</f>
        <v>BLACK</v>
      </c>
      <c r="G1471" s="28" t="str">
        <f>IFERROR(__xludf.DUMMYFUNCTION("""COMPUTED_VALUE"""),"First Times a Charm Cider")</f>
        <v>First Times a Charm Cider</v>
      </c>
      <c r="H1471" s="27" t="str">
        <f>IFERROR(__xludf.DUMMYFUNCTION("""COMPUTED_VALUE"""),"")</f>
        <v/>
      </c>
    </row>
    <row r="1472">
      <c r="A1472" s="17"/>
      <c r="B1472" s="23"/>
      <c r="C1472" s="17">
        <f>IFERROR(__xludf.DUMMYFUNCTION("""COMPUTED_VALUE"""),43539.2260386226)</f>
        <v>43539.22604</v>
      </c>
      <c r="D1472" s="23">
        <f>IFERROR(__xludf.DUMMYFUNCTION("""COMPUTED_VALUE"""),1.039)</f>
        <v>1.039</v>
      </c>
      <c r="E1472" s="24">
        <f>IFERROR(__xludf.DUMMYFUNCTION("""COMPUTED_VALUE"""),68.0)</f>
        <v>68</v>
      </c>
      <c r="F1472" s="27" t="str">
        <f>IFERROR(__xludf.DUMMYFUNCTION("""COMPUTED_VALUE"""),"BLACK")</f>
        <v>BLACK</v>
      </c>
      <c r="G1472" s="28" t="str">
        <f>IFERROR(__xludf.DUMMYFUNCTION("""COMPUTED_VALUE"""),"First Times a Charm Cider")</f>
        <v>First Times a Charm Cider</v>
      </c>
      <c r="H1472" s="27" t="str">
        <f>IFERROR(__xludf.DUMMYFUNCTION("""COMPUTED_VALUE"""),"")</f>
        <v/>
      </c>
    </row>
    <row r="1473">
      <c r="A1473" s="17"/>
      <c r="B1473" s="23"/>
      <c r="C1473" s="17">
        <f>IFERROR(__xludf.DUMMYFUNCTION("""COMPUTED_VALUE"""),43539.2156049305)</f>
        <v>43539.2156</v>
      </c>
      <c r="D1473" s="23">
        <f>IFERROR(__xludf.DUMMYFUNCTION("""COMPUTED_VALUE"""),1.039)</f>
        <v>1.039</v>
      </c>
      <c r="E1473" s="24">
        <f>IFERROR(__xludf.DUMMYFUNCTION("""COMPUTED_VALUE"""),68.0)</f>
        <v>68</v>
      </c>
      <c r="F1473" s="27" t="str">
        <f>IFERROR(__xludf.DUMMYFUNCTION("""COMPUTED_VALUE"""),"BLACK")</f>
        <v>BLACK</v>
      </c>
      <c r="G1473" s="28" t="str">
        <f>IFERROR(__xludf.DUMMYFUNCTION("""COMPUTED_VALUE"""),"First Times a Charm Cider")</f>
        <v>First Times a Charm Cider</v>
      </c>
      <c r="H1473" s="27" t="str">
        <f>IFERROR(__xludf.DUMMYFUNCTION("""COMPUTED_VALUE"""),"")</f>
        <v/>
      </c>
    </row>
    <row r="1474">
      <c r="A1474" s="17"/>
      <c r="B1474" s="23"/>
      <c r="C1474" s="17">
        <f>IFERROR(__xludf.DUMMYFUNCTION("""COMPUTED_VALUE"""),43539.2051727546)</f>
        <v>43539.20517</v>
      </c>
      <c r="D1474" s="23">
        <f>IFERROR(__xludf.DUMMYFUNCTION("""COMPUTED_VALUE"""),1.039)</f>
        <v>1.039</v>
      </c>
      <c r="E1474" s="24">
        <f>IFERROR(__xludf.DUMMYFUNCTION("""COMPUTED_VALUE"""),68.0)</f>
        <v>68</v>
      </c>
      <c r="F1474" s="27" t="str">
        <f>IFERROR(__xludf.DUMMYFUNCTION("""COMPUTED_VALUE"""),"BLACK")</f>
        <v>BLACK</v>
      </c>
      <c r="G1474" s="28" t="str">
        <f>IFERROR(__xludf.DUMMYFUNCTION("""COMPUTED_VALUE"""),"First Times a Charm Cider")</f>
        <v>First Times a Charm Cider</v>
      </c>
      <c r="H1474" s="27" t="str">
        <f>IFERROR(__xludf.DUMMYFUNCTION("""COMPUTED_VALUE"""),"")</f>
        <v/>
      </c>
    </row>
    <row r="1475">
      <c r="A1475" s="17"/>
      <c r="B1475" s="23"/>
      <c r="C1475" s="17">
        <f>IFERROR(__xludf.DUMMYFUNCTION("""COMPUTED_VALUE"""),43539.1947283912)</f>
        <v>43539.19473</v>
      </c>
      <c r="D1475" s="23">
        <f>IFERROR(__xludf.DUMMYFUNCTION("""COMPUTED_VALUE"""),1.039)</f>
        <v>1.039</v>
      </c>
      <c r="E1475" s="24">
        <f>IFERROR(__xludf.DUMMYFUNCTION("""COMPUTED_VALUE"""),68.0)</f>
        <v>68</v>
      </c>
      <c r="F1475" s="27" t="str">
        <f>IFERROR(__xludf.DUMMYFUNCTION("""COMPUTED_VALUE"""),"BLACK")</f>
        <v>BLACK</v>
      </c>
      <c r="G1475" s="28" t="str">
        <f>IFERROR(__xludf.DUMMYFUNCTION("""COMPUTED_VALUE"""),"First Times a Charm Cider")</f>
        <v>First Times a Charm Cider</v>
      </c>
      <c r="H1475" s="27" t="str">
        <f>IFERROR(__xludf.DUMMYFUNCTION("""COMPUTED_VALUE"""),"")</f>
        <v/>
      </c>
    </row>
    <row r="1476">
      <c r="A1476" s="17"/>
      <c r="B1476" s="23"/>
      <c r="C1476" s="17">
        <f>IFERROR(__xludf.DUMMYFUNCTION("""COMPUTED_VALUE"""),43539.1843062731)</f>
        <v>43539.18431</v>
      </c>
      <c r="D1476" s="23">
        <f>IFERROR(__xludf.DUMMYFUNCTION("""COMPUTED_VALUE"""),1.039)</f>
        <v>1.039</v>
      </c>
      <c r="E1476" s="24">
        <f>IFERROR(__xludf.DUMMYFUNCTION("""COMPUTED_VALUE"""),68.0)</f>
        <v>68</v>
      </c>
      <c r="F1476" s="27" t="str">
        <f>IFERROR(__xludf.DUMMYFUNCTION("""COMPUTED_VALUE"""),"BLACK")</f>
        <v>BLACK</v>
      </c>
      <c r="G1476" s="28" t="str">
        <f>IFERROR(__xludf.DUMMYFUNCTION("""COMPUTED_VALUE"""),"First Times a Charm Cider")</f>
        <v>First Times a Charm Cider</v>
      </c>
      <c r="H1476" s="27" t="str">
        <f>IFERROR(__xludf.DUMMYFUNCTION("""COMPUTED_VALUE"""),"")</f>
        <v/>
      </c>
    </row>
    <row r="1477">
      <c r="A1477" s="17"/>
      <c r="B1477" s="23"/>
      <c r="C1477" s="17">
        <f>IFERROR(__xludf.DUMMYFUNCTION("""COMPUTED_VALUE"""),43539.1738856134)</f>
        <v>43539.17389</v>
      </c>
      <c r="D1477" s="23">
        <f>IFERROR(__xludf.DUMMYFUNCTION("""COMPUTED_VALUE"""),1.039)</f>
        <v>1.039</v>
      </c>
      <c r="E1477" s="24">
        <f>IFERROR(__xludf.DUMMYFUNCTION("""COMPUTED_VALUE"""),68.0)</f>
        <v>68</v>
      </c>
      <c r="F1477" s="27" t="str">
        <f>IFERROR(__xludf.DUMMYFUNCTION("""COMPUTED_VALUE"""),"BLACK")</f>
        <v>BLACK</v>
      </c>
      <c r="G1477" s="28" t="str">
        <f>IFERROR(__xludf.DUMMYFUNCTION("""COMPUTED_VALUE"""),"First Times a Charm Cider")</f>
        <v>First Times a Charm Cider</v>
      </c>
      <c r="H1477" s="27" t="str">
        <f>IFERROR(__xludf.DUMMYFUNCTION("""COMPUTED_VALUE"""),"")</f>
        <v/>
      </c>
    </row>
    <row r="1478">
      <c r="A1478" s="17"/>
      <c r="B1478" s="23"/>
      <c r="C1478" s="17">
        <f>IFERROR(__xludf.DUMMYFUNCTION("""COMPUTED_VALUE"""),43539.1634657986)</f>
        <v>43539.16347</v>
      </c>
      <c r="D1478" s="23">
        <f>IFERROR(__xludf.DUMMYFUNCTION("""COMPUTED_VALUE"""),1.039)</f>
        <v>1.039</v>
      </c>
      <c r="E1478" s="24">
        <f>IFERROR(__xludf.DUMMYFUNCTION("""COMPUTED_VALUE"""),68.0)</f>
        <v>68</v>
      </c>
      <c r="F1478" s="27" t="str">
        <f>IFERROR(__xludf.DUMMYFUNCTION("""COMPUTED_VALUE"""),"BLACK")</f>
        <v>BLACK</v>
      </c>
      <c r="G1478" s="28" t="str">
        <f>IFERROR(__xludf.DUMMYFUNCTION("""COMPUTED_VALUE"""),"First Times a Charm Cider")</f>
        <v>First Times a Charm Cider</v>
      </c>
      <c r="H1478" s="27" t="str">
        <f>IFERROR(__xludf.DUMMYFUNCTION("""COMPUTED_VALUE"""),"")</f>
        <v/>
      </c>
    </row>
    <row r="1479">
      <c r="A1479" s="17"/>
      <c r="B1479" s="23"/>
      <c r="C1479" s="17">
        <f>IFERROR(__xludf.DUMMYFUNCTION("""COMPUTED_VALUE"""),43539.1530310648)</f>
        <v>43539.15303</v>
      </c>
      <c r="D1479" s="23">
        <f>IFERROR(__xludf.DUMMYFUNCTION("""COMPUTED_VALUE"""),1.039)</f>
        <v>1.039</v>
      </c>
      <c r="E1479" s="24">
        <f>IFERROR(__xludf.DUMMYFUNCTION("""COMPUTED_VALUE"""),68.0)</f>
        <v>68</v>
      </c>
      <c r="F1479" s="27" t="str">
        <f>IFERROR(__xludf.DUMMYFUNCTION("""COMPUTED_VALUE"""),"BLACK")</f>
        <v>BLACK</v>
      </c>
      <c r="G1479" s="28" t="str">
        <f>IFERROR(__xludf.DUMMYFUNCTION("""COMPUTED_VALUE"""),"First Times a Charm Cider")</f>
        <v>First Times a Charm Cider</v>
      </c>
      <c r="H1479" s="27" t="str">
        <f>IFERROR(__xludf.DUMMYFUNCTION("""COMPUTED_VALUE"""),"")</f>
        <v/>
      </c>
    </row>
    <row r="1480">
      <c r="A1480" s="17"/>
      <c r="B1480" s="23"/>
      <c r="C1480" s="17">
        <f>IFERROR(__xludf.DUMMYFUNCTION("""COMPUTED_VALUE"""),43539.1425984953)</f>
        <v>43539.1426</v>
      </c>
      <c r="D1480" s="23">
        <f>IFERROR(__xludf.DUMMYFUNCTION("""COMPUTED_VALUE"""),1.039)</f>
        <v>1.039</v>
      </c>
      <c r="E1480" s="24">
        <f>IFERROR(__xludf.DUMMYFUNCTION("""COMPUTED_VALUE"""),68.0)</f>
        <v>68</v>
      </c>
      <c r="F1480" s="27" t="str">
        <f>IFERROR(__xludf.DUMMYFUNCTION("""COMPUTED_VALUE"""),"BLACK")</f>
        <v>BLACK</v>
      </c>
      <c r="G1480" s="28" t="str">
        <f>IFERROR(__xludf.DUMMYFUNCTION("""COMPUTED_VALUE"""),"First Times a Charm Cider")</f>
        <v>First Times a Charm Cider</v>
      </c>
      <c r="H1480" s="27" t="str">
        <f>IFERROR(__xludf.DUMMYFUNCTION("""COMPUTED_VALUE"""),"")</f>
        <v/>
      </c>
    </row>
    <row r="1481">
      <c r="A1481" s="17"/>
      <c r="B1481" s="23"/>
      <c r="C1481" s="17">
        <f>IFERROR(__xludf.DUMMYFUNCTION("""COMPUTED_VALUE"""),43539.1321667939)</f>
        <v>43539.13217</v>
      </c>
      <c r="D1481" s="23">
        <f>IFERROR(__xludf.DUMMYFUNCTION("""COMPUTED_VALUE"""),1.039)</f>
        <v>1.039</v>
      </c>
      <c r="E1481" s="24">
        <f>IFERROR(__xludf.DUMMYFUNCTION("""COMPUTED_VALUE"""),68.0)</f>
        <v>68</v>
      </c>
      <c r="F1481" s="27" t="str">
        <f>IFERROR(__xludf.DUMMYFUNCTION("""COMPUTED_VALUE"""),"BLACK")</f>
        <v>BLACK</v>
      </c>
      <c r="G1481" s="28" t="str">
        <f>IFERROR(__xludf.DUMMYFUNCTION("""COMPUTED_VALUE"""),"First Times a Charm Cider")</f>
        <v>First Times a Charm Cider</v>
      </c>
      <c r="H1481" s="27" t="str">
        <f>IFERROR(__xludf.DUMMYFUNCTION("""COMPUTED_VALUE"""),"")</f>
        <v/>
      </c>
    </row>
    <row r="1482">
      <c r="A1482" s="17"/>
      <c r="B1482" s="23"/>
      <c r="C1482" s="17">
        <f>IFERROR(__xludf.DUMMYFUNCTION("""COMPUTED_VALUE"""),43539.1217220138)</f>
        <v>43539.12172</v>
      </c>
      <c r="D1482" s="23">
        <f>IFERROR(__xludf.DUMMYFUNCTION("""COMPUTED_VALUE"""),1.039)</f>
        <v>1.039</v>
      </c>
      <c r="E1482" s="24">
        <f>IFERROR(__xludf.DUMMYFUNCTION("""COMPUTED_VALUE"""),68.0)</f>
        <v>68</v>
      </c>
      <c r="F1482" s="27" t="str">
        <f>IFERROR(__xludf.DUMMYFUNCTION("""COMPUTED_VALUE"""),"BLACK")</f>
        <v>BLACK</v>
      </c>
      <c r="G1482" s="28" t="str">
        <f>IFERROR(__xludf.DUMMYFUNCTION("""COMPUTED_VALUE"""),"First Times a Charm Cider")</f>
        <v>First Times a Charm Cider</v>
      </c>
      <c r="H1482" s="27" t="str">
        <f>IFERROR(__xludf.DUMMYFUNCTION("""COMPUTED_VALUE"""),"")</f>
        <v/>
      </c>
    </row>
    <row r="1483">
      <c r="A1483" s="17"/>
      <c r="B1483" s="23"/>
      <c r="C1483" s="17">
        <f>IFERROR(__xludf.DUMMYFUNCTION("""COMPUTED_VALUE"""),43539.1112894907)</f>
        <v>43539.11129</v>
      </c>
      <c r="D1483" s="23">
        <f>IFERROR(__xludf.DUMMYFUNCTION("""COMPUTED_VALUE"""),1.039)</f>
        <v>1.039</v>
      </c>
      <c r="E1483" s="24">
        <f>IFERROR(__xludf.DUMMYFUNCTION("""COMPUTED_VALUE"""),68.0)</f>
        <v>68</v>
      </c>
      <c r="F1483" s="27" t="str">
        <f>IFERROR(__xludf.DUMMYFUNCTION("""COMPUTED_VALUE"""),"BLACK")</f>
        <v>BLACK</v>
      </c>
      <c r="G1483" s="28" t="str">
        <f>IFERROR(__xludf.DUMMYFUNCTION("""COMPUTED_VALUE"""),"First Times a Charm Cider")</f>
        <v>First Times a Charm Cider</v>
      </c>
      <c r="H1483" s="27" t="str">
        <f>IFERROR(__xludf.DUMMYFUNCTION("""COMPUTED_VALUE"""),"")</f>
        <v/>
      </c>
    </row>
    <row r="1484">
      <c r="A1484" s="17"/>
      <c r="B1484" s="23"/>
      <c r="C1484" s="17">
        <f>IFERROR(__xludf.DUMMYFUNCTION("""COMPUTED_VALUE"""),43539.100855324)</f>
        <v>43539.10086</v>
      </c>
      <c r="D1484" s="23">
        <f>IFERROR(__xludf.DUMMYFUNCTION("""COMPUTED_VALUE"""),1.039)</f>
        <v>1.039</v>
      </c>
      <c r="E1484" s="24">
        <f>IFERROR(__xludf.DUMMYFUNCTION("""COMPUTED_VALUE"""),68.0)</f>
        <v>68</v>
      </c>
      <c r="F1484" s="27" t="str">
        <f>IFERROR(__xludf.DUMMYFUNCTION("""COMPUTED_VALUE"""),"BLACK")</f>
        <v>BLACK</v>
      </c>
      <c r="G1484" s="28" t="str">
        <f>IFERROR(__xludf.DUMMYFUNCTION("""COMPUTED_VALUE"""),"First Times a Charm Cider")</f>
        <v>First Times a Charm Cider</v>
      </c>
      <c r="H1484" s="27" t="str">
        <f>IFERROR(__xludf.DUMMYFUNCTION("""COMPUTED_VALUE"""),"")</f>
        <v/>
      </c>
    </row>
    <row r="1485">
      <c r="A1485" s="17"/>
      <c r="B1485" s="23"/>
      <c r="C1485" s="17">
        <f>IFERROR(__xludf.DUMMYFUNCTION("""COMPUTED_VALUE"""),43539.0904356713)</f>
        <v>43539.09044</v>
      </c>
      <c r="D1485" s="23">
        <f>IFERROR(__xludf.DUMMYFUNCTION("""COMPUTED_VALUE"""),1.039)</f>
        <v>1.039</v>
      </c>
      <c r="E1485" s="24">
        <f>IFERROR(__xludf.DUMMYFUNCTION("""COMPUTED_VALUE"""),68.0)</f>
        <v>68</v>
      </c>
      <c r="F1485" s="27" t="str">
        <f>IFERROR(__xludf.DUMMYFUNCTION("""COMPUTED_VALUE"""),"BLACK")</f>
        <v>BLACK</v>
      </c>
      <c r="G1485" s="28" t="str">
        <f>IFERROR(__xludf.DUMMYFUNCTION("""COMPUTED_VALUE"""),"First Times a Charm Cider")</f>
        <v>First Times a Charm Cider</v>
      </c>
      <c r="H1485" s="27" t="str">
        <f>IFERROR(__xludf.DUMMYFUNCTION("""COMPUTED_VALUE"""),"")</f>
        <v/>
      </c>
    </row>
    <row r="1486">
      <c r="A1486" s="17"/>
      <c r="B1486" s="23"/>
      <c r="C1486" s="17">
        <f>IFERROR(__xludf.DUMMYFUNCTION("""COMPUTED_VALUE"""),43539.0800035995)</f>
        <v>43539.08</v>
      </c>
      <c r="D1486" s="23">
        <f>IFERROR(__xludf.DUMMYFUNCTION("""COMPUTED_VALUE"""),1.039)</f>
        <v>1.039</v>
      </c>
      <c r="E1486" s="24">
        <f>IFERROR(__xludf.DUMMYFUNCTION("""COMPUTED_VALUE"""),68.0)</f>
        <v>68</v>
      </c>
      <c r="F1486" s="27" t="str">
        <f>IFERROR(__xludf.DUMMYFUNCTION("""COMPUTED_VALUE"""),"BLACK")</f>
        <v>BLACK</v>
      </c>
      <c r="G1486" s="28" t="str">
        <f>IFERROR(__xludf.DUMMYFUNCTION("""COMPUTED_VALUE"""),"First Times a Charm Cider")</f>
        <v>First Times a Charm Cider</v>
      </c>
      <c r="H1486" s="27" t="str">
        <f>IFERROR(__xludf.DUMMYFUNCTION("""COMPUTED_VALUE"""),"")</f>
        <v/>
      </c>
    </row>
    <row r="1487">
      <c r="A1487" s="17"/>
      <c r="B1487" s="23"/>
      <c r="C1487" s="17">
        <f>IFERROR(__xludf.DUMMYFUNCTION("""COMPUTED_VALUE"""),43539.0695833912)</f>
        <v>43539.06958</v>
      </c>
      <c r="D1487" s="23">
        <f>IFERROR(__xludf.DUMMYFUNCTION("""COMPUTED_VALUE"""),1.039)</f>
        <v>1.039</v>
      </c>
      <c r="E1487" s="24">
        <f>IFERROR(__xludf.DUMMYFUNCTION("""COMPUTED_VALUE"""),68.0)</f>
        <v>68</v>
      </c>
      <c r="F1487" s="27" t="str">
        <f>IFERROR(__xludf.DUMMYFUNCTION("""COMPUTED_VALUE"""),"BLACK")</f>
        <v>BLACK</v>
      </c>
      <c r="G1487" s="28" t="str">
        <f>IFERROR(__xludf.DUMMYFUNCTION("""COMPUTED_VALUE"""),"First Times a Charm Cider")</f>
        <v>First Times a Charm Cider</v>
      </c>
      <c r="H1487" s="27" t="str">
        <f>IFERROR(__xludf.DUMMYFUNCTION("""COMPUTED_VALUE"""),"")</f>
        <v/>
      </c>
    </row>
    <row r="1488">
      <c r="A1488" s="17"/>
      <c r="B1488" s="23"/>
      <c r="C1488" s="17">
        <f>IFERROR(__xludf.DUMMYFUNCTION("""COMPUTED_VALUE"""),43539.0591502546)</f>
        <v>43539.05915</v>
      </c>
      <c r="D1488" s="23">
        <f>IFERROR(__xludf.DUMMYFUNCTION("""COMPUTED_VALUE"""),1.039)</f>
        <v>1.039</v>
      </c>
      <c r="E1488" s="24">
        <f>IFERROR(__xludf.DUMMYFUNCTION("""COMPUTED_VALUE"""),68.0)</f>
        <v>68</v>
      </c>
      <c r="F1488" s="27" t="str">
        <f>IFERROR(__xludf.DUMMYFUNCTION("""COMPUTED_VALUE"""),"BLACK")</f>
        <v>BLACK</v>
      </c>
      <c r="G1488" s="28" t="str">
        <f>IFERROR(__xludf.DUMMYFUNCTION("""COMPUTED_VALUE"""),"First Times a Charm Cider")</f>
        <v>First Times a Charm Cider</v>
      </c>
      <c r="H1488" s="27" t="str">
        <f>IFERROR(__xludf.DUMMYFUNCTION("""COMPUTED_VALUE"""),"")</f>
        <v/>
      </c>
    </row>
    <row r="1489">
      <c r="A1489" s="17"/>
      <c r="B1489" s="23"/>
      <c r="C1489" s="17">
        <f>IFERROR(__xludf.DUMMYFUNCTION("""COMPUTED_VALUE"""),43539.0487149074)</f>
        <v>43539.04871</v>
      </c>
      <c r="D1489" s="23">
        <f>IFERROR(__xludf.DUMMYFUNCTION("""COMPUTED_VALUE"""),1.039)</f>
        <v>1.039</v>
      </c>
      <c r="E1489" s="24">
        <f>IFERROR(__xludf.DUMMYFUNCTION("""COMPUTED_VALUE"""),68.0)</f>
        <v>68</v>
      </c>
      <c r="F1489" s="27" t="str">
        <f>IFERROR(__xludf.DUMMYFUNCTION("""COMPUTED_VALUE"""),"BLACK")</f>
        <v>BLACK</v>
      </c>
      <c r="G1489" s="28" t="str">
        <f>IFERROR(__xludf.DUMMYFUNCTION("""COMPUTED_VALUE"""),"First Times a Charm Cider")</f>
        <v>First Times a Charm Cider</v>
      </c>
      <c r="H1489" s="27" t="str">
        <f>IFERROR(__xludf.DUMMYFUNCTION("""COMPUTED_VALUE"""),"")</f>
        <v/>
      </c>
    </row>
    <row r="1490">
      <c r="A1490" s="17"/>
      <c r="B1490" s="23"/>
      <c r="C1490" s="17">
        <f>IFERROR(__xludf.DUMMYFUNCTION("""COMPUTED_VALUE"""),43539.0382938194)</f>
        <v>43539.03829</v>
      </c>
      <c r="D1490" s="23">
        <f>IFERROR(__xludf.DUMMYFUNCTION("""COMPUTED_VALUE"""),1.039)</f>
        <v>1.039</v>
      </c>
      <c r="E1490" s="24">
        <f>IFERROR(__xludf.DUMMYFUNCTION("""COMPUTED_VALUE"""),68.0)</f>
        <v>68</v>
      </c>
      <c r="F1490" s="27" t="str">
        <f>IFERROR(__xludf.DUMMYFUNCTION("""COMPUTED_VALUE"""),"BLACK")</f>
        <v>BLACK</v>
      </c>
      <c r="G1490" s="28" t="str">
        <f>IFERROR(__xludf.DUMMYFUNCTION("""COMPUTED_VALUE"""),"First Times a Charm Cider")</f>
        <v>First Times a Charm Cider</v>
      </c>
      <c r="H1490" s="27" t="str">
        <f>IFERROR(__xludf.DUMMYFUNCTION("""COMPUTED_VALUE"""),"")</f>
        <v/>
      </c>
    </row>
    <row r="1491">
      <c r="A1491" s="17"/>
      <c r="B1491" s="23"/>
      <c r="C1491" s="17">
        <f>IFERROR(__xludf.DUMMYFUNCTION("""COMPUTED_VALUE"""),43539.0278725578)</f>
        <v>43539.02787</v>
      </c>
      <c r="D1491" s="23">
        <f>IFERROR(__xludf.DUMMYFUNCTION("""COMPUTED_VALUE"""),1.039)</f>
        <v>1.039</v>
      </c>
      <c r="E1491" s="24">
        <f>IFERROR(__xludf.DUMMYFUNCTION("""COMPUTED_VALUE"""),68.0)</f>
        <v>68</v>
      </c>
      <c r="F1491" s="27" t="str">
        <f>IFERROR(__xludf.DUMMYFUNCTION("""COMPUTED_VALUE"""),"BLACK")</f>
        <v>BLACK</v>
      </c>
      <c r="G1491" s="28" t="str">
        <f>IFERROR(__xludf.DUMMYFUNCTION("""COMPUTED_VALUE"""),"First Times a Charm Cider")</f>
        <v>First Times a Charm Cider</v>
      </c>
      <c r="H1491" s="27" t="str">
        <f>IFERROR(__xludf.DUMMYFUNCTION("""COMPUTED_VALUE"""),"")</f>
        <v/>
      </c>
    </row>
    <row r="1492">
      <c r="A1492" s="17"/>
      <c r="B1492" s="23"/>
      <c r="C1492" s="17">
        <f>IFERROR(__xludf.DUMMYFUNCTION("""COMPUTED_VALUE"""),43539.0174274305)</f>
        <v>43539.01743</v>
      </c>
      <c r="D1492" s="23">
        <f>IFERROR(__xludf.DUMMYFUNCTION("""COMPUTED_VALUE"""),1.039)</f>
        <v>1.039</v>
      </c>
      <c r="E1492" s="24">
        <f>IFERROR(__xludf.DUMMYFUNCTION("""COMPUTED_VALUE"""),68.0)</f>
        <v>68</v>
      </c>
      <c r="F1492" s="27" t="str">
        <f>IFERROR(__xludf.DUMMYFUNCTION("""COMPUTED_VALUE"""),"BLACK")</f>
        <v>BLACK</v>
      </c>
      <c r="G1492" s="28" t="str">
        <f>IFERROR(__xludf.DUMMYFUNCTION("""COMPUTED_VALUE"""),"First Times a Charm Cider")</f>
        <v>First Times a Charm Cider</v>
      </c>
      <c r="H1492" s="27" t="str">
        <f>IFERROR(__xludf.DUMMYFUNCTION("""COMPUTED_VALUE"""),"")</f>
        <v/>
      </c>
    </row>
    <row r="1493">
      <c r="A1493" s="17"/>
      <c r="B1493" s="23"/>
      <c r="C1493" s="17">
        <f>IFERROR(__xludf.DUMMYFUNCTION("""COMPUTED_VALUE"""),43539.0070061111)</f>
        <v>43539.00701</v>
      </c>
      <c r="D1493" s="23">
        <f>IFERROR(__xludf.DUMMYFUNCTION("""COMPUTED_VALUE"""),1.039)</f>
        <v>1.039</v>
      </c>
      <c r="E1493" s="24">
        <f>IFERROR(__xludf.DUMMYFUNCTION("""COMPUTED_VALUE"""),68.0)</f>
        <v>68</v>
      </c>
      <c r="F1493" s="27" t="str">
        <f>IFERROR(__xludf.DUMMYFUNCTION("""COMPUTED_VALUE"""),"BLACK")</f>
        <v>BLACK</v>
      </c>
      <c r="G1493" s="28" t="str">
        <f>IFERROR(__xludf.DUMMYFUNCTION("""COMPUTED_VALUE"""),"First Times a Charm Cider")</f>
        <v>First Times a Charm Cider</v>
      </c>
      <c r="H1493" s="27" t="str">
        <f>IFERROR(__xludf.DUMMYFUNCTION("""COMPUTED_VALUE"""),"")</f>
        <v/>
      </c>
    </row>
    <row r="1494">
      <c r="A1494" s="17"/>
      <c r="B1494" s="23"/>
      <c r="C1494" s="17">
        <f>IFERROR(__xludf.DUMMYFUNCTION("""COMPUTED_VALUE"""),43538.9965868634)</f>
        <v>43538.99659</v>
      </c>
      <c r="D1494" s="23">
        <f>IFERROR(__xludf.DUMMYFUNCTION("""COMPUTED_VALUE"""),1.039)</f>
        <v>1.039</v>
      </c>
      <c r="E1494" s="24">
        <f>IFERROR(__xludf.DUMMYFUNCTION("""COMPUTED_VALUE"""),68.0)</f>
        <v>68</v>
      </c>
      <c r="F1494" s="27" t="str">
        <f>IFERROR(__xludf.DUMMYFUNCTION("""COMPUTED_VALUE"""),"BLACK")</f>
        <v>BLACK</v>
      </c>
      <c r="G1494" s="28" t="str">
        <f>IFERROR(__xludf.DUMMYFUNCTION("""COMPUTED_VALUE"""),"First Times a Charm Cider")</f>
        <v>First Times a Charm Cider</v>
      </c>
      <c r="H1494" s="27" t="str">
        <f>IFERROR(__xludf.DUMMYFUNCTION("""COMPUTED_VALUE"""),"")</f>
        <v/>
      </c>
    </row>
    <row r="1495">
      <c r="A1495" s="17"/>
      <c r="B1495" s="23"/>
      <c r="C1495" s="17">
        <f>IFERROR(__xludf.DUMMYFUNCTION("""COMPUTED_VALUE"""),43538.9861647569)</f>
        <v>43538.98616</v>
      </c>
      <c r="D1495" s="23">
        <f>IFERROR(__xludf.DUMMYFUNCTION("""COMPUTED_VALUE"""),1.039)</f>
        <v>1.039</v>
      </c>
      <c r="E1495" s="24">
        <f>IFERROR(__xludf.DUMMYFUNCTION("""COMPUTED_VALUE"""),68.0)</f>
        <v>68</v>
      </c>
      <c r="F1495" s="27" t="str">
        <f>IFERROR(__xludf.DUMMYFUNCTION("""COMPUTED_VALUE"""),"BLACK")</f>
        <v>BLACK</v>
      </c>
      <c r="G1495" s="28" t="str">
        <f>IFERROR(__xludf.DUMMYFUNCTION("""COMPUTED_VALUE"""),"First Times a Charm Cider")</f>
        <v>First Times a Charm Cider</v>
      </c>
      <c r="H1495" s="27" t="str">
        <f>IFERROR(__xludf.DUMMYFUNCTION("""COMPUTED_VALUE"""),"")</f>
        <v/>
      </c>
    </row>
    <row r="1496">
      <c r="A1496" s="17"/>
      <c r="B1496" s="23"/>
      <c r="C1496" s="17">
        <f>IFERROR(__xludf.DUMMYFUNCTION("""COMPUTED_VALUE"""),43538.9757312384)</f>
        <v>43538.97573</v>
      </c>
      <c r="D1496" s="23">
        <f>IFERROR(__xludf.DUMMYFUNCTION("""COMPUTED_VALUE"""),1.039)</f>
        <v>1.039</v>
      </c>
      <c r="E1496" s="24">
        <f>IFERROR(__xludf.DUMMYFUNCTION("""COMPUTED_VALUE"""),68.0)</f>
        <v>68</v>
      </c>
      <c r="F1496" s="27" t="str">
        <f>IFERROR(__xludf.DUMMYFUNCTION("""COMPUTED_VALUE"""),"BLACK")</f>
        <v>BLACK</v>
      </c>
      <c r="G1496" s="28" t="str">
        <f>IFERROR(__xludf.DUMMYFUNCTION("""COMPUTED_VALUE"""),"First Times a Charm Cider")</f>
        <v>First Times a Charm Cider</v>
      </c>
      <c r="H1496" s="27" t="str">
        <f>IFERROR(__xludf.DUMMYFUNCTION("""COMPUTED_VALUE"""),"")</f>
        <v/>
      </c>
    </row>
    <row r="1497">
      <c r="A1497" s="17"/>
      <c r="B1497" s="23"/>
      <c r="C1497" s="17">
        <f>IFERROR(__xludf.DUMMYFUNCTION("""COMPUTED_VALUE"""),43538.9652969444)</f>
        <v>43538.9653</v>
      </c>
      <c r="D1497" s="23">
        <f>IFERROR(__xludf.DUMMYFUNCTION("""COMPUTED_VALUE"""),1.039)</f>
        <v>1.039</v>
      </c>
      <c r="E1497" s="24">
        <f>IFERROR(__xludf.DUMMYFUNCTION("""COMPUTED_VALUE"""),68.0)</f>
        <v>68</v>
      </c>
      <c r="F1497" s="27" t="str">
        <f>IFERROR(__xludf.DUMMYFUNCTION("""COMPUTED_VALUE"""),"BLACK")</f>
        <v>BLACK</v>
      </c>
      <c r="G1497" s="28" t="str">
        <f>IFERROR(__xludf.DUMMYFUNCTION("""COMPUTED_VALUE"""),"First Times a Charm Cider")</f>
        <v>First Times a Charm Cider</v>
      </c>
      <c r="H1497" s="27" t="str">
        <f>IFERROR(__xludf.DUMMYFUNCTION("""COMPUTED_VALUE"""),"")</f>
        <v/>
      </c>
    </row>
    <row r="1498">
      <c r="A1498" s="17"/>
      <c r="B1498" s="23"/>
      <c r="C1498" s="17">
        <f>IFERROR(__xludf.DUMMYFUNCTION("""COMPUTED_VALUE"""),43538.9548419097)</f>
        <v>43538.95484</v>
      </c>
      <c r="D1498" s="23">
        <f>IFERROR(__xludf.DUMMYFUNCTION("""COMPUTED_VALUE"""),1.039)</f>
        <v>1.039</v>
      </c>
      <c r="E1498" s="24">
        <f>IFERROR(__xludf.DUMMYFUNCTION("""COMPUTED_VALUE"""),68.0)</f>
        <v>68</v>
      </c>
      <c r="F1498" s="27" t="str">
        <f>IFERROR(__xludf.DUMMYFUNCTION("""COMPUTED_VALUE"""),"BLACK")</f>
        <v>BLACK</v>
      </c>
      <c r="G1498" s="28" t="str">
        <f>IFERROR(__xludf.DUMMYFUNCTION("""COMPUTED_VALUE"""),"First Times a Charm Cider")</f>
        <v>First Times a Charm Cider</v>
      </c>
      <c r="H1498" s="27" t="str">
        <f>IFERROR(__xludf.DUMMYFUNCTION("""COMPUTED_VALUE"""),"")</f>
        <v/>
      </c>
    </row>
    <row r="1499">
      <c r="A1499" s="17"/>
      <c r="B1499" s="23"/>
      <c r="C1499" s="17">
        <f>IFERROR(__xludf.DUMMYFUNCTION("""COMPUTED_VALUE"""),43538.9444217129)</f>
        <v>43538.94442</v>
      </c>
      <c r="D1499" s="23">
        <f>IFERROR(__xludf.DUMMYFUNCTION("""COMPUTED_VALUE"""),1.039)</f>
        <v>1.039</v>
      </c>
      <c r="E1499" s="24">
        <f>IFERROR(__xludf.DUMMYFUNCTION("""COMPUTED_VALUE"""),68.0)</f>
        <v>68</v>
      </c>
      <c r="F1499" s="27" t="str">
        <f>IFERROR(__xludf.DUMMYFUNCTION("""COMPUTED_VALUE"""),"BLACK")</f>
        <v>BLACK</v>
      </c>
      <c r="G1499" s="28" t="str">
        <f>IFERROR(__xludf.DUMMYFUNCTION("""COMPUTED_VALUE"""),"First Times a Charm Cider")</f>
        <v>First Times a Charm Cider</v>
      </c>
      <c r="H1499" s="27" t="str">
        <f>IFERROR(__xludf.DUMMYFUNCTION("""COMPUTED_VALUE"""),"")</f>
        <v/>
      </c>
    </row>
    <row r="1500">
      <c r="A1500" s="17"/>
      <c r="B1500" s="23"/>
      <c r="C1500" s="17">
        <f>IFERROR(__xludf.DUMMYFUNCTION("""COMPUTED_VALUE"""),43538.9339997685)</f>
        <v>43538.934</v>
      </c>
      <c r="D1500" s="23">
        <f>IFERROR(__xludf.DUMMYFUNCTION("""COMPUTED_VALUE"""),1.039)</f>
        <v>1.039</v>
      </c>
      <c r="E1500" s="24">
        <f>IFERROR(__xludf.DUMMYFUNCTION("""COMPUTED_VALUE"""),68.0)</f>
        <v>68</v>
      </c>
      <c r="F1500" s="27" t="str">
        <f>IFERROR(__xludf.DUMMYFUNCTION("""COMPUTED_VALUE"""),"BLACK")</f>
        <v>BLACK</v>
      </c>
      <c r="G1500" s="28" t="str">
        <f>IFERROR(__xludf.DUMMYFUNCTION("""COMPUTED_VALUE"""),"First Times a Charm Cider")</f>
        <v>First Times a Charm Cider</v>
      </c>
      <c r="H1500" s="27" t="str">
        <f>IFERROR(__xludf.DUMMYFUNCTION("""COMPUTED_VALUE"""),"")</f>
        <v/>
      </c>
    </row>
    <row r="1501">
      <c r="A1501" s="17"/>
      <c r="B1501" s="23"/>
      <c r="C1501" s="17">
        <f>IFERROR(__xludf.DUMMYFUNCTION("""COMPUTED_VALUE"""),43538.9235794907)</f>
        <v>43538.92358</v>
      </c>
      <c r="D1501" s="23">
        <f>IFERROR(__xludf.DUMMYFUNCTION("""COMPUTED_VALUE"""),1.039)</f>
        <v>1.039</v>
      </c>
      <c r="E1501" s="24">
        <f>IFERROR(__xludf.DUMMYFUNCTION("""COMPUTED_VALUE"""),68.0)</f>
        <v>68</v>
      </c>
      <c r="F1501" s="27" t="str">
        <f>IFERROR(__xludf.DUMMYFUNCTION("""COMPUTED_VALUE"""),"BLACK")</f>
        <v>BLACK</v>
      </c>
      <c r="G1501" s="28" t="str">
        <f>IFERROR(__xludf.DUMMYFUNCTION("""COMPUTED_VALUE"""),"First Times a Charm Cider")</f>
        <v>First Times a Charm Cider</v>
      </c>
      <c r="H1501" s="27" t="str">
        <f>IFERROR(__xludf.DUMMYFUNCTION("""COMPUTED_VALUE"""),"")</f>
        <v/>
      </c>
    </row>
    <row r="1502">
      <c r="A1502" s="17"/>
      <c r="B1502" s="23"/>
      <c r="C1502" s="17">
        <f>IFERROR(__xludf.DUMMYFUNCTION("""COMPUTED_VALUE"""),43538.9131337384)</f>
        <v>43538.91313</v>
      </c>
      <c r="D1502" s="23">
        <f>IFERROR(__xludf.DUMMYFUNCTION("""COMPUTED_VALUE"""),1.039)</f>
        <v>1.039</v>
      </c>
      <c r="E1502" s="24">
        <f>IFERROR(__xludf.DUMMYFUNCTION("""COMPUTED_VALUE"""),68.0)</f>
        <v>68</v>
      </c>
      <c r="F1502" s="27" t="str">
        <f>IFERROR(__xludf.DUMMYFUNCTION("""COMPUTED_VALUE"""),"BLACK")</f>
        <v>BLACK</v>
      </c>
      <c r="G1502" s="28" t="str">
        <f>IFERROR(__xludf.DUMMYFUNCTION("""COMPUTED_VALUE"""),"First Times a Charm Cider")</f>
        <v>First Times a Charm Cider</v>
      </c>
      <c r="H1502" s="27" t="str">
        <f>IFERROR(__xludf.DUMMYFUNCTION("""COMPUTED_VALUE"""),"")</f>
        <v/>
      </c>
    </row>
    <row r="1503">
      <c r="A1503" s="17"/>
      <c r="B1503" s="23"/>
      <c r="C1503" s="17">
        <f>IFERROR(__xludf.DUMMYFUNCTION("""COMPUTED_VALUE"""),43538.902701574)</f>
        <v>43538.9027</v>
      </c>
      <c r="D1503" s="23">
        <f>IFERROR(__xludf.DUMMYFUNCTION("""COMPUTED_VALUE"""),1.039)</f>
        <v>1.039</v>
      </c>
      <c r="E1503" s="24">
        <f>IFERROR(__xludf.DUMMYFUNCTION("""COMPUTED_VALUE"""),68.0)</f>
        <v>68</v>
      </c>
      <c r="F1503" s="27" t="str">
        <f>IFERROR(__xludf.DUMMYFUNCTION("""COMPUTED_VALUE"""),"BLACK")</f>
        <v>BLACK</v>
      </c>
      <c r="G1503" s="28" t="str">
        <f>IFERROR(__xludf.DUMMYFUNCTION("""COMPUTED_VALUE"""),"First Times a Charm Cider")</f>
        <v>First Times a Charm Cider</v>
      </c>
      <c r="H1503" s="27" t="str">
        <f>IFERROR(__xludf.DUMMYFUNCTION("""COMPUTED_VALUE"""),"")</f>
        <v/>
      </c>
    </row>
    <row r="1504">
      <c r="A1504" s="17"/>
      <c r="B1504" s="23"/>
      <c r="C1504" s="17">
        <f>IFERROR(__xludf.DUMMYFUNCTION("""COMPUTED_VALUE"""),43538.8922819097)</f>
        <v>43538.89228</v>
      </c>
      <c r="D1504" s="23">
        <f>IFERROR(__xludf.DUMMYFUNCTION("""COMPUTED_VALUE"""),1.039)</f>
        <v>1.039</v>
      </c>
      <c r="E1504" s="24">
        <f>IFERROR(__xludf.DUMMYFUNCTION("""COMPUTED_VALUE"""),68.0)</f>
        <v>68</v>
      </c>
      <c r="F1504" s="27" t="str">
        <f>IFERROR(__xludf.DUMMYFUNCTION("""COMPUTED_VALUE"""),"BLACK")</f>
        <v>BLACK</v>
      </c>
      <c r="G1504" s="28" t="str">
        <f>IFERROR(__xludf.DUMMYFUNCTION("""COMPUTED_VALUE"""),"First Times a Charm Cider")</f>
        <v>First Times a Charm Cider</v>
      </c>
      <c r="H1504" s="27" t="str">
        <f>IFERROR(__xludf.DUMMYFUNCTION("""COMPUTED_VALUE"""),"")</f>
        <v/>
      </c>
    </row>
    <row r="1505">
      <c r="A1505" s="17"/>
      <c r="B1505" s="23"/>
      <c r="C1505" s="17">
        <f>IFERROR(__xludf.DUMMYFUNCTION("""COMPUTED_VALUE"""),43538.8818606944)</f>
        <v>43538.88186</v>
      </c>
      <c r="D1505" s="23">
        <f>IFERROR(__xludf.DUMMYFUNCTION("""COMPUTED_VALUE"""),1.039)</f>
        <v>1.039</v>
      </c>
      <c r="E1505" s="24">
        <f>IFERROR(__xludf.DUMMYFUNCTION("""COMPUTED_VALUE"""),68.0)</f>
        <v>68</v>
      </c>
      <c r="F1505" s="27" t="str">
        <f>IFERROR(__xludf.DUMMYFUNCTION("""COMPUTED_VALUE"""),"BLACK")</f>
        <v>BLACK</v>
      </c>
      <c r="G1505" s="28" t="str">
        <f>IFERROR(__xludf.DUMMYFUNCTION("""COMPUTED_VALUE"""),"First Times a Charm Cider")</f>
        <v>First Times a Charm Cider</v>
      </c>
      <c r="H1505" s="27" t="str">
        <f>IFERROR(__xludf.DUMMYFUNCTION("""COMPUTED_VALUE"""),"")</f>
        <v/>
      </c>
    </row>
    <row r="1506">
      <c r="A1506" s="17"/>
      <c r="B1506" s="23"/>
      <c r="C1506" s="17">
        <f>IFERROR(__xludf.DUMMYFUNCTION("""COMPUTED_VALUE"""),43538.871438912)</f>
        <v>43538.87144</v>
      </c>
      <c r="D1506" s="23">
        <f>IFERROR(__xludf.DUMMYFUNCTION("""COMPUTED_VALUE"""),1.039)</f>
        <v>1.039</v>
      </c>
      <c r="E1506" s="24">
        <f>IFERROR(__xludf.DUMMYFUNCTION("""COMPUTED_VALUE"""),68.0)</f>
        <v>68</v>
      </c>
      <c r="F1506" s="27" t="str">
        <f>IFERROR(__xludf.DUMMYFUNCTION("""COMPUTED_VALUE"""),"BLACK")</f>
        <v>BLACK</v>
      </c>
      <c r="G1506" s="28" t="str">
        <f>IFERROR(__xludf.DUMMYFUNCTION("""COMPUTED_VALUE"""),"First Times a Charm Cider")</f>
        <v>First Times a Charm Cider</v>
      </c>
      <c r="H1506" s="27" t="str">
        <f>IFERROR(__xludf.DUMMYFUNCTION("""COMPUTED_VALUE"""),"")</f>
        <v/>
      </c>
    </row>
    <row r="1507">
      <c r="A1507" s="17"/>
      <c r="B1507" s="23"/>
      <c r="C1507" s="17">
        <f>IFERROR(__xludf.DUMMYFUNCTION("""COMPUTED_VALUE"""),43538.8610183796)</f>
        <v>43538.86102</v>
      </c>
      <c r="D1507" s="23">
        <f>IFERROR(__xludf.DUMMYFUNCTION("""COMPUTED_VALUE"""),1.039)</f>
        <v>1.039</v>
      </c>
      <c r="E1507" s="24">
        <f>IFERROR(__xludf.DUMMYFUNCTION("""COMPUTED_VALUE"""),68.0)</f>
        <v>68</v>
      </c>
      <c r="F1507" s="27" t="str">
        <f>IFERROR(__xludf.DUMMYFUNCTION("""COMPUTED_VALUE"""),"BLACK")</f>
        <v>BLACK</v>
      </c>
      <c r="G1507" s="28" t="str">
        <f>IFERROR(__xludf.DUMMYFUNCTION("""COMPUTED_VALUE"""),"First Times a Charm Cider")</f>
        <v>First Times a Charm Cider</v>
      </c>
      <c r="H1507" s="27" t="str">
        <f>IFERROR(__xludf.DUMMYFUNCTION("""COMPUTED_VALUE"""),"")</f>
        <v/>
      </c>
    </row>
    <row r="1508">
      <c r="A1508" s="17"/>
      <c r="B1508" s="23"/>
      <c r="C1508" s="17">
        <f>IFERROR(__xludf.DUMMYFUNCTION("""COMPUTED_VALUE"""),43538.8505606597)</f>
        <v>43538.85056</v>
      </c>
      <c r="D1508" s="23">
        <f>IFERROR(__xludf.DUMMYFUNCTION("""COMPUTED_VALUE"""),1.039)</f>
        <v>1.039</v>
      </c>
      <c r="E1508" s="24">
        <f>IFERROR(__xludf.DUMMYFUNCTION("""COMPUTED_VALUE"""),68.0)</f>
        <v>68</v>
      </c>
      <c r="F1508" s="27" t="str">
        <f>IFERROR(__xludf.DUMMYFUNCTION("""COMPUTED_VALUE"""),"BLACK")</f>
        <v>BLACK</v>
      </c>
      <c r="G1508" s="28" t="str">
        <f>IFERROR(__xludf.DUMMYFUNCTION("""COMPUTED_VALUE"""),"First Times a Charm Cider")</f>
        <v>First Times a Charm Cider</v>
      </c>
      <c r="H1508" s="27" t="str">
        <f>IFERROR(__xludf.DUMMYFUNCTION("""COMPUTED_VALUE"""),"")</f>
        <v/>
      </c>
    </row>
    <row r="1509">
      <c r="A1509" s="17"/>
      <c r="B1509" s="23"/>
      <c r="C1509" s="17">
        <f>IFERROR(__xludf.DUMMYFUNCTION("""COMPUTED_VALUE"""),43538.8401160763)</f>
        <v>43538.84012</v>
      </c>
      <c r="D1509" s="23">
        <f>IFERROR(__xludf.DUMMYFUNCTION("""COMPUTED_VALUE"""),1.039)</f>
        <v>1.039</v>
      </c>
      <c r="E1509" s="24">
        <f>IFERROR(__xludf.DUMMYFUNCTION("""COMPUTED_VALUE"""),68.0)</f>
        <v>68</v>
      </c>
      <c r="F1509" s="27" t="str">
        <f>IFERROR(__xludf.DUMMYFUNCTION("""COMPUTED_VALUE"""),"BLACK")</f>
        <v>BLACK</v>
      </c>
      <c r="G1509" s="28" t="str">
        <f>IFERROR(__xludf.DUMMYFUNCTION("""COMPUTED_VALUE"""),"First Times a Charm Cider")</f>
        <v>First Times a Charm Cider</v>
      </c>
      <c r="H1509" s="27" t="str">
        <f>IFERROR(__xludf.DUMMYFUNCTION("""COMPUTED_VALUE"""),"")</f>
        <v/>
      </c>
    </row>
    <row r="1510">
      <c r="A1510" s="17"/>
      <c r="B1510" s="23"/>
      <c r="C1510" s="17">
        <f>IFERROR(__xludf.DUMMYFUNCTION("""COMPUTED_VALUE"""),43538.8296948495)</f>
        <v>43538.82969</v>
      </c>
      <c r="D1510" s="23">
        <f>IFERROR(__xludf.DUMMYFUNCTION("""COMPUTED_VALUE"""),1.039)</f>
        <v>1.039</v>
      </c>
      <c r="E1510" s="24">
        <f>IFERROR(__xludf.DUMMYFUNCTION("""COMPUTED_VALUE"""),68.0)</f>
        <v>68</v>
      </c>
      <c r="F1510" s="27" t="str">
        <f>IFERROR(__xludf.DUMMYFUNCTION("""COMPUTED_VALUE"""),"BLACK")</f>
        <v>BLACK</v>
      </c>
      <c r="G1510" s="28" t="str">
        <f>IFERROR(__xludf.DUMMYFUNCTION("""COMPUTED_VALUE"""),"First Times a Charm Cider")</f>
        <v>First Times a Charm Cider</v>
      </c>
      <c r="H1510" s="27" t="str">
        <f>IFERROR(__xludf.DUMMYFUNCTION("""COMPUTED_VALUE"""),"")</f>
        <v/>
      </c>
    </row>
    <row r="1511">
      <c r="A1511" s="17"/>
      <c r="B1511" s="23"/>
      <c r="C1511" s="17">
        <f>IFERROR(__xludf.DUMMYFUNCTION("""COMPUTED_VALUE"""),43538.8192731365)</f>
        <v>43538.81927</v>
      </c>
      <c r="D1511" s="23">
        <f>IFERROR(__xludf.DUMMYFUNCTION("""COMPUTED_VALUE"""),1.039)</f>
        <v>1.039</v>
      </c>
      <c r="E1511" s="24">
        <f>IFERROR(__xludf.DUMMYFUNCTION("""COMPUTED_VALUE"""),68.0)</f>
        <v>68</v>
      </c>
      <c r="F1511" s="27" t="str">
        <f>IFERROR(__xludf.DUMMYFUNCTION("""COMPUTED_VALUE"""),"BLACK")</f>
        <v>BLACK</v>
      </c>
      <c r="G1511" s="28" t="str">
        <f>IFERROR(__xludf.DUMMYFUNCTION("""COMPUTED_VALUE"""),"First Times a Charm Cider")</f>
        <v>First Times a Charm Cider</v>
      </c>
      <c r="H1511" s="27" t="str">
        <f>IFERROR(__xludf.DUMMYFUNCTION("""COMPUTED_VALUE"""),"")</f>
        <v/>
      </c>
    </row>
    <row r="1512">
      <c r="A1512" s="17"/>
      <c r="B1512" s="23"/>
      <c r="C1512" s="17">
        <f>IFERROR(__xludf.DUMMYFUNCTION("""COMPUTED_VALUE"""),43538.8088393402)</f>
        <v>43538.80884</v>
      </c>
      <c r="D1512" s="23">
        <f>IFERROR(__xludf.DUMMYFUNCTION("""COMPUTED_VALUE"""),1.039)</f>
        <v>1.039</v>
      </c>
      <c r="E1512" s="24">
        <f>IFERROR(__xludf.DUMMYFUNCTION("""COMPUTED_VALUE"""),68.0)</f>
        <v>68</v>
      </c>
      <c r="F1512" s="27" t="str">
        <f>IFERROR(__xludf.DUMMYFUNCTION("""COMPUTED_VALUE"""),"BLACK")</f>
        <v>BLACK</v>
      </c>
      <c r="G1512" s="28" t="str">
        <f>IFERROR(__xludf.DUMMYFUNCTION("""COMPUTED_VALUE"""),"First Times a Charm Cider")</f>
        <v>First Times a Charm Cider</v>
      </c>
      <c r="H1512" s="27" t="str">
        <f>IFERROR(__xludf.DUMMYFUNCTION("""COMPUTED_VALUE"""),"")</f>
        <v/>
      </c>
    </row>
    <row r="1513">
      <c r="A1513" s="17"/>
      <c r="B1513" s="23"/>
      <c r="C1513" s="17">
        <f>IFERROR(__xludf.DUMMYFUNCTION("""COMPUTED_VALUE"""),43538.7984060532)</f>
        <v>43538.79841</v>
      </c>
      <c r="D1513" s="23">
        <f>IFERROR(__xludf.DUMMYFUNCTION("""COMPUTED_VALUE"""),1.039)</f>
        <v>1.039</v>
      </c>
      <c r="E1513" s="24">
        <f>IFERROR(__xludf.DUMMYFUNCTION("""COMPUTED_VALUE"""),68.0)</f>
        <v>68</v>
      </c>
      <c r="F1513" s="27" t="str">
        <f>IFERROR(__xludf.DUMMYFUNCTION("""COMPUTED_VALUE"""),"BLACK")</f>
        <v>BLACK</v>
      </c>
      <c r="G1513" s="28" t="str">
        <f>IFERROR(__xludf.DUMMYFUNCTION("""COMPUTED_VALUE"""),"First Times a Charm Cider")</f>
        <v>First Times a Charm Cider</v>
      </c>
      <c r="H1513" s="27" t="str">
        <f>IFERROR(__xludf.DUMMYFUNCTION("""COMPUTED_VALUE"""),"")</f>
        <v/>
      </c>
    </row>
    <row r="1514">
      <c r="A1514" s="17"/>
      <c r="B1514" s="23"/>
      <c r="C1514" s="17">
        <f>IFERROR(__xludf.DUMMYFUNCTION("""COMPUTED_VALUE"""),43538.7879849305)</f>
        <v>43538.78798</v>
      </c>
      <c r="D1514" s="23">
        <f>IFERROR(__xludf.DUMMYFUNCTION("""COMPUTED_VALUE"""),1.039)</f>
        <v>1.039</v>
      </c>
      <c r="E1514" s="24">
        <f>IFERROR(__xludf.DUMMYFUNCTION("""COMPUTED_VALUE"""),68.0)</f>
        <v>68</v>
      </c>
      <c r="F1514" s="27" t="str">
        <f>IFERROR(__xludf.DUMMYFUNCTION("""COMPUTED_VALUE"""),"BLACK")</f>
        <v>BLACK</v>
      </c>
      <c r="G1514" s="28" t="str">
        <f>IFERROR(__xludf.DUMMYFUNCTION("""COMPUTED_VALUE"""),"First Times a Charm Cider")</f>
        <v>First Times a Charm Cider</v>
      </c>
      <c r="H1514" s="27" t="str">
        <f>IFERROR(__xludf.DUMMYFUNCTION("""COMPUTED_VALUE"""),"")</f>
        <v/>
      </c>
    </row>
    <row r="1515">
      <c r="A1515" s="17"/>
      <c r="B1515" s="23"/>
      <c r="C1515" s="17">
        <f>IFERROR(__xludf.DUMMYFUNCTION("""COMPUTED_VALUE"""),43538.7775644907)</f>
        <v>43538.77756</v>
      </c>
      <c r="D1515" s="23">
        <f>IFERROR(__xludf.DUMMYFUNCTION("""COMPUTED_VALUE"""),1.039)</f>
        <v>1.039</v>
      </c>
      <c r="E1515" s="24">
        <f>IFERROR(__xludf.DUMMYFUNCTION("""COMPUTED_VALUE"""),68.0)</f>
        <v>68</v>
      </c>
      <c r="F1515" s="27" t="str">
        <f>IFERROR(__xludf.DUMMYFUNCTION("""COMPUTED_VALUE"""),"BLACK")</f>
        <v>BLACK</v>
      </c>
      <c r="G1515" s="28" t="str">
        <f>IFERROR(__xludf.DUMMYFUNCTION("""COMPUTED_VALUE"""),"First Times a Charm Cider")</f>
        <v>First Times a Charm Cider</v>
      </c>
      <c r="H1515" s="27" t="str">
        <f>IFERROR(__xludf.DUMMYFUNCTION("""COMPUTED_VALUE"""),"")</f>
        <v/>
      </c>
    </row>
    <row r="1516">
      <c r="A1516" s="17"/>
      <c r="B1516" s="23"/>
      <c r="C1516" s="17">
        <f>IFERROR(__xludf.DUMMYFUNCTION("""COMPUTED_VALUE"""),43538.7671428703)</f>
        <v>43538.76714</v>
      </c>
      <c r="D1516" s="23">
        <f>IFERROR(__xludf.DUMMYFUNCTION("""COMPUTED_VALUE"""),1.039)</f>
        <v>1.039</v>
      </c>
      <c r="E1516" s="24">
        <f>IFERROR(__xludf.DUMMYFUNCTION("""COMPUTED_VALUE"""),68.0)</f>
        <v>68</v>
      </c>
      <c r="F1516" s="27" t="str">
        <f>IFERROR(__xludf.DUMMYFUNCTION("""COMPUTED_VALUE"""),"BLACK")</f>
        <v>BLACK</v>
      </c>
      <c r="G1516" s="28" t="str">
        <f>IFERROR(__xludf.DUMMYFUNCTION("""COMPUTED_VALUE"""),"First Times a Charm Cider")</f>
        <v>First Times a Charm Cider</v>
      </c>
      <c r="H1516" s="27" t="str">
        <f>IFERROR(__xludf.DUMMYFUNCTION("""COMPUTED_VALUE"""),"")</f>
        <v/>
      </c>
    </row>
    <row r="1517">
      <c r="A1517" s="17"/>
      <c r="B1517" s="23"/>
      <c r="C1517" s="17">
        <f>IFERROR(__xludf.DUMMYFUNCTION("""COMPUTED_VALUE"""),43538.7567195833)</f>
        <v>43538.75672</v>
      </c>
      <c r="D1517" s="23">
        <f>IFERROR(__xludf.DUMMYFUNCTION("""COMPUTED_VALUE"""),1.039)</f>
        <v>1.039</v>
      </c>
      <c r="E1517" s="24">
        <f>IFERROR(__xludf.DUMMYFUNCTION("""COMPUTED_VALUE"""),68.0)</f>
        <v>68</v>
      </c>
      <c r="F1517" s="27" t="str">
        <f>IFERROR(__xludf.DUMMYFUNCTION("""COMPUTED_VALUE"""),"BLACK")</f>
        <v>BLACK</v>
      </c>
      <c r="G1517" s="28" t="str">
        <f>IFERROR(__xludf.DUMMYFUNCTION("""COMPUTED_VALUE"""),"First Times a Charm Cider")</f>
        <v>First Times a Charm Cider</v>
      </c>
      <c r="H1517" s="27" t="str">
        <f>IFERROR(__xludf.DUMMYFUNCTION("""COMPUTED_VALUE"""),"")</f>
        <v/>
      </c>
    </row>
    <row r="1518">
      <c r="A1518" s="17"/>
      <c r="B1518" s="23"/>
      <c r="C1518" s="17">
        <f>IFERROR(__xludf.DUMMYFUNCTION("""COMPUTED_VALUE"""),43538.7462994213)</f>
        <v>43538.7463</v>
      </c>
      <c r="D1518" s="23">
        <f>IFERROR(__xludf.DUMMYFUNCTION("""COMPUTED_VALUE"""),1.039)</f>
        <v>1.039</v>
      </c>
      <c r="E1518" s="24">
        <f>IFERROR(__xludf.DUMMYFUNCTION("""COMPUTED_VALUE"""),68.0)</f>
        <v>68</v>
      </c>
      <c r="F1518" s="27" t="str">
        <f>IFERROR(__xludf.DUMMYFUNCTION("""COMPUTED_VALUE"""),"BLACK")</f>
        <v>BLACK</v>
      </c>
      <c r="G1518" s="28" t="str">
        <f>IFERROR(__xludf.DUMMYFUNCTION("""COMPUTED_VALUE"""),"First Times a Charm Cider")</f>
        <v>First Times a Charm Cider</v>
      </c>
      <c r="H1518" s="27" t="str">
        <f>IFERROR(__xludf.DUMMYFUNCTION("""COMPUTED_VALUE"""),"")</f>
        <v/>
      </c>
    </row>
    <row r="1519">
      <c r="A1519" s="17"/>
      <c r="B1519" s="23"/>
      <c r="C1519" s="17">
        <f>IFERROR(__xludf.DUMMYFUNCTION("""COMPUTED_VALUE"""),43538.7358647916)</f>
        <v>43538.73586</v>
      </c>
      <c r="D1519" s="23">
        <f>IFERROR(__xludf.DUMMYFUNCTION("""COMPUTED_VALUE"""),1.039)</f>
        <v>1.039</v>
      </c>
      <c r="E1519" s="24">
        <f>IFERROR(__xludf.DUMMYFUNCTION("""COMPUTED_VALUE"""),68.0)</f>
        <v>68</v>
      </c>
      <c r="F1519" s="27" t="str">
        <f>IFERROR(__xludf.DUMMYFUNCTION("""COMPUTED_VALUE"""),"BLACK")</f>
        <v>BLACK</v>
      </c>
      <c r="G1519" s="28" t="str">
        <f>IFERROR(__xludf.DUMMYFUNCTION("""COMPUTED_VALUE"""),"First Times a Charm Cider")</f>
        <v>First Times a Charm Cider</v>
      </c>
      <c r="H1519" s="27" t="str">
        <f>IFERROR(__xludf.DUMMYFUNCTION("""COMPUTED_VALUE"""),"")</f>
        <v/>
      </c>
    </row>
    <row r="1520">
      <c r="A1520" s="17"/>
      <c r="B1520" s="23"/>
      <c r="C1520" s="17">
        <f>IFERROR(__xludf.DUMMYFUNCTION("""COMPUTED_VALUE"""),43538.7254422569)</f>
        <v>43538.72544</v>
      </c>
      <c r="D1520" s="23">
        <f>IFERROR(__xludf.DUMMYFUNCTION("""COMPUTED_VALUE"""),1.039)</f>
        <v>1.039</v>
      </c>
      <c r="E1520" s="24">
        <f>IFERROR(__xludf.DUMMYFUNCTION("""COMPUTED_VALUE"""),68.0)</f>
        <v>68</v>
      </c>
      <c r="F1520" s="27" t="str">
        <f>IFERROR(__xludf.DUMMYFUNCTION("""COMPUTED_VALUE"""),"BLACK")</f>
        <v>BLACK</v>
      </c>
      <c r="G1520" s="28" t="str">
        <f>IFERROR(__xludf.DUMMYFUNCTION("""COMPUTED_VALUE"""),"First Times a Charm Cider")</f>
        <v>First Times a Charm Cider</v>
      </c>
      <c r="H1520" s="27" t="str">
        <f>IFERROR(__xludf.DUMMYFUNCTION("""COMPUTED_VALUE"""),"")</f>
        <v/>
      </c>
    </row>
    <row r="1521">
      <c r="A1521" s="17"/>
      <c r="B1521" s="23"/>
      <c r="C1521" s="17">
        <f>IFERROR(__xludf.DUMMYFUNCTION("""COMPUTED_VALUE"""),43538.7150103009)</f>
        <v>43538.71501</v>
      </c>
      <c r="D1521" s="23">
        <f>IFERROR(__xludf.DUMMYFUNCTION("""COMPUTED_VALUE"""),1.039)</f>
        <v>1.039</v>
      </c>
      <c r="E1521" s="24">
        <f>IFERROR(__xludf.DUMMYFUNCTION("""COMPUTED_VALUE"""),68.0)</f>
        <v>68</v>
      </c>
      <c r="F1521" s="27" t="str">
        <f>IFERROR(__xludf.DUMMYFUNCTION("""COMPUTED_VALUE"""),"BLACK")</f>
        <v>BLACK</v>
      </c>
      <c r="G1521" s="28" t="str">
        <f>IFERROR(__xludf.DUMMYFUNCTION("""COMPUTED_VALUE"""),"First Times a Charm Cider")</f>
        <v>First Times a Charm Cider</v>
      </c>
      <c r="H1521" s="27" t="str">
        <f>IFERROR(__xludf.DUMMYFUNCTION("""COMPUTED_VALUE"""),"")</f>
        <v/>
      </c>
    </row>
    <row r="1522">
      <c r="A1522" s="17"/>
      <c r="B1522" s="23"/>
      <c r="C1522" s="17">
        <f>IFERROR(__xludf.DUMMYFUNCTION("""COMPUTED_VALUE"""),43538.7045895949)</f>
        <v>43538.70459</v>
      </c>
      <c r="D1522" s="23">
        <f>IFERROR(__xludf.DUMMYFUNCTION("""COMPUTED_VALUE"""),1.039)</f>
        <v>1.039</v>
      </c>
      <c r="E1522" s="24">
        <f>IFERROR(__xludf.DUMMYFUNCTION("""COMPUTED_VALUE"""),68.0)</f>
        <v>68</v>
      </c>
      <c r="F1522" s="27" t="str">
        <f>IFERROR(__xludf.DUMMYFUNCTION("""COMPUTED_VALUE"""),"BLACK")</f>
        <v>BLACK</v>
      </c>
      <c r="G1522" s="28" t="str">
        <f>IFERROR(__xludf.DUMMYFUNCTION("""COMPUTED_VALUE"""),"First Times a Charm Cider")</f>
        <v>First Times a Charm Cider</v>
      </c>
      <c r="H1522" s="27" t="str">
        <f>IFERROR(__xludf.DUMMYFUNCTION("""COMPUTED_VALUE"""),"")</f>
        <v/>
      </c>
    </row>
    <row r="1523">
      <c r="A1523" s="17"/>
      <c r="B1523" s="23"/>
      <c r="C1523" s="17">
        <f>IFERROR(__xludf.DUMMYFUNCTION("""COMPUTED_VALUE"""),43538.6941680208)</f>
        <v>43538.69417</v>
      </c>
      <c r="D1523" s="23">
        <f>IFERROR(__xludf.DUMMYFUNCTION("""COMPUTED_VALUE"""),1.039)</f>
        <v>1.039</v>
      </c>
      <c r="E1523" s="24">
        <f>IFERROR(__xludf.DUMMYFUNCTION("""COMPUTED_VALUE"""),68.0)</f>
        <v>68</v>
      </c>
      <c r="F1523" s="27" t="str">
        <f>IFERROR(__xludf.DUMMYFUNCTION("""COMPUTED_VALUE"""),"BLACK")</f>
        <v>BLACK</v>
      </c>
      <c r="G1523" s="28" t="str">
        <f>IFERROR(__xludf.DUMMYFUNCTION("""COMPUTED_VALUE"""),"First Times a Charm Cider")</f>
        <v>First Times a Charm Cider</v>
      </c>
      <c r="H1523" s="27" t="str">
        <f>IFERROR(__xludf.DUMMYFUNCTION("""COMPUTED_VALUE"""),"")</f>
        <v/>
      </c>
    </row>
    <row r="1524">
      <c r="A1524" s="17"/>
      <c r="B1524" s="23"/>
      <c r="C1524" s="17">
        <f>IFERROR(__xludf.DUMMYFUNCTION("""COMPUTED_VALUE"""),43538.6837455671)</f>
        <v>43538.68375</v>
      </c>
      <c r="D1524" s="23">
        <f>IFERROR(__xludf.DUMMYFUNCTION("""COMPUTED_VALUE"""),1.039)</f>
        <v>1.039</v>
      </c>
      <c r="E1524" s="24">
        <f>IFERROR(__xludf.DUMMYFUNCTION("""COMPUTED_VALUE"""),68.0)</f>
        <v>68</v>
      </c>
      <c r="F1524" s="27" t="str">
        <f>IFERROR(__xludf.DUMMYFUNCTION("""COMPUTED_VALUE"""),"BLACK")</f>
        <v>BLACK</v>
      </c>
      <c r="G1524" s="28" t="str">
        <f>IFERROR(__xludf.DUMMYFUNCTION("""COMPUTED_VALUE"""),"First Times a Charm Cider")</f>
        <v>First Times a Charm Cider</v>
      </c>
      <c r="H1524" s="27" t="str">
        <f>IFERROR(__xludf.DUMMYFUNCTION("""COMPUTED_VALUE"""),"")</f>
        <v/>
      </c>
    </row>
    <row r="1525">
      <c r="A1525" s="17"/>
      <c r="B1525" s="23"/>
      <c r="C1525" s="17">
        <f>IFERROR(__xludf.DUMMYFUNCTION("""COMPUTED_VALUE"""),43538.673311574)</f>
        <v>43538.67331</v>
      </c>
      <c r="D1525" s="23">
        <f>IFERROR(__xludf.DUMMYFUNCTION("""COMPUTED_VALUE"""),1.039)</f>
        <v>1.039</v>
      </c>
      <c r="E1525" s="24">
        <f>IFERROR(__xludf.DUMMYFUNCTION("""COMPUTED_VALUE"""),68.0)</f>
        <v>68</v>
      </c>
      <c r="F1525" s="27" t="str">
        <f>IFERROR(__xludf.DUMMYFUNCTION("""COMPUTED_VALUE"""),"BLACK")</f>
        <v>BLACK</v>
      </c>
      <c r="G1525" s="28" t="str">
        <f>IFERROR(__xludf.DUMMYFUNCTION("""COMPUTED_VALUE"""),"First Times a Charm Cider")</f>
        <v>First Times a Charm Cider</v>
      </c>
      <c r="H1525" s="27" t="str">
        <f>IFERROR(__xludf.DUMMYFUNCTION("""COMPUTED_VALUE"""),"")</f>
        <v/>
      </c>
    </row>
    <row r="1526">
      <c r="A1526" s="17"/>
      <c r="B1526" s="23"/>
      <c r="C1526" s="17">
        <f>IFERROR(__xludf.DUMMYFUNCTION("""COMPUTED_VALUE"""),43538.6628898495)</f>
        <v>43538.66289</v>
      </c>
      <c r="D1526" s="23">
        <f>IFERROR(__xludf.DUMMYFUNCTION("""COMPUTED_VALUE"""),1.039)</f>
        <v>1.039</v>
      </c>
      <c r="E1526" s="24">
        <f>IFERROR(__xludf.DUMMYFUNCTION("""COMPUTED_VALUE"""),68.0)</f>
        <v>68</v>
      </c>
      <c r="F1526" s="27" t="str">
        <f>IFERROR(__xludf.DUMMYFUNCTION("""COMPUTED_VALUE"""),"BLACK")</f>
        <v>BLACK</v>
      </c>
      <c r="G1526" s="28" t="str">
        <f>IFERROR(__xludf.DUMMYFUNCTION("""COMPUTED_VALUE"""),"First Times a Charm Cider")</f>
        <v>First Times a Charm Cider</v>
      </c>
      <c r="H1526" s="27" t="str">
        <f>IFERROR(__xludf.DUMMYFUNCTION("""COMPUTED_VALUE"""),"")</f>
        <v/>
      </c>
    </row>
    <row r="1527">
      <c r="A1527" s="17"/>
      <c r="B1527" s="23"/>
      <c r="C1527" s="17">
        <f>IFERROR(__xludf.DUMMYFUNCTION("""COMPUTED_VALUE"""),43538.6524685648)</f>
        <v>43538.65247</v>
      </c>
      <c r="D1527" s="23">
        <f>IFERROR(__xludf.DUMMYFUNCTION("""COMPUTED_VALUE"""),1.039)</f>
        <v>1.039</v>
      </c>
      <c r="E1527" s="24">
        <f>IFERROR(__xludf.DUMMYFUNCTION("""COMPUTED_VALUE"""),68.0)</f>
        <v>68</v>
      </c>
      <c r="F1527" s="27" t="str">
        <f>IFERROR(__xludf.DUMMYFUNCTION("""COMPUTED_VALUE"""),"BLACK")</f>
        <v>BLACK</v>
      </c>
      <c r="G1527" s="28" t="str">
        <f>IFERROR(__xludf.DUMMYFUNCTION("""COMPUTED_VALUE"""),"First Times a Charm Cider")</f>
        <v>First Times a Charm Cider</v>
      </c>
      <c r="H1527" s="27" t="str">
        <f>IFERROR(__xludf.DUMMYFUNCTION("""COMPUTED_VALUE"""),"")</f>
        <v/>
      </c>
    </row>
    <row r="1528">
      <c r="A1528" s="17"/>
      <c r="B1528" s="23"/>
      <c r="C1528" s="17">
        <f>IFERROR(__xludf.DUMMYFUNCTION("""COMPUTED_VALUE"""),43538.6420125578)</f>
        <v>43538.64201</v>
      </c>
      <c r="D1528" s="23">
        <f>IFERROR(__xludf.DUMMYFUNCTION("""COMPUTED_VALUE"""),1.039)</f>
        <v>1.039</v>
      </c>
      <c r="E1528" s="24">
        <f>IFERROR(__xludf.DUMMYFUNCTION("""COMPUTED_VALUE"""),68.0)</f>
        <v>68</v>
      </c>
      <c r="F1528" s="27" t="str">
        <f>IFERROR(__xludf.DUMMYFUNCTION("""COMPUTED_VALUE"""),"BLACK")</f>
        <v>BLACK</v>
      </c>
      <c r="G1528" s="28" t="str">
        <f>IFERROR(__xludf.DUMMYFUNCTION("""COMPUTED_VALUE"""),"First Times a Charm Cider")</f>
        <v>First Times a Charm Cider</v>
      </c>
      <c r="H1528" s="27" t="str">
        <f>IFERROR(__xludf.DUMMYFUNCTION("""COMPUTED_VALUE"""),"")</f>
        <v/>
      </c>
    </row>
    <row r="1529">
      <c r="A1529" s="17"/>
      <c r="B1529" s="23"/>
      <c r="C1529" s="17">
        <f>IFERROR(__xludf.DUMMYFUNCTION("""COMPUTED_VALUE"""),43538.6315889236)</f>
        <v>43538.63159</v>
      </c>
      <c r="D1529" s="23">
        <f>IFERROR(__xludf.DUMMYFUNCTION("""COMPUTED_VALUE"""),1.04)</f>
        <v>1.04</v>
      </c>
      <c r="E1529" s="24">
        <f>IFERROR(__xludf.DUMMYFUNCTION("""COMPUTED_VALUE"""),68.0)</f>
        <v>68</v>
      </c>
      <c r="F1529" s="27" t="str">
        <f>IFERROR(__xludf.DUMMYFUNCTION("""COMPUTED_VALUE"""),"BLACK")</f>
        <v>BLACK</v>
      </c>
      <c r="G1529" s="28" t="str">
        <f>IFERROR(__xludf.DUMMYFUNCTION("""COMPUTED_VALUE"""),"First Times a Charm Cider")</f>
        <v>First Times a Charm Cider</v>
      </c>
      <c r="H1529" s="27" t="str">
        <f>IFERROR(__xludf.DUMMYFUNCTION("""COMPUTED_VALUE"""),"")</f>
        <v/>
      </c>
    </row>
    <row r="1530">
      <c r="A1530" s="17"/>
      <c r="B1530" s="23"/>
      <c r="C1530" s="17">
        <f>IFERROR(__xludf.DUMMYFUNCTION("""COMPUTED_VALUE"""),43538.6211683449)</f>
        <v>43538.62117</v>
      </c>
      <c r="D1530" s="23">
        <f>IFERROR(__xludf.DUMMYFUNCTION("""COMPUTED_VALUE"""),1.039)</f>
        <v>1.039</v>
      </c>
      <c r="E1530" s="24">
        <f>IFERROR(__xludf.DUMMYFUNCTION("""COMPUTED_VALUE"""),68.0)</f>
        <v>68</v>
      </c>
      <c r="F1530" s="27" t="str">
        <f>IFERROR(__xludf.DUMMYFUNCTION("""COMPUTED_VALUE"""),"BLACK")</f>
        <v>BLACK</v>
      </c>
      <c r="G1530" s="28" t="str">
        <f>IFERROR(__xludf.DUMMYFUNCTION("""COMPUTED_VALUE"""),"First Times a Charm Cider")</f>
        <v>First Times a Charm Cider</v>
      </c>
      <c r="H1530" s="27" t="str">
        <f>IFERROR(__xludf.DUMMYFUNCTION("""COMPUTED_VALUE"""),"")</f>
        <v/>
      </c>
    </row>
    <row r="1531">
      <c r="A1531" s="17"/>
      <c r="B1531" s="23"/>
      <c r="C1531" s="17">
        <f>IFERROR(__xludf.DUMMYFUNCTION("""COMPUTED_VALUE"""),43538.6107475347)</f>
        <v>43538.61075</v>
      </c>
      <c r="D1531" s="23">
        <f>IFERROR(__xludf.DUMMYFUNCTION("""COMPUTED_VALUE"""),1.039)</f>
        <v>1.039</v>
      </c>
      <c r="E1531" s="24">
        <f>IFERROR(__xludf.DUMMYFUNCTION("""COMPUTED_VALUE"""),68.0)</f>
        <v>68</v>
      </c>
      <c r="F1531" s="27" t="str">
        <f>IFERROR(__xludf.DUMMYFUNCTION("""COMPUTED_VALUE"""),"BLACK")</f>
        <v>BLACK</v>
      </c>
      <c r="G1531" s="28" t="str">
        <f>IFERROR(__xludf.DUMMYFUNCTION("""COMPUTED_VALUE"""),"First Times a Charm Cider")</f>
        <v>First Times a Charm Cider</v>
      </c>
      <c r="H1531" s="27" t="str">
        <f>IFERROR(__xludf.DUMMYFUNCTION("""COMPUTED_VALUE"""),"")</f>
        <v/>
      </c>
    </row>
    <row r="1532">
      <c r="A1532" s="17"/>
      <c r="B1532" s="23"/>
      <c r="C1532" s="17">
        <f>IFERROR(__xludf.DUMMYFUNCTION("""COMPUTED_VALUE"""),43538.600327743)</f>
        <v>43538.60033</v>
      </c>
      <c r="D1532" s="23">
        <f>IFERROR(__xludf.DUMMYFUNCTION("""COMPUTED_VALUE"""),1.04)</f>
        <v>1.04</v>
      </c>
      <c r="E1532" s="24">
        <f>IFERROR(__xludf.DUMMYFUNCTION("""COMPUTED_VALUE"""),68.0)</f>
        <v>68</v>
      </c>
      <c r="F1532" s="27" t="str">
        <f>IFERROR(__xludf.DUMMYFUNCTION("""COMPUTED_VALUE"""),"BLACK")</f>
        <v>BLACK</v>
      </c>
      <c r="G1532" s="28" t="str">
        <f>IFERROR(__xludf.DUMMYFUNCTION("""COMPUTED_VALUE"""),"First Times a Charm Cider")</f>
        <v>First Times a Charm Cider</v>
      </c>
      <c r="H1532" s="27" t="str">
        <f>IFERROR(__xludf.DUMMYFUNCTION("""COMPUTED_VALUE"""),"")</f>
        <v/>
      </c>
    </row>
    <row r="1533">
      <c r="A1533" s="17"/>
      <c r="B1533" s="23"/>
      <c r="C1533" s="17">
        <f>IFERROR(__xludf.DUMMYFUNCTION("""COMPUTED_VALUE"""),43538.5898941435)</f>
        <v>43538.58989</v>
      </c>
      <c r="D1533" s="23">
        <f>IFERROR(__xludf.DUMMYFUNCTION("""COMPUTED_VALUE"""),1.039)</f>
        <v>1.039</v>
      </c>
      <c r="E1533" s="24">
        <f>IFERROR(__xludf.DUMMYFUNCTION("""COMPUTED_VALUE"""),68.0)</f>
        <v>68</v>
      </c>
      <c r="F1533" s="27" t="str">
        <f>IFERROR(__xludf.DUMMYFUNCTION("""COMPUTED_VALUE"""),"BLACK")</f>
        <v>BLACK</v>
      </c>
      <c r="G1533" s="28" t="str">
        <f>IFERROR(__xludf.DUMMYFUNCTION("""COMPUTED_VALUE"""),"First Times a Charm Cider")</f>
        <v>First Times a Charm Cider</v>
      </c>
      <c r="H1533" s="27" t="str">
        <f>IFERROR(__xludf.DUMMYFUNCTION("""COMPUTED_VALUE"""),"")</f>
        <v/>
      </c>
    </row>
    <row r="1534">
      <c r="A1534" s="17"/>
      <c r="B1534" s="23"/>
      <c r="C1534" s="17">
        <f>IFERROR(__xludf.DUMMYFUNCTION("""COMPUTED_VALUE"""),43538.5794741435)</f>
        <v>43538.57947</v>
      </c>
      <c r="D1534" s="23">
        <f>IFERROR(__xludf.DUMMYFUNCTION("""COMPUTED_VALUE"""),1.039)</f>
        <v>1.039</v>
      </c>
      <c r="E1534" s="24">
        <f>IFERROR(__xludf.DUMMYFUNCTION("""COMPUTED_VALUE"""),68.0)</f>
        <v>68</v>
      </c>
      <c r="F1534" s="27" t="str">
        <f>IFERROR(__xludf.DUMMYFUNCTION("""COMPUTED_VALUE"""),"BLACK")</f>
        <v>BLACK</v>
      </c>
      <c r="G1534" s="28" t="str">
        <f>IFERROR(__xludf.DUMMYFUNCTION("""COMPUTED_VALUE"""),"First Times a Charm Cider")</f>
        <v>First Times a Charm Cider</v>
      </c>
      <c r="H1534" s="27" t="str">
        <f>IFERROR(__xludf.DUMMYFUNCTION("""COMPUTED_VALUE"""),"")</f>
        <v/>
      </c>
    </row>
    <row r="1535">
      <c r="A1535" s="17"/>
      <c r="B1535" s="23"/>
      <c r="C1535" s="17">
        <f>IFERROR(__xludf.DUMMYFUNCTION("""COMPUTED_VALUE"""),43538.5690528588)</f>
        <v>43538.56905</v>
      </c>
      <c r="D1535" s="23">
        <f>IFERROR(__xludf.DUMMYFUNCTION("""COMPUTED_VALUE"""),1.039)</f>
        <v>1.039</v>
      </c>
      <c r="E1535" s="24">
        <f>IFERROR(__xludf.DUMMYFUNCTION("""COMPUTED_VALUE"""),68.0)</f>
        <v>68</v>
      </c>
      <c r="F1535" s="27" t="str">
        <f>IFERROR(__xludf.DUMMYFUNCTION("""COMPUTED_VALUE"""),"BLACK")</f>
        <v>BLACK</v>
      </c>
      <c r="G1535" s="28" t="str">
        <f>IFERROR(__xludf.DUMMYFUNCTION("""COMPUTED_VALUE"""),"First Times a Charm Cider")</f>
        <v>First Times a Charm Cider</v>
      </c>
      <c r="H1535" s="27" t="str">
        <f>IFERROR(__xludf.DUMMYFUNCTION("""COMPUTED_VALUE"""),"")</f>
        <v/>
      </c>
    </row>
    <row r="1536">
      <c r="A1536" s="17"/>
      <c r="B1536" s="23"/>
      <c r="C1536" s="17">
        <f>IFERROR(__xludf.DUMMYFUNCTION("""COMPUTED_VALUE"""),43538.5586315509)</f>
        <v>43538.55863</v>
      </c>
      <c r="D1536" s="23">
        <f>IFERROR(__xludf.DUMMYFUNCTION("""COMPUTED_VALUE"""),1.039)</f>
        <v>1.039</v>
      </c>
      <c r="E1536" s="24">
        <f>IFERROR(__xludf.DUMMYFUNCTION("""COMPUTED_VALUE"""),68.0)</f>
        <v>68</v>
      </c>
      <c r="F1536" s="27" t="str">
        <f>IFERROR(__xludf.DUMMYFUNCTION("""COMPUTED_VALUE"""),"BLACK")</f>
        <v>BLACK</v>
      </c>
      <c r="G1536" s="28" t="str">
        <f>IFERROR(__xludf.DUMMYFUNCTION("""COMPUTED_VALUE"""),"First Times a Charm Cider")</f>
        <v>First Times a Charm Cider</v>
      </c>
      <c r="H1536" s="27" t="str">
        <f>IFERROR(__xludf.DUMMYFUNCTION("""COMPUTED_VALUE"""),"")</f>
        <v/>
      </c>
    </row>
    <row r="1537">
      <c r="A1537" s="17"/>
      <c r="B1537" s="23"/>
      <c r="C1537" s="17">
        <f>IFERROR(__xludf.DUMMYFUNCTION("""COMPUTED_VALUE"""),43538.5482106134)</f>
        <v>43538.54821</v>
      </c>
      <c r="D1537" s="23">
        <f>IFERROR(__xludf.DUMMYFUNCTION("""COMPUTED_VALUE"""),1.039)</f>
        <v>1.039</v>
      </c>
      <c r="E1537" s="24">
        <f>IFERROR(__xludf.DUMMYFUNCTION("""COMPUTED_VALUE"""),68.0)</f>
        <v>68</v>
      </c>
      <c r="F1537" s="27" t="str">
        <f>IFERROR(__xludf.DUMMYFUNCTION("""COMPUTED_VALUE"""),"BLACK")</f>
        <v>BLACK</v>
      </c>
      <c r="G1537" s="28" t="str">
        <f>IFERROR(__xludf.DUMMYFUNCTION("""COMPUTED_VALUE"""),"First Times a Charm Cider")</f>
        <v>First Times a Charm Cider</v>
      </c>
      <c r="H1537" s="27" t="str">
        <f>IFERROR(__xludf.DUMMYFUNCTION("""COMPUTED_VALUE"""),"")</f>
        <v/>
      </c>
    </row>
    <row r="1538">
      <c r="A1538" s="17"/>
      <c r="B1538" s="23"/>
      <c r="C1538" s="17">
        <f>IFERROR(__xludf.DUMMYFUNCTION("""COMPUTED_VALUE"""),43538.5377887963)</f>
        <v>43538.53779</v>
      </c>
      <c r="D1538" s="23">
        <f>IFERROR(__xludf.DUMMYFUNCTION("""COMPUTED_VALUE"""),1.04)</f>
        <v>1.04</v>
      </c>
      <c r="E1538" s="24">
        <f>IFERROR(__xludf.DUMMYFUNCTION("""COMPUTED_VALUE"""),68.0)</f>
        <v>68</v>
      </c>
      <c r="F1538" s="27" t="str">
        <f>IFERROR(__xludf.DUMMYFUNCTION("""COMPUTED_VALUE"""),"BLACK")</f>
        <v>BLACK</v>
      </c>
      <c r="G1538" s="28" t="str">
        <f>IFERROR(__xludf.DUMMYFUNCTION("""COMPUTED_VALUE"""),"First Times a Charm Cider")</f>
        <v>First Times a Charm Cider</v>
      </c>
      <c r="H1538" s="27" t="str">
        <f>IFERROR(__xludf.DUMMYFUNCTION("""COMPUTED_VALUE"""),"")</f>
        <v/>
      </c>
    </row>
    <row r="1539">
      <c r="A1539" s="17"/>
      <c r="B1539" s="23"/>
      <c r="C1539" s="17">
        <f>IFERROR(__xludf.DUMMYFUNCTION("""COMPUTED_VALUE"""),43538.5273683449)</f>
        <v>43538.52737</v>
      </c>
      <c r="D1539" s="23">
        <f>IFERROR(__xludf.DUMMYFUNCTION("""COMPUTED_VALUE"""),1.039)</f>
        <v>1.039</v>
      </c>
      <c r="E1539" s="24">
        <f>IFERROR(__xludf.DUMMYFUNCTION("""COMPUTED_VALUE"""),68.0)</f>
        <v>68</v>
      </c>
      <c r="F1539" s="27" t="str">
        <f>IFERROR(__xludf.DUMMYFUNCTION("""COMPUTED_VALUE"""),"BLACK")</f>
        <v>BLACK</v>
      </c>
      <c r="G1539" s="28" t="str">
        <f>IFERROR(__xludf.DUMMYFUNCTION("""COMPUTED_VALUE"""),"First Times a Charm Cider")</f>
        <v>First Times a Charm Cider</v>
      </c>
      <c r="H1539" s="27" t="str">
        <f>IFERROR(__xludf.DUMMYFUNCTION("""COMPUTED_VALUE"""),"")</f>
        <v/>
      </c>
    </row>
    <row r="1540">
      <c r="A1540" s="17"/>
      <c r="B1540" s="23"/>
      <c r="C1540" s="17">
        <f>IFERROR(__xludf.DUMMYFUNCTION("""COMPUTED_VALUE"""),43538.5169470023)</f>
        <v>43538.51695</v>
      </c>
      <c r="D1540" s="23">
        <f>IFERROR(__xludf.DUMMYFUNCTION("""COMPUTED_VALUE"""),1.04)</f>
        <v>1.04</v>
      </c>
      <c r="E1540" s="24">
        <f>IFERROR(__xludf.DUMMYFUNCTION("""COMPUTED_VALUE"""),68.0)</f>
        <v>68</v>
      </c>
      <c r="F1540" s="27" t="str">
        <f>IFERROR(__xludf.DUMMYFUNCTION("""COMPUTED_VALUE"""),"BLACK")</f>
        <v>BLACK</v>
      </c>
      <c r="G1540" s="28" t="str">
        <f>IFERROR(__xludf.DUMMYFUNCTION("""COMPUTED_VALUE"""),"First Times a Charm Cider")</f>
        <v>First Times a Charm Cider</v>
      </c>
      <c r="H1540" s="27" t="str">
        <f>IFERROR(__xludf.DUMMYFUNCTION("""COMPUTED_VALUE"""),"")</f>
        <v/>
      </c>
    </row>
    <row r="1541">
      <c r="A1541" s="17"/>
      <c r="B1541" s="23"/>
      <c r="C1541" s="17">
        <f>IFERROR(__xludf.DUMMYFUNCTION("""COMPUTED_VALUE"""),43538.5065263888)</f>
        <v>43538.50653</v>
      </c>
      <c r="D1541" s="23">
        <f>IFERROR(__xludf.DUMMYFUNCTION("""COMPUTED_VALUE"""),1.039)</f>
        <v>1.039</v>
      </c>
      <c r="E1541" s="24">
        <f>IFERROR(__xludf.DUMMYFUNCTION("""COMPUTED_VALUE"""),68.0)</f>
        <v>68</v>
      </c>
      <c r="F1541" s="27" t="str">
        <f>IFERROR(__xludf.DUMMYFUNCTION("""COMPUTED_VALUE"""),"BLACK")</f>
        <v>BLACK</v>
      </c>
      <c r="G1541" s="28" t="str">
        <f>IFERROR(__xludf.DUMMYFUNCTION("""COMPUTED_VALUE"""),"First Times a Charm Cider")</f>
        <v>First Times a Charm Cider</v>
      </c>
      <c r="H1541" s="27" t="str">
        <f>IFERROR(__xludf.DUMMYFUNCTION("""COMPUTED_VALUE"""),"")</f>
        <v/>
      </c>
    </row>
    <row r="1542">
      <c r="A1542" s="17"/>
      <c r="B1542" s="23"/>
      <c r="C1542" s="17">
        <f>IFERROR(__xludf.DUMMYFUNCTION("""COMPUTED_VALUE"""),43538.4961053935)</f>
        <v>43538.49611</v>
      </c>
      <c r="D1542" s="23">
        <f>IFERROR(__xludf.DUMMYFUNCTION("""COMPUTED_VALUE"""),1.04)</f>
        <v>1.04</v>
      </c>
      <c r="E1542" s="24">
        <f>IFERROR(__xludf.DUMMYFUNCTION("""COMPUTED_VALUE"""),68.0)</f>
        <v>68</v>
      </c>
      <c r="F1542" s="27" t="str">
        <f>IFERROR(__xludf.DUMMYFUNCTION("""COMPUTED_VALUE"""),"BLACK")</f>
        <v>BLACK</v>
      </c>
      <c r="G1542" s="28" t="str">
        <f>IFERROR(__xludf.DUMMYFUNCTION("""COMPUTED_VALUE"""),"First Times a Charm Cider")</f>
        <v>First Times a Charm Cider</v>
      </c>
      <c r="H1542" s="27" t="str">
        <f>IFERROR(__xludf.DUMMYFUNCTION("""COMPUTED_VALUE"""),"")</f>
        <v/>
      </c>
    </row>
    <row r="1543">
      <c r="A1543" s="17"/>
      <c r="B1543" s="23"/>
      <c r="C1543" s="17">
        <f>IFERROR(__xludf.DUMMYFUNCTION("""COMPUTED_VALUE"""),43538.4856624768)</f>
        <v>43538.48566</v>
      </c>
      <c r="D1543" s="23">
        <f>IFERROR(__xludf.DUMMYFUNCTION("""COMPUTED_VALUE"""),1.04)</f>
        <v>1.04</v>
      </c>
      <c r="E1543" s="24">
        <f>IFERROR(__xludf.DUMMYFUNCTION("""COMPUTED_VALUE"""),68.0)</f>
        <v>68</v>
      </c>
      <c r="F1543" s="27" t="str">
        <f>IFERROR(__xludf.DUMMYFUNCTION("""COMPUTED_VALUE"""),"BLACK")</f>
        <v>BLACK</v>
      </c>
      <c r="G1543" s="28" t="str">
        <f>IFERROR(__xludf.DUMMYFUNCTION("""COMPUTED_VALUE"""),"First Times a Charm Cider")</f>
        <v>First Times a Charm Cider</v>
      </c>
      <c r="H1543" s="27" t="str">
        <f>IFERROR(__xludf.DUMMYFUNCTION("""COMPUTED_VALUE"""),"")</f>
        <v/>
      </c>
    </row>
    <row r="1544">
      <c r="A1544" s="17"/>
      <c r="B1544" s="23"/>
      <c r="C1544" s="17">
        <f>IFERROR(__xludf.DUMMYFUNCTION("""COMPUTED_VALUE"""),43538.4751842476)</f>
        <v>43538.47518</v>
      </c>
      <c r="D1544" s="23">
        <f>IFERROR(__xludf.DUMMYFUNCTION("""COMPUTED_VALUE"""),1.04)</f>
        <v>1.04</v>
      </c>
      <c r="E1544" s="24">
        <f>IFERROR(__xludf.DUMMYFUNCTION("""COMPUTED_VALUE"""),68.0)</f>
        <v>68</v>
      </c>
      <c r="F1544" s="27" t="str">
        <f>IFERROR(__xludf.DUMMYFUNCTION("""COMPUTED_VALUE"""),"BLACK")</f>
        <v>BLACK</v>
      </c>
      <c r="G1544" s="28" t="str">
        <f>IFERROR(__xludf.DUMMYFUNCTION("""COMPUTED_VALUE"""),"First Times a Charm Cider")</f>
        <v>First Times a Charm Cider</v>
      </c>
      <c r="H1544" s="27" t="str">
        <f>IFERROR(__xludf.DUMMYFUNCTION("""COMPUTED_VALUE"""),"")</f>
        <v/>
      </c>
    </row>
    <row r="1545">
      <c r="A1545" s="17"/>
      <c r="B1545" s="23"/>
      <c r="C1545" s="17">
        <f>IFERROR(__xludf.DUMMYFUNCTION("""COMPUTED_VALUE"""),43538.4647516666)</f>
        <v>43538.46475</v>
      </c>
      <c r="D1545" s="23">
        <f>IFERROR(__xludf.DUMMYFUNCTION("""COMPUTED_VALUE"""),1.04)</f>
        <v>1.04</v>
      </c>
      <c r="E1545" s="24">
        <f>IFERROR(__xludf.DUMMYFUNCTION("""COMPUTED_VALUE"""),68.0)</f>
        <v>68</v>
      </c>
      <c r="F1545" s="27" t="str">
        <f>IFERROR(__xludf.DUMMYFUNCTION("""COMPUTED_VALUE"""),"BLACK")</f>
        <v>BLACK</v>
      </c>
      <c r="G1545" s="28" t="str">
        <f>IFERROR(__xludf.DUMMYFUNCTION("""COMPUTED_VALUE"""),"First Times a Charm Cider")</f>
        <v>First Times a Charm Cider</v>
      </c>
      <c r="H1545" s="27" t="str">
        <f>IFERROR(__xludf.DUMMYFUNCTION("""COMPUTED_VALUE"""),"")</f>
        <v/>
      </c>
    </row>
    <row r="1546">
      <c r="A1546" s="17"/>
      <c r="B1546" s="23"/>
      <c r="C1546" s="17">
        <f>IFERROR(__xludf.DUMMYFUNCTION("""COMPUTED_VALUE"""),43538.4543312847)</f>
        <v>43538.45433</v>
      </c>
      <c r="D1546" s="23">
        <f>IFERROR(__xludf.DUMMYFUNCTION("""COMPUTED_VALUE"""),1.04)</f>
        <v>1.04</v>
      </c>
      <c r="E1546" s="24">
        <f>IFERROR(__xludf.DUMMYFUNCTION("""COMPUTED_VALUE"""),68.0)</f>
        <v>68</v>
      </c>
      <c r="F1546" s="27" t="str">
        <f>IFERROR(__xludf.DUMMYFUNCTION("""COMPUTED_VALUE"""),"BLACK")</f>
        <v>BLACK</v>
      </c>
      <c r="G1546" s="28" t="str">
        <f>IFERROR(__xludf.DUMMYFUNCTION("""COMPUTED_VALUE"""),"First Times a Charm Cider")</f>
        <v>First Times a Charm Cider</v>
      </c>
      <c r="H1546" s="27" t="str">
        <f>IFERROR(__xludf.DUMMYFUNCTION("""COMPUTED_VALUE"""),"")</f>
        <v/>
      </c>
    </row>
    <row r="1547">
      <c r="A1547" s="17"/>
      <c r="B1547" s="23"/>
      <c r="C1547" s="17">
        <f>IFERROR(__xludf.DUMMYFUNCTION("""COMPUTED_VALUE"""),43538.4438869675)</f>
        <v>43538.44389</v>
      </c>
      <c r="D1547" s="23">
        <f>IFERROR(__xludf.DUMMYFUNCTION("""COMPUTED_VALUE"""),1.04)</f>
        <v>1.04</v>
      </c>
      <c r="E1547" s="24">
        <f>IFERROR(__xludf.DUMMYFUNCTION("""COMPUTED_VALUE"""),68.0)</f>
        <v>68</v>
      </c>
      <c r="F1547" s="27" t="str">
        <f>IFERROR(__xludf.DUMMYFUNCTION("""COMPUTED_VALUE"""),"BLACK")</f>
        <v>BLACK</v>
      </c>
      <c r="G1547" s="28" t="str">
        <f>IFERROR(__xludf.DUMMYFUNCTION("""COMPUTED_VALUE"""),"First Times a Charm Cider")</f>
        <v>First Times a Charm Cider</v>
      </c>
      <c r="H1547" s="27" t="str">
        <f>IFERROR(__xludf.DUMMYFUNCTION("""COMPUTED_VALUE"""),"")</f>
        <v/>
      </c>
    </row>
    <row r="1548">
      <c r="A1548" s="17"/>
      <c r="B1548" s="23"/>
      <c r="C1548" s="17">
        <f>IFERROR(__xludf.DUMMYFUNCTION("""COMPUTED_VALUE"""),43538.4334531481)</f>
        <v>43538.43345</v>
      </c>
      <c r="D1548" s="23">
        <f>IFERROR(__xludf.DUMMYFUNCTION("""COMPUTED_VALUE"""),1.04)</f>
        <v>1.04</v>
      </c>
      <c r="E1548" s="24">
        <f>IFERROR(__xludf.DUMMYFUNCTION("""COMPUTED_VALUE"""),68.0)</f>
        <v>68</v>
      </c>
      <c r="F1548" s="27" t="str">
        <f>IFERROR(__xludf.DUMMYFUNCTION("""COMPUTED_VALUE"""),"BLACK")</f>
        <v>BLACK</v>
      </c>
      <c r="G1548" s="28" t="str">
        <f>IFERROR(__xludf.DUMMYFUNCTION("""COMPUTED_VALUE"""),"First Times a Charm Cider")</f>
        <v>First Times a Charm Cider</v>
      </c>
      <c r="H1548" s="27" t="str">
        <f>IFERROR(__xludf.DUMMYFUNCTION("""COMPUTED_VALUE"""),"")</f>
        <v/>
      </c>
    </row>
    <row r="1549">
      <c r="A1549" s="17"/>
      <c r="B1549" s="23"/>
      <c r="C1549" s="17">
        <f>IFERROR(__xludf.DUMMYFUNCTION("""COMPUTED_VALUE"""),43538.4230203356)</f>
        <v>43538.42302</v>
      </c>
      <c r="D1549" s="23">
        <f>IFERROR(__xludf.DUMMYFUNCTION("""COMPUTED_VALUE"""),1.04)</f>
        <v>1.04</v>
      </c>
      <c r="E1549" s="24">
        <f>IFERROR(__xludf.DUMMYFUNCTION("""COMPUTED_VALUE"""),68.0)</f>
        <v>68</v>
      </c>
      <c r="F1549" s="27" t="str">
        <f>IFERROR(__xludf.DUMMYFUNCTION("""COMPUTED_VALUE"""),"BLACK")</f>
        <v>BLACK</v>
      </c>
      <c r="G1549" s="28" t="str">
        <f>IFERROR(__xludf.DUMMYFUNCTION("""COMPUTED_VALUE"""),"First Times a Charm Cider")</f>
        <v>First Times a Charm Cider</v>
      </c>
      <c r="H1549" s="27" t="str">
        <f>IFERROR(__xludf.DUMMYFUNCTION("""COMPUTED_VALUE"""),"")</f>
        <v/>
      </c>
    </row>
    <row r="1550">
      <c r="A1550" s="17"/>
      <c r="B1550" s="23"/>
      <c r="C1550" s="17">
        <f>IFERROR(__xludf.DUMMYFUNCTION("""COMPUTED_VALUE"""),43538.412600949)</f>
        <v>43538.4126</v>
      </c>
      <c r="D1550" s="23">
        <f>IFERROR(__xludf.DUMMYFUNCTION("""COMPUTED_VALUE"""),1.04)</f>
        <v>1.04</v>
      </c>
      <c r="E1550" s="24">
        <f>IFERROR(__xludf.DUMMYFUNCTION("""COMPUTED_VALUE"""),68.0)</f>
        <v>68</v>
      </c>
      <c r="F1550" s="27" t="str">
        <f>IFERROR(__xludf.DUMMYFUNCTION("""COMPUTED_VALUE"""),"BLACK")</f>
        <v>BLACK</v>
      </c>
      <c r="G1550" s="28" t="str">
        <f>IFERROR(__xludf.DUMMYFUNCTION("""COMPUTED_VALUE"""),"First Times a Charm Cider")</f>
        <v>First Times a Charm Cider</v>
      </c>
      <c r="H1550" s="27" t="str">
        <f>IFERROR(__xludf.DUMMYFUNCTION("""COMPUTED_VALUE"""),"")</f>
        <v/>
      </c>
    </row>
    <row r="1551">
      <c r="A1551" s="17"/>
      <c r="B1551" s="23"/>
      <c r="C1551" s="17">
        <f>IFERROR(__xludf.DUMMYFUNCTION("""COMPUTED_VALUE"""),43538.40218103)</f>
        <v>43538.40218</v>
      </c>
      <c r="D1551" s="23">
        <f>IFERROR(__xludf.DUMMYFUNCTION("""COMPUTED_VALUE"""),1.04)</f>
        <v>1.04</v>
      </c>
      <c r="E1551" s="24">
        <f>IFERROR(__xludf.DUMMYFUNCTION("""COMPUTED_VALUE"""),68.0)</f>
        <v>68</v>
      </c>
      <c r="F1551" s="27" t="str">
        <f>IFERROR(__xludf.DUMMYFUNCTION("""COMPUTED_VALUE"""),"BLACK")</f>
        <v>BLACK</v>
      </c>
      <c r="G1551" s="28" t="str">
        <f>IFERROR(__xludf.DUMMYFUNCTION("""COMPUTED_VALUE"""),"First Times a Charm Cider")</f>
        <v>First Times a Charm Cider</v>
      </c>
      <c r="H1551" s="27" t="str">
        <f>IFERROR(__xludf.DUMMYFUNCTION("""COMPUTED_VALUE"""),"")</f>
        <v/>
      </c>
    </row>
    <row r="1552">
      <c r="A1552" s="17"/>
      <c r="B1552" s="23"/>
      <c r="C1552" s="17">
        <f>IFERROR(__xludf.DUMMYFUNCTION("""COMPUTED_VALUE"""),43538.3917594791)</f>
        <v>43538.39176</v>
      </c>
      <c r="D1552" s="23">
        <f>IFERROR(__xludf.DUMMYFUNCTION("""COMPUTED_VALUE"""),1.04)</f>
        <v>1.04</v>
      </c>
      <c r="E1552" s="24">
        <f>IFERROR(__xludf.DUMMYFUNCTION("""COMPUTED_VALUE"""),68.0)</f>
        <v>68</v>
      </c>
      <c r="F1552" s="27" t="str">
        <f>IFERROR(__xludf.DUMMYFUNCTION("""COMPUTED_VALUE"""),"BLACK")</f>
        <v>BLACK</v>
      </c>
      <c r="G1552" s="28" t="str">
        <f>IFERROR(__xludf.DUMMYFUNCTION("""COMPUTED_VALUE"""),"First Times a Charm Cider")</f>
        <v>First Times a Charm Cider</v>
      </c>
      <c r="H1552" s="27" t="str">
        <f>IFERROR(__xludf.DUMMYFUNCTION("""COMPUTED_VALUE"""),"")</f>
        <v/>
      </c>
    </row>
    <row r="1553">
      <c r="A1553" s="17"/>
      <c r="B1553" s="23"/>
      <c r="C1553" s="17">
        <f>IFERROR(__xludf.DUMMYFUNCTION("""COMPUTED_VALUE"""),43538.3813363194)</f>
        <v>43538.38134</v>
      </c>
      <c r="D1553" s="23">
        <f>IFERROR(__xludf.DUMMYFUNCTION("""COMPUTED_VALUE"""),1.04)</f>
        <v>1.04</v>
      </c>
      <c r="E1553" s="24">
        <f>IFERROR(__xludf.DUMMYFUNCTION("""COMPUTED_VALUE"""),68.0)</f>
        <v>68</v>
      </c>
      <c r="F1553" s="27" t="str">
        <f>IFERROR(__xludf.DUMMYFUNCTION("""COMPUTED_VALUE"""),"BLACK")</f>
        <v>BLACK</v>
      </c>
      <c r="G1553" s="28" t="str">
        <f>IFERROR(__xludf.DUMMYFUNCTION("""COMPUTED_VALUE"""),"First Times a Charm Cider")</f>
        <v>First Times a Charm Cider</v>
      </c>
      <c r="H1553" s="27" t="str">
        <f>IFERROR(__xludf.DUMMYFUNCTION("""COMPUTED_VALUE"""),"")</f>
        <v/>
      </c>
    </row>
    <row r="1554">
      <c r="A1554" s="17"/>
      <c r="B1554" s="23"/>
      <c r="C1554" s="17">
        <f>IFERROR(__xludf.DUMMYFUNCTION("""COMPUTED_VALUE"""),43538.3709162847)</f>
        <v>43538.37092</v>
      </c>
      <c r="D1554" s="23">
        <f>IFERROR(__xludf.DUMMYFUNCTION("""COMPUTED_VALUE"""),1.04)</f>
        <v>1.04</v>
      </c>
      <c r="E1554" s="24">
        <f>IFERROR(__xludf.DUMMYFUNCTION("""COMPUTED_VALUE"""),68.0)</f>
        <v>68</v>
      </c>
      <c r="F1554" s="27" t="str">
        <f>IFERROR(__xludf.DUMMYFUNCTION("""COMPUTED_VALUE"""),"BLACK")</f>
        <v>BLACK</v>
      </c>
      <c r="G1554" s="28" t="str">
        <f>IFERROR(__xludf.DUMMYFUNCTION("""COMPUTED_VALUE"""),"First Times a Charm Cider")</f>
        <v>First Times a Charm Cider</v>
      </c>
      <c r="H1554" s="27" t="str">
        <f>IFERROR(__xludf.DUMMYFUNCTION("""COMPUTED_VALUE"""),"")</f>
        <v/>
      </c>
    </row>
    <row r="1555">
      <c r="A1555" s="17"/>
      <c r="B1555" s="23"/>
      <c r="C1555" s="17">
        <f>IFERROR(__xludf.DUMMYFUNCTION("""COMPUTED_VALUE"""),43538.3604952314)</f>
        <v>43538.3605</v>
      </c>
      <c r="D1555" s="23">
        <f>IFERROR(__xludf.DUMMYFUNCTION("""COMPUTED_VALUE"""),1.04)</f>
        <v>1.04</v>
      </c>
      <c r="E1555" s="24">
        <f>IFERROR(__xludf.DUMMYFUNCTION("""COMPUTED_VALUE"""),68.0)</f>
        <v>68</v>
      </c>
      <c r="F1555" s="27" t="str">
        <f>IFERROR(__xludf.DUMMYFUNCTION("""COMPUTED_VALUE"""),"BLACK")</f>
        <v>BLACK</v>
      </c>
      <c r="G1555" s="28" t="str">
        <f>IFERROR(__xludf.DUMMYFUNCTION("""COMPUTED_VALUE"""),"First Times a Charm Cider")</f>
        <v>First Times a Charm Cider</v>
      </c>
      <c r="H1555" s="27" t="str">
        <f>IFERROR(__xludf.DUMMYFUNCTION("""COMPUTED_VALUE"""),"")</f>
        <v/>
      </c>
    </row>
    <row r="1556">
      <c r="A1556" s="17"/>
      <c r="B1556" s="23"/>
      <c r="C1556" s="17">
        <f>IFERROR(__xludf.DUMMYFUNCTION("""COMPUTED_VALUE"""),43538.3500740625)</f>
        <v>43538.35007</v>
      </c>
      <c r="D1556" s="23">
        <f>IFERROR(__xludf.DUMMYFUNCTION("""COMPUTED_VALUE"""),1.04)</f>
        <v>1.04</v>
      </c>
      <c r="E1556" s="24">
        <f>IFERROR(__xludf.DUMMYFUNCTION("""COMPUTED_VALUE"""),68.0)</f>
        <v>68</v>
      </c>
      <c r="F1556" s="27" t="str">
        <f>IFERROR(__xludf.DUMMYFUNCTION("""COMPUTED_VALUE"""),"BLACK")</f>
        <v>BLACK</v>
      </c>
      <c r="G1556" s="28" t="str">
        <f>IFERROR(__xludf.DUMMYFUNCTION("""COMPUTED_VALUE"""),"First Times a Charm Cider")</f>
        <v>First Times a Charm Cider</v>
      </c>
      <c r="H1556" s="27" t="str">
        <f>IFERROR(__xludf.DUMMYFUNCTION("""COMPUTED_VALUE"""),"")</f>
        <v/>
      </c>
    </row>
    <row r="1557">
      <c r="A1557" s="17"/>
      <c r="B1557" s="23"/>
      <c r="C1557" s="17">
        <f>IFERROR(__xludf.DUMMYFUNCTION("""COMPUTED_VALUE"""),43538.3396283796)</f>
        <v>43538.33963</v>
      </c>
      <c r="D1557" s="23">
        <f>IFERROR(__xludf.DUMMYFUNCTION("""COMPUTED_VALUE"""),1.04)</f>
        <v>1.04</v>
      </c>
      <c r="E1557" s="24">
        <f>IFERROR(__xludf.DUMMYFUNCTION("""COMPUTED_VALUE"""),68.0)</f>
        <v>68</v>
      </c>
      <c r="F1557" s="27" t="str">
        <f>IFERROR(__xludf.DUMMYFUNCTION("""COMPUTED_VALUE"""),"BLACK")</f>
        <v>BLACK</v>
      </c>
      <c r="G1557" s="28" t="str">
        <f>IFERROR(__xludf.DUMMYFUNCTION("""COMPUTED_VALUE"""),"First Times a Charm Cider")</f>
        <v>First Times a Charm Cider</v>
      </c>
      <c r="H1557" s="27" t="str">
        <f>IFERROR(__xludf.DUMMYFUNCTION("""COMPUTED_VALUE"""),"")</f>
        <v/>
      </c>
    </row>
    <row r="1558">
      <c r="A1558" s="17"/>
      <c r="B1558" s="23"/>
      <c r="C1558" s="17">
        <f>IFERROR(__xludf.DUMMYFUNCTION("""COMPUTED_VALUE"""),43538.329195081)</f>
        <v>43538.3292</v>
      </c>
      <c r="D1558" s="23">
        <f>IFERROR(__xludf.DUMMYFUNCTION("""COMPUTED_VALUE"""),1.04)</f>
        <v>1.04</v>
      </c>
      <c r="E1558" s="24">
        <f>IFERROR(__xludf.DUMMYFUNCTION("""COMPUTED_VALUE"""),68.0)</f>
        <v>68</v>
      </c>
      <c r="F1558" s="27" t="str">
        <f>IFERROR(__xludf.DUMMYFUNCTION("""COMPUTED_VALUE"""),"BLACK")</f>
        <v>BLACK</v>
      </c>
      <c r="G1558" s="28" t="str">
        <f>IFERROR(__xludf.DUMMYFUNCTION("""COMPUTED_VALUE"""),"First Times a Charm Cider")</f>
        <v>First Times a Charm Cider</v>
      </c>
      <c r="H1558" s="27" t="str">
        <f>IFERROR(__xludf.DUMMYFUNCTION("""COMPUTED_VALUE"""),"")</f>
        <v/>
      </c>
    </row>
    <row r="1559">
      <c r="A1559" s="17"/>
      <c r="B1559" s="23"/>
      <c r="C1559" s="17">
        <f>IFERROR(__xludf.DUMMYFUNCTION("""COMPUTED_VALUE"""),43538.3187750231)</f>
        <v>43538.31878</v>
      </c>
      <c r="D1559" s="23">
        <f>IFERROR(__xludf.DUMMYFUNCTION("""COMPUTED_VALUE"""),1.04)</f>
        <v>1.04</v>
      </c>
      <c r="E1559" s="24">
        <f>IFERROR(__xludf.DUMMYFUNCTION("""COMPUTED_VALUE"""),68.0)</f>
        <v>68</v>
      </c>
      <c r="F1559" s="27" t="str">
        <f>IFERROR(__xludf.DUMMYFUNCTION("""COMPUTED_VALUE"""),"BLACK")</f>
        <v>BLACK</v>
      </c>
      <c r="G1559" s="28" t="str">
        <f>IFERROR(__xludf.DUMMYFUNCTION("""COMPUTED_VALUE"""),"First Times a Charm Cider")</f>
        <v>First Times a Charm Cider</v>
      </c>
      <c r="H1559" s="27" t="str">
        <f>IFERROR(__xludf.DUMMYFUNCTION("""COMPUTED_VALUE"""),"")</f>
        <v/>
      </c>
    </row>
    <row r="1560">
      <c r="A1560" s="17"/>
      <c r="B1560" s="23"/>
      <c r="C1560" s="17">
        <f>IFERROR(__xludf.DUMMYFUNCTION("""COMPUTED_VALUE"""),43538.3083534606)</f>
        <v>43538.30835</v>
      </c>
      <c r="D1560" s="23">
        <f>IFERROR(__xludf.DUMMYFUNCTION("""COMPUTED_VALUE"""),1.04)</f>
        <v>1.04</v>
      </c>
      <c r="E1560" s="24">
        <f>IFERROR(__xludf.DUMMYFUNCTION("""COMPUTED_VALUE"""),68.0)</f>
        <v>68</v>
      </c>
      <c r="F1560" s="27" t="str">
        <f>IFERROR(__xludf.DUMMYFUNCTION("""COMPUTED_VALUE"""),"BLACK")</f>
        <v>BLACK</v>
      </c>
      <c r="G1560" s="28" t="str">
        <f>IFERROR(__xludf.DUMMYFUNCTION("""COMPUTED_VALUE"""),"First Times a Charm Cider")</f>
        <v>First Times a Charm Cider</v>
      </c>
      <c r="H1560" s="27" t="str">
        <f>IFERROR(__xludf.DUMMYFUNCTION("""COMPUTED_VALUE"""),"")</f>
        <v/>
      </c>
    </row>
    <row r="1561">
      <c r="A1561" s="17"/>
      <c r="B1561" s="23"/>
      <c r="C1561" s="17">
        <f>IFERROR(__xludf.DUMMYFUNCTION("""COMPUTED_VALUE"""),43538.2979311689)</f>
        <v>43538.29793</v>
      </c>
      <c r="D1561" s="23">
        <f>IFERROR(__xludf.DUMMYFUNCTION("""COMPUTED_VALUE"""),1.04)</f>
        <v>1.04</v>
      </c>
      <c r="E1561" s="24">
        <f>IFERROR(__xludf.DUMMYFUNCTION("""COMPUTED_VALUE"""),68.0)</f>
        <v>68</v>
      </c>
      <c r="F1561" s="27" t="str">
        <f>IFERROR(__xludf.DUMMYFUNCTION("""COMPUTED_VALUE"""),"BLACK")</f>
        <v>BLACK</v>
      </c>
      <c r="G1561" s="28" t="str">
        <f>IFERROR(__xludf.DUMMYFUNCTION("""COMPUTED_VALUE"""),"First Times a Charm Cider")</f>
        <v>First Times a Charm Cider</v>
      </c>
      <c r="H1561" s="27" t="str">
        <f>IFERROR(__xludf.DUMMYFUNCTION("""COMPUTED_VALUE"""),"")</f>
        <v/>
      </c>
    </row>
    <row r="1562">
      <c r="A1562" s="17"/>
      <c r="B1562" s="23"/>
      <c r="C1562" s="17">
        <f>IFERROR(__xludf.DUMMYFUNCTION("""COMPUTED_VALUE"""),43538.2875105324)</f>
        <v>43538.28751</v>
      </c>
      <c r="D1562" s="23">
        <f>IFERROR(__xludf.DUMMYFUNCTION("""COMPUTED_VALUE"""),1.04)</f>
        <v>1.04</v>
      </c>
      <c r="E1562" s="24">
        <f>IFERROR(__xludf.DUMMYFUNCTION("""COMPUTED_VALUE"""),68.0)</f>
        <v>68</v>
      </c>
      <c r="F1562" s="27" t="str">
        <f>IFERROR(__xludf.DUMMYFUNCTION("""COMPUTED_VALUE"""),"BLACK")</f>
        <v>BLACK</v>
      </c>
      <c r="G1562" s="28" t="str">
        <f>IFERROR(__xludf.DUMMYFUNCTION("""COMPUTED_VALUE"""),"First Times a Charm Cider")</f>
        <v>First Times a Charm Cider</v>
      </c>
      <c r="H1562" s="27" t="str">
        <f>IFERROR(__xludf.DUMMYFUNCTION("""COMPUTED_VALUE"""),"")</f>
        <v/>
      </c>
    </row>
    <row r="1563">
      <c r="A1563" s="17"/>
      <c r="B1563" s="23"/>
      <c r="C1563" s="17">
        <f>IFERROR(__xludf.DUMMYFUNCTION("""COMPUTED_VALUE"""),43538.2770667013)</f>
        <v>43538.27707</v>
      </c>
      <c r="D1563" s="23">
        <f>IFERROR(__xludf.DUMMYFUNCTION("""COMPUTED_VALUE"""),1.04)</f>
        <v>1.04</v>
      </c>
      <c r="E1563" s="24">
        <f>IFERROR(__xludf.DUMMYFUNCTION("""COMPUTED_VALUE"""),68.0)</f>
        <v>68</v>
      </c>
      <c r="F1563" s="27" t="str">
        <f>IFERROR(__xludf.DUMMYFUNCTION("""COMPUTED_VALUE"""),"BLACK")</f>
        <v>BLACK</v>
      </c>
      <c r="G1563" s="28" t="str">
        <f>IFERROR(__xludf.DUMMYFUNCTION("""COMPUTED_VALUE"""),"First Times a Charm Cider")</f>
        <v>First Times a Charm Cider</v>
      </c>
      <c r="H1563" s="27" t="str">
        <f>IFERROR(__xludf.DUMMYFUNCTION("""COMPUTED_VALUE"""),"")</f>
        <v/>
      </c>
    </row>
    <row r="1564">
      <c r="A1564" s="17"/>
      <c r="B1564" s="23"/>
      <c r="C1564" s="17">
        <f>IFERROR(__xludf.DUMMYFUNCTION("""COMPUTED_VALUE"""),43538.2666348495)</f>
        <v>43538.26663</v>
      </c>
      <c r="D1564" s="23">
        <f>IFERROR(__xludf.DUMMYFUNCTION("""COMPUTED_VALUE"""),1.04)</f>
        <v>1.04</v>
      </c>
      <c r="E1564" s="24">
        <f>IFERROR(__xludf.DUMMYFUNCTION("""COMPUTED_VALUE"""),68.0)</f>
        <v>68</v>
      </c>
      <c r="F1564" s="27" t="str">
        <f>IFERROR(__xludf.DUMMYFUNCTION("""COMPUTED_VALUE"""),"BLACK")</f>
        <v>BLACK</v>
      </c>
      <c r="G1564" s="28" t="str">
        <f>IFERROR(__xludf.DUMMYFUNCTION("""COMPUTED_VALUE"""),"First Times a Charm Cider")</f>
        <v>First Times a Charm Cider</v>
      </c>
      <c r="H1564" s="27" t="str">
        <f>IFERROR(__xludf.DUMMYFUNCTION("""COMPUTED_VALUE"""),"")</f>
        <v/>
      </c>
    </row>
    <row r="1565">
      <c r="A1565" s="17"/>
      <c r="B1565" s="23"/>
      <c r="C1565" s="17">
        <f>IFERROR(__xludf.DUMMYFUNCTION("""COMPUTED_VALUE"""),43538.2562010763)</f>
        <v>43538.2562</v>
      </c>
      <c r="D1565" s="23">
        <f>IFERROR(__xludf.DUMMYFUNCTION("""COMPUTED_VALUE"""),1.04)</f>
        <v>1.04</v>
      </c>
      <c r="E1565" s="24">
        <f>IFERROR(__xludf.DUMMYFUNCTION("""COMPUTED_VALUE"""),68.0)</f>
        <v>68</v>
      </c>
      <c r="F1565" s="27" t="str">
        <f>IFERROR(__xludf.DUMMYFUNCTION("""COMPUTED_VALUE"""),"BLACK")</f>
        <v>BLACK</v>
      </c>
      <c r="G1565" s="28" t="str">
        <f>IFERROR(__xludf.DUMMYFUNCTION("""COMPUTED_VALUE"""),"First Times a Charm Cider")</f>
        <v>First Times a Charm Cider</v>
      </c>
      <c r="H1565" s="27" t="str">
        <f>IFERROR(__xludf.DUMMYFUNCTION("""COMPUTED_VALUE"""),"")</f>
        <v/>
      </c>
    </row>
    <row r="1566">
      <c r="A1566" s="17"/>
      <c r="B1566" s="23"/>
      <c r="C1566" s="17">
        <f>IFERROR(__xludf.DUMMYFUNCTION("""COMPUTED_VALUE"""),43538.2457564583)</f>
        <v>43538.24576</v>
      </c>
      <c r="D1566" s="23">
        <f>IFERROR(__xludf.DUMMYFUNCTION("""COMPUTED_VALUE"""),1.04)</f>
        <v>1.04</v>
      </c>
      <c r="E1566" s="24">
        <f>IFERROR(__xludf.DUMMYFUNCTION("""COMPUTED_VALUE"""),68.0)</f>
        <v>68</v>
      </c>
      <c r="F1566" s="27" t="str">
        <f>IFERROR(__xludf.DUMMYFUNCTION("""COMPUTED_VALUE"""),"BLACK")</f>
        <v>BLACK</v>
      </c>
      <c r="G1566" s="28" t="str">
        <f>IFERROR(__xludf.DUMMYFUNCTION("""COMPUTED_VALUE"""),"First Times a Charm Cider")</f>
        <v>First Times a Charm Cider</v>
      </c>
      <c r="H1566" s="27" t="str">
        <f>IFERROR(__xludf.DUMMYFUNCTION("""COMPUTED_VALUE"""),"")</f>
        <v/>
      </c>
    </row>
    <row r="1567">
      <c r="A1567" s="17"/>
      <c r="B1567" s="23"/>
      <c r="C1567" s="17">
        <f>IFERROR(__xludf.DUMMYFUNCTION("""COMPUTED_VALUE"""),43538.2353353472)</f>
        <v>43538.23534</v>
      </c>
      <c r="D1567" s="23">
        <f>IFERROR(__xludf.DUMMYFUNCTION("""COMPUTED_VALUE"""),1.04)</f>
        <v>1.04</v>
      </c>
      <c r="E1567" s="24">
        <f>IFERROR(__xludf.DUMMYFUNCTION("""COMPUTED_VALUE"""),68.0)</f>
        <v>68</v>
      </c>
      <c r="F1567" s="27" t="str">
        <f>IFERROR(__xludf.DUMMYFUNCTION("""COMPUTED_VALUE"""),"BLACK")</f>
        <v>BLACK</v>
      </c>
      <c r="G1567" s="28" t="str">
        <f>IFERROR(__xludf.DUMMYFUNCTION("""COMPUTED_VALUE"""),"First Times a Charm Cider")</f>
        <v>First Times a Charm Cider</v>
      </c>
      <c r="H1567" s="27" t="str">
        <f>IFERROR(__xludf.DUMMYFUNCTION("""COMPUTED_VALUE"""),"")</f>
        <v/>
      </c>
    </row>
    <row r="1568">
      <c r="A1568" s="17"/>
      <c r="B1568" s="23"/>
      <c r="C1568" s="17">
        <f>IFERROR(__xludf.DUMMYFUNCTION("""COMPUTED_VALUE"""),43538.2249163657)</f>
        <v>43538.22492</v>
      </c>
      <c r="D1568" s="23">
        <f>IFERROR(__xludf.DUMMYFUNCTION("""COMPUTED_VALUE"""),1.04)</f>
        <v>1.04</v>
      </c>
      <c r="E1568" s="24">
        <f>IFERROR(__xludf.DUMMYFUNCTION("""COMPUTED_VALUE"""),68.0)</f>
        <v>68</v>
      </c>
      <c r="F1568" s="27" t="str">
        <f>IFERROR(__xludf.DUMMYFUNCTION("""COMPUTED_VALUE"""),"BLACK")</f>
        <v>BLACK</v>
      </c>
      <c r="G1568" s="28" t="str">
        <f>IFERROR(__xludf.DUMMYFUNCTION("""COMPUTED_VALUE"""),"First Times a Charm Cider")</f>
        <v>First Times a Charm Cider</v>
      </c>
      <c r="H1568" s="27" t="str">
        <f>IFERROR(__xludf.DUMMYFUNCTION("""COMPUTED_VALUE"""),"")</f>
        <v/>
      </c>
    </row>
    <row r="1569">
      <c r="A1569" s="17"/>
      <c r="B1569" s="23"/>
      <c r="C1569" s="17">
        <f>IFERROR(__xludf.DUMMYFUNCTION("""COMPUTED_VALUE"""),43538.2144941666)</f>
        <v>43538.21449</v>
      </c>
      <c r="D1569" s="23">
        <f>IFERROR(__xludf.DUMMYFUNCTION("""COMPUTED_VALUE"""),1.04)</f>
        <v>1.04</v>
      </c>
      <c r="E1569" s="24">
        <f>IFERROR(__xludf.DUMMYFUNCTION("""COMPUTED_VALUE"""),68.0)</f>
        <v>68</v>
      </c>
      <c r="F1569" s="27" t="str">
        <f>IFERROR(__xludf.DUMMYFUNCTION("""COMPUTED_VALUE"""),"BLACK")</f>
        <v>BLACK</v>
      </c>
      <c r="G1569" s="28" t="str">
        <f>IFERROR(__xludf.DUMMYFUNCTION("""COMPUTED_VALUE"""),"First Times a Charm Cider")</f>
        <v>First Times a Charm Cider</v>
      </c>
      <c r="H1569" s="27" t="str">
        <f>IFERROR(__xludf.DUMMYFUNCTION("""COMPUTED_VALUE"""),"")</f>
        <v/>
      </c>
    </row>
    <row r="1570">
      <c r="A1570" s="17"/>
      <c r="B1570" s="23"/>
      <c r="C1570" s="17">
        <f>IFERROR(__xludf.DUMMYFUNCTION("""COMPUTED_VALUE"""),43538.2040740046)</f>
        <v>43538.20407</v>
      </c>
      <c r="D1570" s="23">
        <f>IFERROR(__xludf.DUMMYFUNCTION("""COMPUTED_VALUE"""),1.04)</f>
        <v>1.04</v>
      </c>
      <c r="E1570" s="24">
        <f>IFERROR(__xludf.DUMMYFUNCTION("""COMPUTED_VALUE"""),68.0)</f>
        <v>68</v>
      </c>
      <c r="F1570" s="27" t="str">
        <f>IFERROR(__xludf.DUMMYFUNCTION("""COMPUTED_VALUE"""),"BLACK")</f>
        <v>BLACK</v>
      </c>
      <c r="G1570" s="28" t="str">
        <f>IFERROR(__xludf.DUMMYFUNCTION("""COMPUTED_VALUE"""),"First Times a Charm Cider")</f>
        <v>First Times a Charm Cider</v>
      </c>
      <c r="H1570" s="27" t="str">
        <f>IFERROR(__xludf.DUMMYFUNCTION("""COMPUTED_VALUE"""),"")</f>
        <v/>
      </c>
    </row>
    <row r="1571">
      <c r="A1571" s="17"/>
      <c r="B1571" s="23"/>
      <c r="C1571" s="17">
        <f>IFERROR(__xludf.DUMMYFUNCTION("""COMPUTED_VALUE"""),43538.1936283101)</f>
        <v>43538.19363</v>
      </c>
      <c r="D1571" s="23">
        <f>IFERROR(__xludf.DUMMYFUNCTION("""COMPUTED_VALUE"""),1.04)</f>
        <v>1.04</v>
      </c>
      <c r="E1571" s="24">
        <f>IFERROR(__xludf.DUMMYFUNCTION("""COMPUTED_VALUE"""),68.0)</f>
        <v>68</v>
      </c>
      <c r="F1571" s="27" t="str">
        <f>IFERROR(__xludf.DUMMYFUNCTION("""COMPUTED_VALUE"""),"BLACK")</f>
        <v>BLACK</v>
      </c>
      <c r="G1571" s="28" t="str">
        <f>IFERROR(__xludf.DUMMYFUNCTION("""COMPUTED_VALUE"""),"First Times a Charm Cider")</f>
        <v>First Times a Charm Cider</v>
      </c>
      <c r="H1571" s="27" t="str">
        <f>IFERROR(__xludf.DUMMYFUNCTION("""COMPUTED_VALUE"""),"")</f>
        <v/>
      </c>
    </row>
    <row r="1572">
      <c r="A1572" s="17"/>
      <c r="B1572" s="23"/>
      <c r="C1572" s="17">
        <f>IFERROR(__xludf.DUMMYFUNCTION("""COMPUTED_VALUE"""),43538.1832052662)</f>
        <v>43538.18321</v>
      </c>
      <c r="D1572" s="23">
        <f>IFERROR(__xludf.DUMMYFUNCTION("""COMPUTED_VALUE"""),1.04)</f>
        <v>1.04</v>
      </c>
      <c r="E1572" s="24">
        <f>IFERROR(__xludf.DUMMYFUNCTION("""COMPUTED_VALUE"""),68.0)</f>
        <v>68</v>
      </c>
      <c r="F1572" s="27" t="str">
        <f>IFERROR(__xludf.DUMMYFUNCTION("""COMPUTED_VALUE"""),"BLACK")</f>
        <v>BLACK</v>
      </c>
      <c r="G1572" s="28" t="str">
        <f>IFERROR(__xludf.DUMMYFUNCTION("""COMPUTED_VALUE"""),"First Times a Charm Cider")</f>
        <v>First Times a Charm Cider</v>
      </c>
      <c r="H1572" s="27" t="str">
        <f>IFERROR(__xludf.DUMMYFUNCTION("""COMPUTED_VALUE"""),"")</f>
        <v/>
      </c>
    </row>
    <row r="1573">
      <c r="A1573" s="17"/>
      <c r="B1573" s="23"/>
      <c r="C1573" s="17">
        <f>IFERROR(__xludf.DUMMYFUNCTION("""COMPUTED_VALUE"""),43538.1727842129)</f>
        <v>43538.17278</v>
      </c>
      <c r="D1573" s="23">
        <f>IFERROR(__xludf.DUMMYFUNCTION("""COMPUTED_VALUE"""),1.04)</f>
        <v>1.04</v>
      </c>
      <c r="E1573" s="24">
        <f>IFERROR(__xludf.DUMMYFUNCTION("""COMPUTED_VALUE"""),68.0)</f>
        <v>68</v>
      </c>
      <c r="F1573" s="27" t="str">
        <f>IFERROR(__xludf.DUMMYFUNCTION("""COMPUTED_VALUE"""),"BLACK")</f>
        <v>BLACK</v>
      </c>
      <c r="G1573" s="28" t="str">
        <f>IFERROR(__xludf.DUMMYFUNCTION("""COMPUTED_VALUE"""),"First Times a Charm Cider")</f>
        <v>First Times a Charm Cider</v>
      </c>
      <c r="H1573" s="27" t="str">
        <f>IFERROR(__xludf.DUMMYFUNCTION("""COMPUTED_VALUE"""),"")</f>
        <v/>
      </c>
    </row>
    <row r="1574">
      <c r="A1574" s="17"/>
      <c r="B1574" s="23"/>
      <c r="C1574" s="17">
        <f>IFERROR(__xludf.DUMMYFUNCTION("""COMPUTED_VALUE"""),43538.1623625231)</f>
        <v>43538.16236</v>
      </c>
      <c r="D1574" s="23">
        <f>IFERROR(__xludf.DUMMYFUNCTION("""COMPUTED_VALUE"""),1.04)</f>
        <v>1.04</v>
      </c>
      <c r="E1574" s="24">
        <f>IFERROR(__xludf.DUMMYFUNCTION("""COMPUTED_VALUE"""),68.0)</f>
        <v>68</v>
      </c>
      <c r="F1574" s="27" t="str">
        <f>IFERROR(__xludf.DUMMYFUNCTION("""COMPUTED_VALUE"""),"BLACK")</f>
        <v>BLACK</v>
      </c>
      <c r="G1574" s="28" t="str">
        <f>IFERROR(__xludf.DUMMYFUNCTION("""COMPUTED_VALUE"""),"First Times a Charm Cider")</f>
        <v>First Times a Charm Cider</v>
      </c>
      <c r="H1574" s="27" t="str">
        <f>IFERROR(__xludf.DUMMYFUNCTION("""COMPUTED_VALUE"""),"")</f>
        <v/>
      </c>
    </row>
    <row r="1575">
      <c r="A1575" s="17"/>
      <c r="B1575" s="23"/>
      <c r="C1575" s="17">
        <f>IFERROR(__xludf.DUMMYFUNCTION("""COMPUTED_VALUE"""),43538.1519417939)</f>
        <v>43538.15194</v>
      </c>
      <c r="D1575" s="23">
        <f>IFERROR(__xludf.DUMMYFUNCTION("""COMPUTED_VALUE"""),1.04)</f>
        <v>1.04</v>
      </c>
      <c r="E1575" s="24">
        <f>IFERROR(__xludf.DUMMYFUNCTION("""COMPUTED_VALUE"""),68.0)</f>
        <v>68</v>
      </c>
      <c r="F1575" s="27" t="str">
        <f>IFERROR(__xludf.DUMMYFUNCTION("""COMPUTED_VALUE"""),"BLACK")</f>
        <v>BLACK</v>
      </c>
      <c r="G1575" s="28" t="str">
        <f>IFERROR(__xludf.DUMMYFUNCTION("""COMPUTED_VALUE"""),"First Times a Charm Cider")</f>
        <v>First Times a Charm Cider</v>
      </c>
      <c r="H1575" s="27" t="str">
        <f>IFERROR(__xludf.DUMMYFUNCTION("""COMPUTED_VALUE"""),"")</f>
        <v/>
      </c>
    </row>
    <row r="1576">
      <c r="A1576" s="17"/>
      <c r="B1576" s="23"/>
      <c r="C1576" s="17">
        <f>IFERROR(__xludf.DUMMYFUNCTION("""COMPUTED_VALUE"""),43538.1415206018)</f>
        <v>43538.14152</v>
      </c>
      <c r="D1576" s="23">
        <f>IFERROR(__xludf.DUMMYFUNCTION("""COMPUTED_VALUE"""),1.04)</f>
        <v>1.04</v>
      </c>
      <c r="E1576" s="24">
        <f>IFERROR(__xludf.DUMMYFUNCTION("""COMPUTED_VALUE"""),68.0)</f>
        <v>68</v>
      </c>
      <c r="F1576" s="27" t="str">
        <f>IFERROR(__xludf.DUMMYFUNCTION("""COMPUTED_VALUE"""),"BLACK")</f>
        <v>BLACK</v>
      </c>
      <c r="G1576" s="28" t="str">
        <f>IFERROR(__xludf.DUMMYFUNCTION("""COMPUTED_VALUE"""),"First Times a Charm Cider")</f>
        <v>First Times a Charm Cider</v>
      </c>
      <c r="H1576" s="27" t="str">
        <f>IFERROR(__xludf.DUMMYFUNCTION("""COMPUTED_VALUE"""),"")</f>
        <v/>
      </c>
    </row>
    <row r="1577">
      <c r="A1577" s="17"/>
      <c r="B1577" s="23"/>
      <c r="C1577" s="17">
        <f>IFERROR(__xludf.DUMMYFUNCTION("""COMPUTED_VALUE"""),43538.1310298611)</f>
        <v>43538.13103</v>
      </c>
      <c r="D1577" s="23">
        <f>IFERROR(__xludf.DUMMYFUNCTION("""COMPUTED_VALUE"""),1.04)</f>
        <v>1.04</v>
      </c>
      <c r="E1577" s="24">
        <f>IFERROR(__xludf.DUMMYFUNCTION("""COMPUTED_VALUE"""),68.0)</f>
        <v>68</v>
      </c>
      <c r="F1577" s="27" t="str">
        <f>IFERROR(__xludf.DUMMYFUNCTION("""COMPUTED_VALUE"""),"BLACK")</f>
        <v>BLACK</v>
      </c>
      <c r="G1577" s="28" t="str">
        <f>IFERROR(__xludf.DUMMYFUNCTION("""COMPUTED_VALUE"""),"First Times a Charm Cider")</f>
        <v>First Times a Charm Cider</v>
      </c>
      <c r="H1577" s="27" t="str">
        <f>IFERROR(__xludf.DUMMYFUNCTION("""COMPUTED_VALUE"""),"")</f>
        <v/>
      </c>
    </row>
    <row r="1578">
      <c r="A1578" s="17"/>
      <c r="B1578" s="23"/>
      <c r="C1578" s="17">
        <f>IFERROR(__xludf.DUMMYFUNCTION("""COMPUTED_VALUE"""),43538.1206075231)</f>
        <v>43538.12061</v>
      </c>
      <c r="D1578" s="23">
        <f>IFERROR(__xludf.DUMMYFUNCTION("""COMPUTED_VALUE"""),1.04)</f>
        <v>1.04</v>
      </c>
      <c r="E1578" s="24">
        <f>IFERROR(__xludf.DUMMYFUNCTION("""COMPUTED_VALUE"""),68.0)</f>
        <v>68</v>
      </c>
      <c r="F1578" s="27" t="str">
        <f>IFERROR(__xludf.DUMMYFUNCTION("""COMPUTED_VALUE"""),"BLACK")</f>
        <v>BLACK</v>
      </c>
      <c r="G1578" s="28" t="str">
        <f>IFERROR(__xludf.DUMMYFUNCTION("""COMPUTED_VALUE"""),"First Times a Charm Cider")</f>
        <v>First Times a Charm Cider</v>
      </c>
      <c r="H1578" s="27" t="str">
        <f>IFERROR(__xludf.DUMMYFUNCTION("""COMPUTED_VALUE"""),"")</f>
        <v/>
      </c>
    </row>
    <row r="1579">
      <c r="A1579" s="17"/>
      <c r="B1579" s="23"/>
      <c r="C1579" s="17">
        <f>IFERROR(__xludf.DUMMYFUNCTION("""COMPUTED_VALUE"""),43538.1101753009)</f>
        <v>43538.11018</v>
      </c>
      <c r="D1579" s="23">
        <f>IFERROR(__xludf.DUMMYFUNCTION("""COMPUTED_VALUE"""),1.04)</f>
        <v>1.04</v>
      </c>
      <c r="E1579" s="24">
        <f>IFERROR(__xludf.DUMMYFUNCTION("""COMPUTED_VALUE"""),68.0)</f>
        <v>68</v>
      </c>
      <c r="F1579" s="27" t="str">
        <f>IFERROR(__xludf.DUMMYFUNCTION("""COMPUTED_VALUE"""),"BLACK")</f>
        <v>BLACK</v>
      </c>
      <c r="G1579" s="28" t="str">
        <f>IFERROR(__xludf.DUMMYFUNCTION("""COMPUTED_VALUE"""),"First Times a Charm Cider")</f>
        <v>First Times a Charm Cider</v>
      </c>
      <c r="H1579" s="27" t="str">
        <f>IFERROR(__xludf.DUMMYFUNCTION("""COMPUTED_VALUE"""),"")</f>
        <v/>
      </c>
    </row>
    <row r="1580">
      <c r="A1580" s="17"/>
      <c r="B1580" s="23"/>
      <c r="C1580" s="17">
        <f>IFERROR(__xludf.DUMMYFUNCTION("""COMPUTED_VALUE"""),43538.0997439236)</f>
        <v>43538.09974</v>
      </c>
      <c r="D1580" s="23">
        <f>IFERROR(__xludf.DUMMYFUNCTION("""COMPUTED_VALUE"""),1.04)</f>
        <v>1.04</v>
      </c>
      <c r="E1580" s="24">
        <f>IFERROR(__xludf.DUMMYFUNCTION("""COMPUTED_VALUE"""),68.0)</f>
        <v>68</v>
      </c>
      <c r="F1580" s="27" t="str">
        <f>IFERROR(__xludf.DUMMYFUNCTION("""COMPUTED_VALUE"""),"BLACK")</f>
        <v>BLACK</v>
      </c>
      <c r="G1580" s="28" t="str">
        <f>IFERROR(__xludf.DUMMYFUNCTION("""COMPUTED_VALUE"""),"First Times a Charm Cider")</f>
        <v>First Times a Charm Cider</v>
      </c>
      <c r="H1580" s="27" t="str">
        <f>IFERROR(__xludf.DUMMYFUNCTION("""COMPUTED_VALUE"""),"")</f>
        <v/>
      </c>
    </row>
    <row r="1581">
      <c r="A1581" s="17"/>
      <c r="B1581" s="23"/>
      <c r="C1581" s="17">
        <f>IFERROR(__xludf.DUMMYFUNCTION("""COMPUTED_VALUE"""),43538.0893233912)</f>
        <v>43538.08932</v>
      </c>
      <c r="D1581" s="23">
        <f>IFERROR(__xludf.DUMMYFUNCTION("""COMPUTED_VALUE"""),1.04)</f>
        <v>1.04</v>
      </c>
      <c r="E1581" s="24">
        <f>IFERROR(__xludf.DUMMYFUNCTION("""COMPUTED_VALUE"""),68.0)</f>
        <v>68</v>
      </c>
      <c r="F1581" s="27" t="str">
        <f>IFERROR(__xludf.DUMMYFUNCTION("""COMPUTED_VALUE"""),"BLACK")</f>
        <v>BLACK</v>
      </c>
      <c r="G1581" s="28" t="str">
        <f>IFERROR(__xludf.DUMMYFUNCTION("""COMPUTED_VALUE"""),"First Times a Charm Cider")</f>
        <v>First Times a Charm Cider</v>
      </c>
      <c r="H1581" s="27" t="str">
        <f>IFERROR(__xludf.DUMMYFUNCTION("""COMPUTED_VALUE"""),"")</f>
        <v/>
      </c>
    </row>
    <row r="1582">
      <c r="A1582" s="17"/>
      <c r="B1582" s="23"/>
      <c r="C1582" s="17">
        <f>IFERROR(__xludf.DUMMYFUNCTION("""COMPUTED_VALUE"""),43538.0789036226)</f>
        <v>43538.0789</v>
      </c>
      <c r="D1582" s="23">
        <f>IFERROR(__xludf.DUMMYFUNCTION("""COMPUTED_VALUE"""),1.04)</f>
        <v>1.04</v>
      </c>
      <c r="E1582" s="24">
        <f>IFERROR(__xludf.DUMMYFUNCTION("""COMPUTED_VALUE"""),68.0)</f>
        <v>68</v>
      </c>
      <c r="F1582" s="27" t="str">
        <f>IFERROR(__xludf.DUMMYFUNCTION("""COMPUTED_VALUE"""),"BLACK")</f>
        <v>BLACK</v>
      </c>
      <c r="G1582" s="28" t="str">
        <f>IFERROR(__xludf.DUMMYFUNCTION("""COMPUTED_VALUE"""),"First Times a Charm Cider")</f>
        <v>First Times a Charm Cider</v>
      </c>
      <c r="H1582" s="27" t="str">
        <f>IFERROR(__xludf.DUMMYFUNCTION("""COMPUTED_VALUE"""),"")</f>
        <v/>
      </c>
    </row>
    <row r="1583">
      <c r="A1583" s="17"/>
      <c r="B1583" s="23"/>
      <c r="C1583" s="17">
        <f>IFERROR(__xludf.DUMMYFUNCTION("""COMPUTED_VALUE"""),43538.0684473958)</f>
        <v>43538.06845</v>
      </c>
      <c r="D1583" s="23">
        <f>IFERROR(__xludf.DUMMYFUNCTION("""COMPUTED_VALUE"""),1.04)</f>
        <v>1.04</v>
      </c>
      <c r="E1583" s="24">
        <f>IFERROR(__xludf.DUMMYFUNCTION("""COMPUTED_VALUE"""),68.0)</f>
        <v>68</v>
      </c>
      <c r="F1583" s="27" t="str">
        <f>IFERROR(__xludf.DUMMYFUNCTION("""COMPUTED_VALUE"""),"BLACK")</f>
        <v>BLACK</v>
      </c>
      <c r="G1583" s="28" t="str">
        <f>IFERROR(__xludf.DUMMYFUNCTION("""COMPUTED_VALUE"""),"First Times a Charm Cider")</f>
        <v>First Times a Charm Cider</v>
      </c>
      <c r="H1583" s="27" t="str">
        <f>IFERROR(__xludf.DUMMYFUNCTION("""COMPUTED_VALUE"""),"")</f>
        <v/>
      </c>
    </row>
    <row r="1584">
      <c r="A1584" s="17"/>
      <c r="B1584" s="23"/>
      <c r="C1584" s="17">
        <f>IFERROR(__xludf.DUMMYFUNCTION("""COMPUTED_VALUE"""),43538.0580259837)</f>
        <v>43538.05803</v>
      </c>
      <c r="D1584" s="23">
        <f>IFERROR(__xludf.DUMMYFUNCTION("""COMPUTED_VALUE"""),1.04)</f>
        <v>1.04</v>
      </c>
      <c r="E1584" s="24">
        <f>IFERROR(__xludf.DUMMYFUNCTION("""COMPUTED_VALUE"""),68.0)</f>
        <v>68</v>
      </c>
      <c r="F1584" s="27" t="str">
        <f>IFERROR(__xludf.DUMMYFUNCTION("""COMPUTED_VALUE"""),"BLACK")</f>
        <v>BLACK</v>
      </c>
      <c r="G1584" s="28" t="str">
        <f>IFERROR(__xludf.DUMMYFUNCTION("""COMPUTED_VALUE"""),"First Times a Charm Cider")</f>
        <v>First Times a Charm Cider</v>
      </c>
      <c r="H1584" s="27" t="str">
        <f>IFERROR(__xludf.DUMMYFUNCTION("""COMPUTED_VALUE"""),"")</f>
        <v/>
      </c>
    </row>
    <row r="1585">
      <c r="A1585" s="17"/>
      <c r="B1585" s="23"/>
      <c r="C1585" s="17">
        <f>IFERROR(__xludf.DUMMYFUNCTION("""COMPUTED_VALUE"""),43538.0475817939)</f>
        <v>43538.04758</v>
      </c>
      <c r="D1585" s="23">
        <f>IFERROR(__xludf.DUMMYFUNCTION("""COMPUTED_VALUE"""),1.04)</f>
        <v>1.04</v>
      </c>
      <c r="E1585" s="24">
        <f>IFERROR(__xludf.DUMMYFUNCTION("""COMPUTED_VALUE"""),68.0)</f>
        <v>68</v>
      </c>
      <c r="F1585" s="27" t="str">
        <f>IFERROR(__xludf.DUMMYFUNCTION("""COMPUTED_VALUE"""),"BLACK")</f>
        <v>BLACK</v>
      </c>
      <c r="G1585" s="28" t="str">
        <f>IFERROR(__xludf.DUMMYFUNCTION("""COMPUTED_VALUE"""),"First Times a Charm Cider")</f>
        <v>First Times a Charm Cider</v>
      </c>
      <c r="H1585" s="27" t="str">
        <f>IFERROR(__xludf.DUMMYFUNCTION("""COMPUTED_VALUE"""),"")</f>
        <v/>
      </c>
    </row>
    <row r="1586">
      <c r="A1586" s="17"/>
      <c r="B1586" s="23"/>
      <c r="C1586" s="17">
        <f>IFERROR(__xludf.DUMMYFUNCTION("""COMPUTED_VALUE"""),43538.0371611805)</f>
        <v>43538.03716</v>
      </c>
      <c r="D1586" s="23">
        <f>IFERROR(__xludf.DUMMYFUNCTION("""COMPUTED_VALUE"""),1.04)</f>
        <v>1.04</v>
      </c>
      <c r="E1586" s="24">
        <f>IFERROR(__xludf.DUMMYFUNCTION("""COMPUTED_VALUE"""),68.0)</f>
        <v>68</v>
      </c>
      <c r="F1586" s="27" t="str">
        <f>IFERROR(__xludf.DUMMYFUNCTION("""COMPUTED_VALUE"""),"BLACK")</f>
        <v>BLACK</v>
      </c>
      <c r="G1586" s="28" t="str">
        <f>IFERROR(__xludf.DUMMYFUNCTION("""COMPUTED_VALUE"""),"First Times a Charm Cider")</f>
        <v>First Times a Charm Cider</v>
      </c>
      <c r="H1586" s="27" t="str">
        <f>IFERROR(__xludf.DUMMYFUNCTION("""COMPUTED_VALUE"""),"")</f>
        <v/>
      </c>
    </row>
    <row r="1587">
      <c r="A1587" s="17"/>
      <c r="B1587" s="23"/>
      <c r="C1587" s="17">
        <f>IFERROR(__xludf.DUMMYFUNCTION("""COMPUTED_VALUE"""),43538.0267422106)</f>
        <v>43538.02674</v>
      </c>
      <c r="D1587" s="23">
        <f>IFERROR(__xludf.DUMMYFUNCTION("""COMPUTED_VALUE"""),1.04)</f>
        <v>1.04</v>
      </c>
      <c r="E1587" s="24">
        <f>IFERROR(__xludf.DUMMYFUNCTION("""COMPUTED_VALUE"""),68.0)</f>
        <v>68</v>
      </c>
      <c r="F1587" s="27" t="str">
        <f>IFERROR(__xludf.DUMMYFUNCTION("""COMPUTED_VALUE"""),"BLACK")</f>
        <v>BLACK</v>
      </c>
      <c r="G1587" s="28" t="str">
        <f>IFERROR(__xludf.DUMMYFUNCTION("""COMPUTED_VALUE"""),"First Times a Charm Cider")</f>
        <v>First Times a Charm Cider</v>
      </c>
      <c r="H1587" s="27" t="str">
        <f>IFERROR(__xludf.DUMMYFUNCTION("""COMPUTED_VALUE"""),"")</f>
        <v/>
      </c>
    </row>
    <row r="1588">
      <c r="A1588" s="17"/>
      <c r="B1588" s="23"/>
      <c r="C1588" s="17">
        <f>IFERROR(__xludf.DUMMYFUNCTION("""COMPUTED_VALUE"""),43538.0163216319)</f>
        <v>43538.01632</v>
      </c>
      <c r="D1588" s="23">
        <f>IFERROR(__xludf.DUMMYFUNCTION("""COMPUTED_VALUE"""),1.04)</f>
        <v>1.04</v>
      </c>
      <c r="E1588" s="24">
        <f>IFERROR(__xludf.DUMMYFUNCTION("""COMPUTED_VALUE"""),68.0)</f>
        <v>68</v>
      </c>
      <c r="F1588" s="27" t="str">
        <f>IFERROR(__xludf.DUMMYFUNCTION("""COMPUTED_VALUE"""),"BLACK")</f>
        <v>BLACK</v>
      </c>
      <c r="G1588" s="28" t="str">
        <f>IFERROR(__xludf.DUMMYFUNCTION("""COMPUTED_VALUE"""),"First Times a Charm Cider")</f>
        <v>First Times a Charm Cider</v>
      </c>
      <c r="H1588" s="27" t="str">
        <f>IFERROR(__xludf.DUMMYFUNCTION("""COMPUTED_VALUE"""),"")</f>
        <v/>
      </c>
    </row>
    <row r="1589">
      <c r="A1589" s="17"/>
      <c r="B1589" s="23"/>
      <c r="C1589" s="17">
        <f>IFERROR(__xludf.DUMMYFUNCTION("""COMPUTED_VALUE"""),43538.0059012847)</f>
        <v>43538.0059</v>
      </c>
      <c r="D1589" s="23">
        <f>IFERROR(__xludf.DUMMYFUNCTION("""COMPUTED_VALUE"""),1.04)</f>
        <v>1.04</v>
      </c>
      <c r="E1589" s="24">
        <f>IFERROR(__xludf.DUMMYFUNCTION("""COMPUTED_VALUE"""),68.0)</f>
        <v>68</v>
      </c>
      <c r="F1589" s="27" t="str">
        <f>IFERROR(__xludf.DUMMYFUNCTION("""COMPUTED_VALUE"""),"BLACK")</f>
        <v>BLACK</v>
      </c>
      <c r="G1589" s="28" t="str">
        <f>IFERROR(__xludf.DUMMYFUNCTION("""COMPUTED_VALUE"""),"First Times a Charm Cider")</f>
        <v>First Times a Charm Cider</v>
      </c>
      <c r="H1589" s="27" t="str">
        <f>IFERROR(__xludf.DUMMYFUNCTION("""COMPUTED_VALUE"""),"")</f>
        <v/>
      </c>
    </row>
    <row r="1590">
      <c r="A1590" s="17"/>
      <c r="B1590" s="23"/>
      <c r="C1590" s="17">
        <f>IFERROR(__xludf.DUMMYFUNCTION("""COMPUTED_VALUE"""),43537.9954573032)</f>
        <v>43537.99546</v>
      </c>
      <c r="D1590" s="23">
        <f>IFERROR(__xludf.DUMMYFUNCTION("""COMPUTED_VALUE"""),1.04)</f>
        <v>1.04</v>
      </c>
      <c r="E1590" s="24">
        <f>IFERROR(__xludf.DUMMYFUNCTION("""COMPUTED_VALUE"""),68.0)</f>
        <v>68</v>
      </c>
      <c r="F1590" s="27" t="str">
        <f>IFERROR(__xludf.DUMMYFUNCTION("""COMPUTED_VALUE"""),"BLACK")</f>
        <v>BLACK</v>
      </c>
      <c r="G1590" s="28" t="str">
        <f>IFERROR(__xludf.DUMMYFUNCTION("""COMPUTED_VALUE"""),"First Times a Charm Cider")</f>
        <v>First Times a Charm Cider</v>
      </c>
      <c r="H1590" s="27" t="str">
        <f>IFERROR(__xludf.DUMMYFUNCTION("""COMPUTED_VALUE"""),"")</f>
        <v/>
      </c>
    </row>
    <row r="1591">
      <c r="A1591" s="17"/>
      <c r="B1591" s="23"/>
      <c r="C1591" s="17">
        <f>IFERROR(__xludf.DUMMYFUNCTION("""COMPUTED_VALUE"""),43537.985037199)</f>
        <v>43537.98504</v>
      </c>
      <c r="D1591" s="23">
        <f>IFERROR(__xludf.DUMMYFUNCTION("""COMPUTED_VALUE"""),1.04)</f>
        <v>1.04</v>
      </c>
      <c r="E1591" s="24">
        <f>IFERROR(__xludf.DUMMYFUNCTION("""COMPUTED_VALUE"""),68.0)</f>
        <v>68</v>
      </c>
      <c r="F1591" s="27" t="str">
        <f>IFERROR(__xludf.DUMMYFUNCTION("""COMPUTED_VALUE"""),"BLACK")</f>
        <v>BLACK</v>
      </c>
      <c r="G1591" s="28" t="str">
        <f>IFERROR(__xludf.DUMMYFUNCTION("""COMPUTED_VALUE"""),"First Times a Charm Cider")</f>
        <v>First Times a Charm Cider</v>
      </c>
      <c r="H1591" s="27" t="str">
        <f>IFERROR(__xludf.DUMMYFUNCTION("""COMPUTED_VALUE"""),"")</f>
        <v/>
      </c>
    </row>
    <row r="1592">
      <c r="A1592" s="17"/>
      <c r="B1592" s="23"/>
      <c r="C1592" s="17">
        <f>IFERROR(__xludf.DUMMYFUNCTION("""COMPUTED_VALUE"""),43537.9745910648)</f>
        <v>43537.97459</v>
      </c>
      <c r="D1592" s="23">
        <f>IFERROR(__xludf.DUMMYFUNCTION("""COMPUTED_VALUE"""),1.04)</f>
        <v>1.04</v>
      </c>
      <c r="E1592" s="24">
        <f>IFERROR(__xludf.DUMMYFUNCTION("""COMPUTED_VALUE"""),68.0)</f>
        <v>68</v>
      </c>
      <c r="F1592" s="27" t="str">
        <f>IFERROR(__xludf.DUMMYFUNCTION("""COMPUTED_VALUE"""),"BLACK")</f>
        <v>BLACK</v>
      </c>
      <c r="G1592" s="28" t="str">
        <f>IFERROR(__xludf.DUMMYFUNCTION("""COMPUTED_VALUE"""),"First Times a Charm Cider")</f>
        <v>First Times a Charm Cider</v>
      </c>
      <c r="H1592" s="27" t="str">
        <f>IFERROR(__xludf.DUMMYFUNCTION("""COMPUTED_VALUE"""),"")</f>
        <v/>
      </c>
    </row>
    <row r="1593">
      <c r="A1593" s="17"/>
      <c r="B1593" s="23"/>
      <c r="C1593" s="17">
        <f>IFERROR(__xludf.DUMMYFUNCTION("""COMPUTED_VALUE"""),43537.9641708449)</f>
        <v>43537.96417</v>
      </c>
      <c r="D1593" s="23">
        <f>IFERROR(__xludf.DUMMYFUNCTION("""COMPUTED_VALUE"""),1.04)</f>
        <v>1.04</v>
      </c>
      <c r="E1593" s="24">
        <f>IFERROR(__xludf.DUMMYFUNCTION("""COMPUTED_VALUE"""),68.0)</f>
        <v>68</v>
      </c>
      <c r="F1593" s="27" t="str">
        <f>IFERROR(__xludf.DUMMYFUNCTION("""COMPUTED_VALUE"""),"BLACK")</f>
        <v>BLACK</v>
      </c>
      <c r="G1593" s="28" t="str">
        <f>IFERROR(__xludf.DUMMYFUNCTION("""COMPUTED_VALUE"""),"First Times a Charm Cider")</f>
        <v>First Times a Charm Cider</v>
      </c>
      <c r="H1593" s="27" t="str">
        <f>IFERROR(__xludf.DUMMYFUNCTION("""COMPUTED_VALUE"""),"")</f>
        <v/>
      </c>
    </row>
    <row r="1594">
      <c r="A1594" s="17"/>
      <c r="B1594" s="23"/>
      <c r="C1594" s="17">
        <f>IFERROR(__xludf.DUMMYFUNCTION("""COMPUTED_VALUE"""),43537.953738912)</f>
        <v>43537.95374</v>
      </c>
      <c r="D1594" s="23">
        <f>IFERROR(__xludf.DUMMYFUNCTION("""COMPUTED_VALUE"""),1.04)</f>
        <v>1.04</v>
      </c>
      <c r="E1594" s="24">
        <f>IFERROR(__xludf.DUMMYFUNCTION("""COMPUTED_VALUE"""),68.0)</f>
        <v>68</v>
      </c>
      <c r="F1594" s="27" t="str">
        <f>IFERROR(__xludf.DUMMYFUNCTION("""COMPUTED_VALUE"""),"BLACK")</f>
        <v>BLACK</v>
      </c>
      <c r="G1594" s="28" t="str">
        <f>IFERROR(__xludf.DUMMYFUNCTION("""COMPUTED_VALUE"""),"First Times a Charm Cider")</f>
        <v>First Times a Charm Cider</v>
      </c>
      <c r="H1594" s="27" t="str">
        <f>IFERROR(__xludf.DUMMYFUNCTION("""COMPUTED_VALUE"""),"")</f>
        <v/>
      </c>
    </row>
    <row r="1595">
      <c r="A1595" s="17"/>
      <c r="B1595" s="23"/>
      <c r="C1595" s="17">
        <f>IFERROR(__xludf.DUMMYFUNCTION("""COMPUTED_VALUE"""),43537.9433170949)</f>
        <v>43537.94332</v>
      </c>
      <c r="D1595" s="23">
        <f>IFERROR(__xludf.DUMMYFUNCTION("""COMPUTED_VALUE"""),1.04)</f>
        <v>1.04</v>
      </c>
      <c r="E1595" s="24">
        <f>IFERROR(__xludf.DUMMYFUNCTION("""COMPUTED_VALUE"""),68.0)</f>
        <v>68</v>
      </c>
      <c r="F1595" s="27" t="str">
        <f>IFERROR(__xludf.DUMMYFUNCTION("""COMPUTED_VALUE"""),"BLACK")</f>
        <v>BLACK</v>
      </c>
      <c r="G1595" s="28" t="str">
        <f>IFERROR(__xludf.DUMMYFUNCTION("""COMPUTED_VALUE"""),"First Times a Charm Cider")</f>
        <v>First Times a Charm Cider</v>
      </c>
      <c r="H1595" s="27" t="str">
        <f>IFERROR(__xludf.DUMMYFUNCTION("""COMPUTED_VALUE"""),"")</f>
        <v/>
      </c>
    </row>
    <row r="1596">
      <c r="A1596" s="17"/>
      <c r="B1596" s="23"/>
      <c r="C1596" s="17">
        <f>IFERROR(__xludf.DUMMYFUNCTION("""COMPUTED_VALUE"""),43537.9328961458)</f>
        <v>43537.9329</v>
      </c>
      <c r="D1596" s="23">
        <f>IFERROR(__xludf.DUMMYFUNCTION("""COMPUTED_VALUE"""),1.04)</f>
        <v>1.04</v>
      </c>
      <c r="E1596" s="24">
        <f>IFERROR(__xludf.DUMMYFUNCTION("""COMPUTED_VALUE"""),68.0)</f>
        <v>68</v>
      </c>
      <c r="F1596" s="27" t="str">
        <f>IFERROR(__xludf.DUMMYFUNCTION("""COMPUTED_VALUE"""),"BLACK")</f>
        <v>BLACK</v>
      </c>
      <c r="G1596" s="28" t="str">
        <f>IFERROR(__xludf.DUMMYFUNCTION("""COMPUTED_VALUE"""),"First Times a Charm Cider")</f>
        <v>First Times a Charm Cider</v>
      </c>
      <c r="H1596" s="27" t="str">
        <f>IFERROR(__xludf.DUMMYFUNCTION("""COMPUTED_VALUE"""),"")</f>
        <v/>
      </c>
    </row>
    <row r="1597">
      <c r="A1597" s="17"/>
      <c r="B1597" s="23"/>
      <c r="C1597" s="17">
        <f>IFERROR(__xludf.DUMMYFUNCTION("""COMPUTED_VALUE"""),43537.9224641087)</f>
        <v>43537.92246</v>
      </c>
      <c r="D1597" s="23">
        <f>IFERROR(__xludf.DUMMYFUNCTION("""COMPUTED_VALUE"""),1.04)</f>
        <v>1.04</v>
      </c>
      <c r="E1597" s="24">
        <f>IFERROR(__xludf.DUMMYFUNCTION("""COMPUTED_VALUE"""),68.0)</f>
        <v>68</v>
      </c>
      <c r="F1597" s="27" t="str">
        <f>IFERROR(__xludf.DUMMYFUNCTION("""COMPUTED_VALUE"""),"BLACK")</f>
        <v>BLACK</v>
      </c>
      <c r="G1597" s="28" t="str">
        <f>IFERROR(__xludf.DUMMYFUNCTION("""COMPUTED_VALUE"""),"First Times a Charm Cider")</f>
        <v>First Times a Charm Cider</v>
      </c>
      <c r="H1597" s="27" t="str">
        <f>IFERROR(__xludf.DUMMYFUNCTION("""COMPUTED_VALUE"""),"")</f>
        <v/>
      </c>
    </row>
    <row r="1598">
      <c r="A1598" s="17"/>
      <c r="B1598" s="23"/>
      <c r="C1598" s="17">
        <f>IFERROR(__xludf.DUMMYFUNCTION("""COMPUTED_VALUE"""),43537.912042037)</f>
        <v>43537.91204</v>
      </c>
      <c r="D1598" s="23">
        <f>IFERROR(__xludf.DUMMYFUNCTION("""COMPUTED_VALUE"""),1.04)</f>
        <v>1.04</v>
      </c>
      <c r="E1598" s="24">
        <f>IFERROR(__xludf.DUMMYFUNCTION("""COMPUTED_VALUE"""),68.0)</f>
        <v>68</v>
      </c>
      <c r="F1598" s="27" t="str">
        <f>IFERROR(__xludf.DUMMYFUNCTION("""COMPUTED_VALUE"""),"BLACK")</f>
        <v>BLACK</v>
      </c>
      <c r="G1598" s="28" t="str">
        <f>IFERROR(__xludf.DUMMYFUNCTION("""COMPUTED_VALUE"""),"First Times a Charm Cider")</f>
        <v>First Times a Charm Cider</v>
      </c>
      <c r="H1598" s="27" t="str">
        <f>IFERROR(__xludf.DUMMYFUNCTION("""COMPUTED_VALUE"""),"")</f>
        <v/>
      </c>
    </row>
    <row r="1599">
      <c r="A1599" s="17"/>
      <c r="B1599" s="23"/>
      <c r="C1599" s="17">
        <f>IFERROR(__xludf.DUMMYFUNCTION("""COMPUTED_VALUE"""),43537.9016080902)</f>
        <v>43537.90161</v>
      </c>
      <c r="D1599" s="23">
        <f>IFERROR(__xludf.DUMMYFUNCTION("""COMPUTED_VALUE"""),1.04)</f>
        <v>1.04</v>
      </c>
      <c r="E1599" s="24">
        <f>IFERROR(__xludf.DUMMYFUNCTION("""COMPUTED_VALUE"""),68.0)</f>
        <v>68</v>
      </c>
      <c r="F1599" s="27" t="str">
        <f>IFERROR(__xludf.DUMMYFUNCTION("""COMPUTED_VALUE"""),"BLACK")</f>
        <v>BLACK</v>
      </c>
      <c r="G1599" s="28" t="str">
        <f>IFERROR(__xludf.DUMMYFUNCTION("""COMPUTED_VALUE"""),"First Times a Charm Cider")</f>
        <v>First Times a Charm Cider</v>
      </c>
      <c r="H1599" s="27" t="str">
        <f>IFERROR(__xludf.DUMMYFUNCTION("""COMPUTED_VALUE"""),"")</f>
        <v/>
      </c>
    </row>
    <row r="1600">
      <c r="A1600" s="17"/>
      <c r="B1600" s="23"/>
      <c r="C1600" s="17">
        <f>IFERROR(__xludf.DUMMYFUNCTION("""COMPUTED_VALUE"""),43537.8911856712)</f>
        <v>43537.89119</v>
      </c>
      <c r="D1600" s="23">
        <f>IFERROR(__xludf.DUMMYFUNCTION("""COMPUTED_VALUE"""),1.04)</f>
        <v>1.04</v>
      </c>
      <c r="E1600" s="24">
        <f>IFERROR(__xludf.DUMMYFUNCTION("""COMPUTED_VALUE"""),68.0)</f>
        <v>68</v>
      </c>
      <c r="F1600" s="27" t="str">
        <f>IFERROR(__xludf.DUMMYFUNCTION("""COMPUTED_VALUE"""),"BLACK")</f>
        <v>BLACK</v>
      </c>
      <c r="G1600" s="28" t="str">
        <f>IFERROR(__xludf.DUMMYFUNCTION("""COMPUTED_VALUE"""),"First Times a Charm Cider")</f>
        <v>First Times a Charm Cider</v>
      </c>
      <c r="H1600" s="27" t="str">
        <f>IFERROR(__xludf.DUMMYFUNCTION("""COMPUTED_VALUE"""),"")</f>
        <v/>
      </c>
    </row>
    <row r="1601">
      <c r="A1601" s="17"/>
      <c r="B1601" s="23"/>
      <c r="C1601" s="17">
        <f>IFERROR(__xludf.DUMMYFUNCTION("""COMPUTED_VALUE"""),43537.8807648379)</f>
        <v>43537.88076</v>
      </c>
      <c r="D1601" s="23">
        <f>IFERROR(__xludf.DUMMYFUNCTION("""COMPUTED_VALUE"""),1.04)</f>
        <v>1.04</v>
      </c>
      <c r="E1601" s="24">
        <f>IFERROR(__xludf.DUMMYFUNCTION("""COMPUTED_VALUE"""),68.0)</f>
        <v>68</v>
      </c>
      <c r="F1601" s="27" t="str">
        <f>IFERROR(__xludf.DUMMYFUNCTION("""COMPUTED_VALUE"""),"BLACK")</f>
        <v>BLACK</v>
      </c>
      <c r="G1601" s="28" t="str">
        <f>IFERROR(__xludf.DUMMYFUNCTION("""COMPUTED_VALUE"""),"First Times a Charm Cider")</f>
        <v>First Times a Charm Cider</v>
      </c>
      <c r="H1601" s="27" t="str">
        <f>IFERROR(__xludf.DUMMYFUNCTION("""COMPUTED_VALUE"""),"")</f>
        <v/>
      </c>
    </row>
    <row r="1602">
      <c r="A1602" s="17"/>
      <c r="B1602" s="23"/>
      <c r="C1602" s="17">
        <f>IFERROR(__xludf.DUMMYFUNCTION("""COMPUTED_VALUE"""),43537.8703198263)</f>
        <v>43537.87032</v>
      </c>
      <c r="D1602" s="23">
        <f>IFERROR(__xludf.DUMMYFUNCTION("""COMPUTED_VALUE"""),1.04)</f>
        <v>1.04</v>
      </c>
      <c r="E1602" s="24">
        <f>IFERROR(__xludf.DUMMYFUNCTION("""COMPUTED_VALUE"""),68.0)</f>
        <v>68</v>
      </c>
      <c r="F1602" s="27" t="str">
        <f>IFERROR(__xludf.DUMMYFUNCTION("""COMPUTED_VALUE"""),"BLACK")</f>
        <v>BLACK</v>
      </c>
      <c r="G1602" s="28" t="str">
        <f>IFERROR(__xludf.DUMMYFUNCTION("""COMPUTED_VALUE"""),"First Times a Charm Cider")</f>
        <v>First Times a Charm Cider</v>
      </c>
      <c r="H1602" s="27" t="str">
        <f>IFERROR(__xludf.DUMMYFUNCTION("""COMPUTED_VALUE"""),"")</f>
        <v/>
      </c>
    </row>
    <row r="1603">
      <c r="A1603" s="17"/>
      <c r="B1603" s="23"/>
      <c r="C1603" s="17">
        <f>IFERROR(__xludf.DUMMYFUNCTION("""COMPUTED_VALUE"""),43537.8598879398)</f>
        <v>43537.85989</v>
      </c>
      <c r="D1603" s="23">
        <f>IFERROR(__xludf.DUMMYFUNCTION("""COMPUTED_VALUE"""),1.04)</f>
        <v>1.04</v>
      </c>
      <c r="E1603" s="24">
        <f>IFERROR(__xludf.DUMMYFUNCTION("""COMPUTED_VALUE"""),68.0)</f>
        <v>68</v>
      </c>
      <c r="F1603" s="27" t="str">
        <f>IFERROR(__xludf.DUMMYFUNCTION("""COMPUTED_VALUE"""),"BLACK")</f>
        <v>BLACK</v>
      </c>
      <c r="G1603" s="28" t="str">
        <f>IFERROR(__xludf.DUMMYFUNCTION("""COMPUTED_VALUE"""),"First Times a Charm Cider")</f>
        <v>First Times a Charm Cider</v>
      </c>
      <c r="H1603" s="27" t="str">
        <f>IFERROR(__xludf.DUMMYFUNCTION("""COMPUTED_VALUE"""),"")</f>
        <v/>
      </c>
    </row>
    <row r="1604">
      <c r="A1604" s="17"/>
      <c r="B1604" s="23"/>
      <c r="C1604" s="17">
        <f>IFERROR(__xludf.DUMMYFUNCTION("""COMPUTED_VALUE"""),43537.8494664814)</f>
        <v>43537.84947</v>
      </c>
      <c r="D1604" s="23">
        <f>IFERROR(__xludf.DUMMYFUNCTION("""COMPUTED_VALUE"""),1.04)</f>
        <v>1.04</v>
      </c>
      <c r="E1604" s="24">
        <f>IFERROR(__xludf.DUMMYFUNCTION("""COMPUTED_VALUE"""),68.0)</f>
        <v>68</v>
      </c>
      <c r="F1604" s="27" t="str">
        <f>IFERROR(__xludf.DUMMYFUNCTION("""COMPUTED_VALUE"""),"BLACK")</f>
        <v>BLACK</v>
      </c>
      <c r="G1604" s="28" t="str">
        <f>IFERROR(__xludf.DUMMYFUNCTION("""COMPUTED_VALUE"""),"First Times a Charm Cider")</f>
        <v>First Times a Charm Cider</v>
      </c>
      <c r="H1604" s="27" t="str">
        <f>IFERROR(__xludf.DUMMYFUNCTION("""COMPUTED_VALUE"""),"")</f>
        <v/>
      </c>
    </row>
    <row r="1605">
      <c r="A1605" s="17"/>
      <c r="B1605" s="23"/>
      <c r="C1605" s="17">
        <f>IFERROR(__xludf.DUMMYFUNCTION("""COMPUTED_VALUE"""),43537.8390479745)</f>
        <v>43537.83905</v>
      </c>
      <c r="D1605" s="23">
        <f>IFERROR(__xludf.DUMMYFUNCTION("""COMPUTED_VALUE"""),1.04)</f>
        <v>1.04</v>
      </c>
      <c r="E1605" s="24">
        <f>IFERROR(__xludf.DUMMYFUNCTION("""COMPUTED_VALUE"""),68.0)</f>
        <v>68</v>
      </c>
      <c r="F1605" s="27" t="str">
        <f>IFERROR(__xludf.DUMMYFUNCTION("""COMPUTED_VALUE"""),"BLACK")</f>
        <v>BLACK</v>
      </c>
      <c r="G1605" s="28" t="str">
        <f>IFERROR(__xludf.DUMMYFUNCTION("""COMPUTED_VALUE"""),"First Times a Charm Cider")</f>
        <v>First Times a Charm Cider</v>
      </c>
      <c r="H1605" s="27" t="str">
        <f>IFERROR(__xludf.DUMMYFUNCTION("""COMPUTED_VALUE"""),"")</f>
        <v/>
      </c>
    </row>
    <row r="1606">
      <c r="A1606" s="17"/>
      <c r="B1606" s="23"/>
      <c r="C1606" s="17">
        <f>IFERROR(__xludf.DUMMYFUNCTION("""COMPUTED_VALUE"""),43537.828627118)</f>
        <v>43537.82863</v>
      </c>
      <c r="D1606" s="23">
        <f>IFERROR(__xludf.DUMMYFUNCTION("""COMPUTED_VALUE"""),1.041)</f>
        <v>1.041</v>
      </c>
      <c r="E1606" s="24">
        <f>IFERROR(__xludf.DUMMYFUNCTION("""COMPUTED_VALUE"""),68.0)</f>
        <v>68</v>
      </c>
      <c r="F1606" s="27" t="str">
        <f>IFERROR(__xludf.DUMMYFUNCTION("""COMPUTED_VALUE"""),"BLACK")</f>
        <v>BLACK</v>
      </c>
      <c r="G1606" s="28" t="str">
        <f>IFERROR(__xludf.DUMMYFUNCTION("""COMPUTED_VALUE"""),"First Times a Charm Cider")</f>
        <v>First Times a Charm Cider</v>
      </c>
      <c r="H1606" s="27" t="str">
        <f>IFERROR(__xludf.DUMMYFUNCTION("""COMPUTED_VALUE"""),"")</f>
        <v/>
      </c>
    </row>
    <row r="1607">
      <c r="A1607" s="17"/>
      <c r="B1607" s="23"/>
      <c r="C1607" s="17">
        <f>IFERROR(__xludf.DUMMYFUNCTION("""COMPUTED_VALUE"""),43537.8181951041)</f>
        <v>43537.8182</v>
      </c>
      <c r="D1607" s="23">
        <f>IFERROR(__xludf.DUMMYFUNCTION("""COMPUTED_VALUE"""),1.04)</f>
        <v>1.04</v>
      </c>
      <c r="E1607" s="24">
        <f>IFERROR(__xludf.DUMMYFUNCTION("""COMPUTED_VALUE"""),68.0)</f>
        <v>68</v>
      </c>
      <c r="F1607" s="27" t="str">
        <f>IFERROR(__xludf.DUMMYFUNCTION("""COMPUTED_VALUE"""),"BLACK")</f>
        <v>BLACK</v>
      </c>
      <c r="G1607" s="28" t="str">
        <f>IFERROR(__xludf.DUMMYFUNCTION("""COMPUTED_VALUE"""),"First Times a Charm Cider")</f>
        <v>First Times a Charm Cider</v>
      </c>
      <c r="H1607" s="27" t="str">
        <f>IFERROR(__xludf.DUMMYFUNCTION("""COMPUTED_VALUE"""),"")</f>
        <v/>
      </c>
    </row>
    <row r="1608">
      <c r="A1608" s="17"/>
      <c r="B1608" s="23"/>
      <c r="C1608" s="17">
        <f>IFERROR(__xludf.DUMMYFUNCTION("""COMPUTED_VALUE"""),43537.8077750231)</f>
        <v>43537.80778</v>
      </c>
      <c r="D1608" s="23">
        <f>IFERROR(__xludf.DUMMYFUNCTION("""COMPUTED_VALUE"""),1.04)</f>
        <v>1.04</v>
      </c>
      <c r="E1608" s="24">
        <f>IFERROR(__xludf.DUMMYFUNCTION("""COMPUTED_VALUE"""),68.0)</f>
        <v>68</v>
      </c>
      <c r="F1608" s="27" t="str">
        <f>IFERROR(__xludf.DUMMYFUNCTION("""COMPUTED_VALUE"""),"BLACK")</f>
        <v>BLACK</v>
      </c>
      <c r="G1608" s="28" t="str">
        <f>IFERROR(__xludf.DUMMYFUNCTION("""COMPUTED_VALUE"""),"First Times a Charm Cider")</f>
        <v>First Times a Charm Cider</v>
      </c>
      <c r="H1608" s="27" t="str">
        <f>IFERROR(__xludf.DUMMYFUNCTION("""COMPUTED_VALUE"""),"")</f>
        <v/>
      </c>
    </row>
    <row r="1609">
      <c r="A1609" s="17"/>
      <c r="B1609" s="23"/>
      <c r="C1609" s="17">
        <f>IFERROR(__xludf.DUMMYFUNCTION("""COMPUTED_VALUE"""),43537.7973530787)</f>
        <v>43537.79735</v>
      </c>
      <c r="D1609" s="23">
        <f>IFERROR(__xludf.DUMMYFUNCTION("""COMPUTED_VALUE"""),1.04)</f>
        <v>1.04</v>
      </c>
      <c r="E1609" s="24">
        <f>IFERROR(__xludf.DUMMYFUNCTION("""COMPUTED_VALUE"""),68.0)</f>
        <v>68</v>
      </c>
      <c r="F1609" s="27" t="str">
        <f>IFERROR(__xludf.DUMMYFUNCTION("""COMPUTED_VALUE"""),"BLACK")</f>
        <v>BLACK</v>
      </c>
      <c r="G1609" s="28" t="str">
        <f>IFERROR(__xludf.DUMMYFUNCTION("""COMPUTED_VALUE"""),"First Times a Charm Cider")</f>
        <v>First Times a Charm Cider</v>
      </c>
      <c r="H1609" s="27" t="str">
        <f>IFERROR(__xludf.DUMMYFUNCTION("""COMPUTED_VALUE"""),"")</f>
        <v/>
      </c>
    </row>
    <row r="1610">
      <c r="A1610" s="17"/>
      <c r="B1610" s="23"/>
      <c r="C1610" s="17">
        <f>IFERROR(__xludf.DUMMYFUNCTION("""COMPUTED_VALUE"""),43537.7869325694)</f>
        <v>43537.78693</v>
      </c>
      <c r="D1610" s="23">
        <f>IFERROR(__xludf.DUMMYFUNCTION("""COMPUTED_VALUE"""),1.041)</f>
        <v>1.041</v>
      </c>
      <c r="E1610" s="24">
        <f>IFERROR(__xludf.DUMMYFUNCTION("""COMPUTED_VALUE"""),68.0)</f>
        <v>68</v>
      </c>
      <c r="F1610" s="27" t="str">
        <f>IFERROR(__xludf.DUMMYFUNCTION("""COMPUTED_VALUE"""),"BLACK")</f>
        <v>BLACK</v>
      </c>
      <c r="G1610" s="28" t="str">
        <f>IFERROR(__xludf.DUMMYFUNCTION("""COMPUTED_VALUE"""),"First Times a Charm Cider")</f>
        <v>First Times a Charm Cider</v>
      </c>
      <c r="H1610" s="27" t="str">
        <f>IFERROR(__xludf.DUMMYFUNCTION("""COMPUTED_VALUE"""),"")</f>
        <v/>
      </c>
    </row>
    <row r="1611">
      <c r="A1611" s="17"/>
      <c r="B1611" s="23"/>
      <c r="C1611" s="17">
        <f>IFERROR(__xludf.DUMMYFUNCTION("""COMPUTED_VALUE"""),43537.7764759953)</f>
        <v>43537.77648</v>
      </c>
      <c r="D1611" s="23">
        <f>IFERROR(__xludf.DUMMYFUNCTION("""COMPUTED_VALUE"""),1.041)</f>
        <v>1.041</v>
      </c>
      <c r="E1611" s="24">
        <f>IFERROR(__xludf.DUMMYFUNCTION("""COMPUTED_VALUE"""),68.0)</f>
        <v>68</v>
      </c>
      <c r="F1611" s="27" t="str">
        <f>IFERROR(__xludf.DUMMYFUNCTION("""COMPUTED_VALUE"""),"BLACK")</f>
        <v>BLACK</v>
      </c>
      <c r="G1611" s="28" t="str">
        <f>IFERROR(__xludf.DUMMYFUNCTION("""COMPUTED_VALUE"""),"First Times a Charm Cider")</f>
        <v>First Times a Charm Cider</v>
      </c>
      <c r="H1611" s="27" t="str">
        <f>IFERROR(__xludf.DUMMYFUNCTION("""COMPUTED_VALUE"""),"")</f>
        <v/>
      </c>
    </row>
    <row r="1612">
      <c r="A1612" s="17"/>
      <c r="B1612" s="23"/>
      <c r="C1612" s="17">
        <f>IFERROR(__xludf.DUMMYFUNCTION("""COMPUTED_VALUE"""),43537.7660549652)</f>
        <v>43537.76605</v>
      </c>
      <c r="D1612" s="23">
        <f>IFERROR(__xludf.DUMMYFUNCTION("""COMPUTED_VALUE"""),1.04)</f>
        <v>1.04</v>
      </c>
      <c r="E1612" s="24">
        <f>IFERROR(__xludf.DUMMYFUNCTION("""COMPUTED_VALUE"""),68.0)</f>
        <v>68</v>
      </c>
      <c r="F1612" s="27" t="str">
        <f>IFERROR(__xludf.DUMMYFUNCTION("""COMPUTED_VALUE"""),"BLACK")</f>
        <v>BLACK</v>
      </c>
      <c r="G1612" s="28" t="str">
        <f>IFERROR(__xludf.DUMMYFUNCTION("""COMPUTED_VALUE"""),"First Times a Charm Cider")</f>
        <v>First Times a Charm Cider</v>
      </c>
      <c r="H1612" s="27" t="str">
        <f>IFERROR(__xludf.DUMMYFUNCTION("""COMPUTED_VALUE"""),"")</f>
        <v/>
      </c>
    </row>
    <row r="1613">
      <c r="A1613" s="17"/>
      <c r="B1613" s="23"/>
      <c r="C1613" s="17">
        <f>IFERROR(__xludf.DUMMYFUNCTION("""COMPUTED_VALUE"""),43537.7556343055)</f>
        <v>43537.75563</v>
      </c>
      <c r="D1613" s="23">
        <f>IFERROR(__xludf.DUMMYFUNCTION("""COMPUTED_VALUE"""),1.041)</f>
        <v>1.041</v>
      </c>
      <c r="E1613" s="24">
        <f>IFERROR(__xludf.DUMMYFUNCTION("""COMPUTED_VALUE"""),68.0)</f>
        <v>68</v>
      </c>
      <c r="F1613" s="27" t="str">
        <f>IFERROR(__xludf.DUMMYFUNCTION("""COMPUTED_VALUE"""),"BLACK")</f>
        <v>BLACK</v>
      </c>
      <c r="G1613" s="28" t="str">
        <f>IFERROR(__xludf.DUMMYFUNCTION("""COMPUTED_VALUE"""),"First Times a Charm Cider")</f>
        <v>First Times a Charm Cider</v>
      </c>
      <c r="H1613" s="27" t="str">
        <f>IFERROR(__xludf.DUMMYFUNCTION("""COMPUTED_VALUE"""),"")</f>
        <v/>
      </c>
    </row>
    <row r="1614">
      <c r="A1614" s="17"/>
      <c r="B1614" s="23"/>
      <c r="C1614" s="17">
        <f>IFERROR(__xludf.DUMMYFUNCTION("""COMPUTED_VALUE"""),43537.7452117129)</f>
        <v>43537.74521</v>
      </c>
      <c r="D1614" s="23">
        <f>IFERROR(__xludf.DUMMYFUNCTION("""COMPUTED_VALUE"""),1.04)</f>
        <v>1.04</v>
      </c>
      <c r="E1614" s="24">
        <f>IFERROR(__xludf.DUMMYFUNCTION("""COMPUTED_VALUE"""),68.0)</f>
        <v>68</v>
      </c>
      <c r="F1614" s="27" t="str">
        <f>IFERROR(__xludf.DUMMYFUNCTION("""COMPUTED_VALUE"""),"BLACK")</f>
        <v>BLACK</v>
      </c>
      <c r="G1614" s="28" t="str">
        <f>IFERROR(__xludf.DUMMYFUNCTION("""COMPUTED_VALUE"""),"First Times a Charm Cider")</f>
        <v>First Times a Charm Cider</v>
      </c>
      <c r="H1614" s="27" t="str">
        <f>IFERROR(__xludf.DUMMYFUNCTION("""COMPUTED_VALUE"""),"")</f>
        <v/>
      </c>
    </row>
    <row r="1615">
      <c r="A1615" s="17"/>
      <c r="B1615" s="23"/>
      <c r="C1615" s="17">
        <f>IFERROR(__xludf.DUMMYFUNCTION("""COMPUTED_VALUE"""),43537.7347788194)</f>
        <v>43537.73478</v>
      </c>
      <c r="D1615" s="23">
        <f>IFERROR(__xludf.DUMMYFUNCTION("""COMPUTED_VALUE"""),1.041)</f>
        <v>1.041</v>
      </c>
      <c r="E1615" s="24">
        <f>IFERROR(__xludf.DUMMYFUNCTION("""COMPUTED_VALUE"""),68.0)</f>
        <v>68</v>
      </c>
      <c r="F1615" s="27" t="str">
        <f>IFERROR(__xludf.DUMMYFUNCTION("""COMPUTED_VALUE"""),"BLACK")</f>
        <v>BLACK</v>
      </c>
      <c r="G1615" s="28" t="str">
        <f>IFERROR(__xludf.DUMMYFUNCTION("""COMPUTED_VALUE"""),"First Times a Charm Cider")</f>
        <v>First Times a Charm Cider</v>
      </c>
      <c r="H1615" s="27" t="str">
        <f>IFERROR(__xludf.DUMMYFUNCTION("""COMPUTED_VALUE"""),"")</f>
        <v/>
      </c>
    </row>
    <row r="1616">
      <c r="A1616" s="17"/>
      <c r="B1616" s="23"/>
      <c r="C1616" s="17">
        <f>IFERROR(__xludf.DUMMYFUNCTION("""COMPUTED_VALUE"""),43537.7243575926)</f>
        <v>43537.72436</v>
      </c>
      <c r="D1616" s="23">
        <f>IFERROR(__xludf.DUMMYFUNCTION("""COMPUTED_VALUE"""),1.041)</f>
        <v>1.041</v>
      </c>
      <c r="E1616" s="24">
        <f>IFERROR(__xludf.DUMMYFUNCTION("""COMPUTED_VALUE"""),68.0)</f>
        <v>68</v>
      </c>
      <c r="F1616" s="27" t="str">
        <f>IFERROR(__xludf.DUMMYFUNCTION("""COMPUTED_VALUE"""),"BLACK")</f>
        <v>BLACK</v>
      </c>
      <c r="G1616" s="28" t="str">
        <f>IFERROR(__xludf.DUMMYFUNCTION("""COMPUTED_VALUE"""),"First Times a Charm Cider")</f>
        <v>First Times a Charm Cider</v>
      </c>
      <c r="H1616" s="27" t="str">
        <f>IFERROR(__xludf.DUMMYFUNCTION("""COMPUTED_VALUE"""),"")</f>
        <v/>
      </c>
    </row>
    <row r="1617">
      <c r="A1617" s="17"/>
      <c r="B1617" s="23"/>
      <c r="C1617" s="17">
        <f>IFERROR(__xludf.DUMMYFUNCTION("""COMPUTED_VALUE"""),43537.7139357986)</f>
        <v>43537.71394</v>
      </c>
      <c r="D1617" s="23">
        <f>IFERROR(__xludf.DUMMYFUNCTION("""COMPUTED_VALUE"""),1.041)</f>
        <v>1.041</v>
      </c>
      <c r="E1617" s="24">
        <f>IFERROR(__xludf.DUMMYFUNCTION("""COMPUTED_VALUE"""),68.0)</f>
        <v>68</v>
      </c>
      <c r="F1617" s="27" t="str">
        <f>IFERROR(__xludf.DUMMYFUNCTION("""COMPUTED_VALUE"""),"BLACK")</f>
        <v>BLACK</v>
      </c>
      <c r="G1617" s="28" t="str">
        <f>IFERROR(__xludf.DUMMYFUNCTION("""COMPUTED_VALUE"""),"First Times a Charm Cider")</f>
        <v>First Times a Charm Cider</v>
      </c>
      <c r="H1617" s="27" t="str">
        <f>IFERROR(__xludf.DUMMYFUNCTION("""COMPUTED_VALUE"""),"")</f>
        <v/>
      </c>
    </row>
    <row r="1618">
      <c r="A1618" s="17"/>
      <c r="B1618" s="23"/>
      <c r="C1618" s="17">
        <f>IFERROR(__xludf.DUMMYFUNCTION("""COMPUTED_VALUE"""),43537.7035151157)</f>
        <v>43537.70352</v>
      </c>
      <c r="D1618" s="23">
        <f>IFERROR(__xludf.DUMMYFUNCTION("""COMPUTED_VALUE"""),1.04)</f>
        <v>1.04</v>
      </c>
      <c r="E1618" s="24">
        <f>IFERROR(__xludf.DUMMYFUNCTION("""COMPUTED_VALUE"""),68.0)</f>
        <v>68</v>
      </c>
      <c r="F1618" s="27" t="str">
        <f>IFERROR(__xludf.DUMMYFUNCTION("""COMPUTED_VALUE"""),"BLACK")</f>
        <v>BLACK</v>
      </c>
      <c r="G1618" s="28" t="str">
        <f>IFERROR(__xludf.DUMMYFUNCTION("""COMPUTED_VALUE"""),"First Times a Charm Cider")</f>
        <v>First Times a Charm Cider</v>
      </c>
      <c r="H1618" s="27" t="str">
        <f>IFERROR(__xludf.DUMMYFUNCTION("""COMPUTED_VALUE"""),"")</f>
        <v/>
      </c>
    </row>
    <row r="1619">
      <c r="A1619" s="17"/>
      <c r="B1619" s="23"/>
      <c r="C1619" s="17">
        <f>IFERROR(__xludf.DUMMYFUNCTION("""COMPUTED_VALUE"""),43537.6930932986)</f>
        <v>43537.69309</v>
      </c>
      <c r="D1619" s="23">
        <f>IFERROR(__xludf.DUMMYFUNCTION("""COMPUTED_VALUE"""),1.04)</f>
        <v>1.04</v>
      </c>
      <c r="E1619" s="24">
        <f>IFERROR(__xludf.DUMMYFUNCTION("""COMPUTED_VALUE"""),68.0)</f>
        <v>68</v>
      </c>
      <c r="F1619" s="27" t="str">
        <f>IFERROR(__xludf.DUMMYFUNCTION("""COMPUTED_VALUE"""),"BLACK")</f>
        <v>BLACK</v>
      </c>
      <c r="G1619" s="28" t="str">
        <f>IFERROR(__xludf.DUMMYFUNCTION("""COMPUTED_VALUE"""),"First Times a Charm Cider")</f>
        <v>First Times a Charm Cider</v>
      </c>
      <c r="H1619" s="27" t="str">
        <f>IFERROR(__xludf.DUMMYFUNCTION("""COMPUTED_VALUE"""),"")</f>
        <v/>
      </c>
    </row>
    <row r="1620">
      <c r="A1620" s="17"/>
      <c r="B1620" s="23"/>
      <c r="C1620" s="17">
        <f>IFERROR(__xludf.DUMMYFUNCTION("""COMPUTED_VALUE"""),43537.6826609953)</f>
        <v>43537.68266</v>
      </c>
      <c r="D1620" s="23">
        <f>IFERROR(__xludf.DUMMYFUNCTION("""COMPUTED_VALUE"""),1.04)</f>
        <v>1.04</v>
      </c>
      <c r="E1620" s="24">
        <f>IFERROR(__xludf.DUMMYFUNCTION("""COMPUTED_VALUE"""),68.0)</f>
        <v>68</v>
      </c>
      <c r="F1620" s="27" t="str">
        <f>IFERROR(__xludf.DUMMYFUNCTION("""COMPUTED_VALUE"""),"BLACK")</f>
        <v>BLACK</v>
      </c>
      <c r="G1620" s="28" t="str">
        <f>IFERROR(__xludf.DUMMYFUNCTION("""COMPUTED_VALUE"""),"First Times a Charm Cider")</f>
        <v>First Times a Charm Cider</v>
      </c>
      <c r="H1620" s="27" t="str">
        <f>IFERROR(__xludf.DUMMYFUNCTION("""COMPUTED_VALUE"""),"")</f>
        <v/>
      </c>
    </row>
    <row r="1621">
      <c r="A1621" s="17"/>
      <c r="B1621" s="23"/>
      <c r="C1621" s="17">
        <f>IFERROR(__xludf.DUMMYFUNCTION("""COMPUTED_VALUE"""),43537.6722278703)</f>
        <v>43537.67223</v>
      </c>
      <c r="D1621" s="23">
        <f>IFERROR(__xludf.DUMMYFUNCTION("""COMPUTED_VALUE"""),1.041)</f>
        <v>1.041</v>
      </c>
      <c r="E1621" s="24">
        <f>IFERROR(__xludf.DUMMYFUNCTION("""COMPUTED_VALUE"""),68.0)</f>
        <v>68</v>
      </c>
      <c r="F1621" s="27" t="str">
        <f>IFERROR(__xludf.DUMMYFUNCTION("""COMPUTED_VALUE"""),"BLACK")</f>
        <v>BLACK</v>
      </c>
      <c r="G1621" s="28" t="str">
        <f>IFERROR(__xludf.DUMMYFUNCTION("""COMPUTED_VALUE"""),"First Times a Charm Cider")</f>
        <v>First Times a Charm Cider</v>
      </c>
      <c r="H1621" s="27" t="str">
        <f>IFERROR(__xludf.DUMMYFUNCTION("""COMPUTED_VALUE"""),"")</f>
        <v/>
      </c>
    </row>
    <row r="1622">
      <c r="A1622" s="17"/>
      <c r="B1622" s="23"/>
      <c r="C1622" s="17">
        <f>IFERROR(__xludf.DUMMYFUNCTION("""COMPUTED_VALUE"""),43537.6618059953)</f>
        <v>43537.66181</v>
      </c>
      <c r="D1622" s="23">
        <f>IFERROR(__xludf.DUMMYFUNCTION("""COMPUTED_VALUE"""),1.041)</f>
        <v>1.041</v>
      </c>
      <c r="E1622" s="24">
        <f>IFERROR(__xludf.DUMMYFUNCTION("""COMPUTED_VALUE"""),68.0)</f>
        <v>68</v>
      </c>
      <c r="F1622" s="27" t="str">
        <f>IFERROR(__xludf.DUMMYFUNCTION("""COMPUTED_VALUE"""),"BLACK")</f>
        <v>BLACK</v>
      </c>
      <c r="G1622" s="28" t="str">
        <f>IFERROR(__xludf.DUMMYFUNCTION("""COMPUTED_VALUE"""),"First Times a Charm Cider")</f>
        <v>First Times a Charm Cider</v>
      </c>
      <c r="H1622" s="27" t="str">
        <f>IFERROR(__xludf.DUMMYFUNCTION("""COMPUTED_VALUE"""),"")</f>
        <v/>
      </c>
    </row>
    <row r="1623">
      <c r="A1623" s="17"/>
      <c r="B1623" s="23"/>
      <c r="C1623" s="17">
        <f>IFERROR(__xludf.DUMMYFUNCTION("""COMPUTED_VALUE"""),43537.651385787)</f>
        <v>43537.65139</v>
      </c>
      <c r="D1623" s="23">
        <f>IFERROR(__xludf.DUMMYFUNCTION("""COMPUTED_VALUE"""),1.041)</f>
        <v>1.041</v>
      </c>
      <c r="E1623" s="24">
        <f>IFERROR(__xludf.DUMMYFUNCTION("""COMPUTED_VALUE"""),68.0)</f>
        <v>68</v>
      </c>
      <c r="F1623" s="27" t="str">
        <f>IFERROR(__xludf.DUMMYFUNCTION("""COMPUTED_VALUE"""),"BLACK")</f>
        <v>BLACK</v>
      </c>
      <c r="G1623" s="28" t="str">
        <f>IFERROR(__xludf.DUMMYFUNCTION("""COMPUTED_VALUE"""),"First Times a Charm Cider")</f>
        <v>First Times a Charm Cider</v>
      </c>
      <c r="H1623" s="27" t="str">
        <f>IFERROR(__xludf.DUMMYFUNCTION("""COMPUTED_VALUE"""),"")</f>
        <v/>
      </c>
    </row>
    <row r="1624">
      <c r="A1624" s="17"/>
      <c r="B1624" s="23"/>
      <c r="C1624" s="17">
        <f>IFERROR(__xludf.DUMMYFUNCTION("""COMPUTED_VALUE"""),43537.6409646759)</f>
        <v>43537.64096</v>
      </c>
      <c r="D1624" s="23">
        <f>IFERROR(__xludf.DUMMYFUNCTION("""COMPUTED_VALUE"""),1.041)</f>
        <v>1.041</v>
      </c>
      <c r="E1624" s="24">
        <f>IFERROR(__xludf.DUMMYFUNCTION("""COMPUTED_VALUE"""),68.0)</f>
        <v>68</v>
      </c>
      <c r="F1624" s="27" t="str">
        <f>IFERROR(__xludf.DUMMYFUNCTION("""COMPUTED_VALUE"""),"BLACK")</f>
        <v>BLACK</v>
      </c>
      <c r="G1624" s="28" t="str">
        <f>IFERROR(__xludf.DUMMYFUNCTION("""COMPUTED_VALUE"""),"First Times a Charm Cider")</f>
        <v>First Times a Charm Cider</v>
      </c>
      <c r="H1624" s="27" t="str">
        <f>IFERROR(__xludf.DUMMYFUNCTION("""COMPUTED_VALUE"""),"")</f>
        <v/>
      </c>
    </row>
    <row r="1625">
      <c r="A1625" s="17"/>
      <c r="B1625" s="23"/>
      <c r="C1625" s="17">
        <f>IFERROR(__xludf.DUMMYFUNCTION("""COMPUTED_VALUE"""),43537.6305440509)</f>
        <v>43537.63054</v>
      </c>
      <c r="D1625" s="23">
        <f>IFERROR(__xludf.DUMMYFUNCTION("""COMPUTED_VALUE"""),1.041)</f>
        <v>1.041</v>
      </c>
      <c r="E1625" s="24">
        <f>IFERROR(__xludf.DUMMYFUNCTION("""COMPUTED_VALUE"""),68.0)</f>
        <v>68</v>
      </c>
      <c r="F1625" s="27" t="str">
        <f>IFERROR(__xludf.DUMMYFUNCTION("""COMPUTED_VALUE"""),"BLACK")</f>
        <v>BLACK</v>
      </c>
      <c r="G1625" s="28" t="str">
        <f>IFERROR(__xludf.DUMMYFUNCTION("""COMPUTED_VALUE"""),"First Times a Charm Cider")</f>
        <v>First Times a Charm Cider</v>
      </c>
      <c r="H1625" s="27" t="str">
        <f>IFERROR(__xludf.DUMMYFUNCTION("""COMPUTED_VALUE"""),"")</f>
        <v/>
      </c>
    </row>
    <row r="1626">
      <c r="A1626" s="17"/>
      <c r="B1626" s="23"/>
      <c r="C1626" s="17">
        <f>IFERROR(__xludf.DUMMYFUNCTION("""COMPUTED_VALUE"""),43537.6200772569)</f>
        <v>43537.62008</v>
      </c>
      <c r="D1626" s="23">
        <f>IFERROR(__xludf.DUMMYFUNCTION("""COMPUTED_VALUE"""),1.041)</f>
        <v>1.041</v>
      </c>
      <c r="E1626" s="24">
        <f>IFERROR(__xludf.DUMMYFUNCTION("""COMPUTED_VALUE"""),68.0)</f>
        <v>68</v>
      </c>
      <c r="F1626" s="27" t="str">
        <f>IFERROR(__xludf.DUMMYFUNCTION("""COMPUTED_VALUE"""),"BLACK")</f>
        <v>BLACK</v>
      </c>
      <c r="G1626" s="28" t="str">
        <f>IFERROR(__xludf.DUMMYFUNCTION("""COMPUTED_VALUE"""),"First Times a Charm Cider")</f>
        <v>First Times a Charm Cider</v>
      </c>
      <c r="H1626" s="27" t="str">
        <f>IFERROR(__xludf.DUMMYFUNCTION("""COMPUTED_VALUE"""),"")</f>
        <v/>
      </c>
    </row>
    <row r="1627">
      <c r="A1627" s="17"/>
      <c r="B1627" s="23"/>
      <c r="C1627" s="17">
        <f>IFERROR(__xludf.DUMMYFUNCTION("""COMPUTED_VALUE"""),43537.6096566666)</f>
        <v>43537.60966</v>
      </c>
      <c r="D1627" s="23">
        <f>IFERROR(__xludf.DUMMYFUNCTION("""COMPUTED_VALUE"""),1.041)</f>
        <v>1.041</v>
      </c>
      <c r="E1627" s="24">
        <f>IFERROR(__xludf.DUMMYFUNCTION("""COMPUTED_VALUE"""),68.0)</f>
        <v>68</v>
      </c>
      <c r="F1627" s="27" t="str">
        <f>IFERROR(__xludf.DUMMYFUNCTION("""COMPUTED_VALUE"""),"BLACK")</f>
        <v>BLACK</v>
      </c>
      <c r="G1627" s="28" t="str">
        <f>IFERROR(__xludf.DUMMYFUNCTION("""COMPUTED_VALUE"""),"First Times a Charm Cider")</f>
        <v>First Times a Charm Cider</v>
      </c>
      <c r="H1627" s="27" t="str">
        <f>IFERROR(__xludf.DUMMYFUNCTION("""COMPUTED_VALUE"""),"")</f>
        <v/>
      </c>
    </row>
    <row r="1628">
      <c r="A1628" s="17"/>
      <c r="B1628" s="23"/>
      <c r="C1628" s="17">
        <f>IFERROR(__xludf.DUMMYFUNCTION("""COMPUTED_VALUE"""),43537.5992346412)</f>
        <v>43537.59923</v>
      </c>
      <c r="D1628" s="23">
        <f>IFERROR(__xludf.DUMMYFUNCTION("""COMPUTED_VALUE"""),1.041)</f>
        <v>1.041</v>
      </c>
      <c r="E1628" s="24">
        <f>IFERROR(__xludf.DUMMYFUNCTION("""COMPUTED_VALUE"""),68.0)</f>
        <v>68</v>
      </c>
      <c r="F1628" s="27" t="str">
        <f>IFERROR(__xludf.DUMMYFUNCTION("""COMPUTED_VALUE"""),"BLACK")</f>
        <v>BLACK</v>
      </c>
      <c r="G1628" s="28" t="str">
        <f>IFERROR(__xludf.DUMMYFUNCTION("""COMPUTED_VALUE"""),"First Times a Charm Cider")</f>
        <v>First Times a Charm Cider</v>
      </c>
      <c r="H1628" s="27" t="str">
        <f>IFERROR(__xludf.DUMMYFUNCTION("""COMPUTED_VALUE"""),"")</f>
        <v/>
      </c>
    </row>
    <row r="1629">
      <c r="A1629" s="17"/>
      <c r="B1629" s="23"/>
      <c r="C1629" s="17">
        <f>IFERROR(__xludf.DUMMYFUNCTION("""COMPUTED_VALUE"""),43537.588813206)</f>
        <v>43537.58881</v>
      </c>
      <c r="D1629" s="23">
        <f>IFERROR(__xludf.DUMMYFUNCTION("""COMPUTED_VALUE"""),1.041)</f>
        <v>1.041</v>
      </c>
      <c r="E1629" s="24">
        <f>IFERROR(__xludf.DUMMYFUNCTION("""COMPUTED_VALUE"""),68.0)</f>
        <v>68</v>
      </c>
      <c r="F1629" s="27" t="str">
        <f>IFERROR(__xludf.DUMMYFUNCTION("""COMPUTED_VALUE"""),"BLACK")</f>
        <v>BLACK</v>
      </c>
      <c r="G1629" s="28" t="str">
        <f>IFERROR(__xludf.DUMMYFUNCTION("""COMPUTED_VALUE"""),"First Times a Charm Cider")</f>
        <v>First Times a Charm Cider</v>
      </c>
      <c r="H1629" s="27" t="str">
        <f>IFERROR(__xludf.DUMMYFUNCTION("""COMPUTED_VALUE"""),"")</f>
        <v/>
      </c>
    </row>
    <row r="1630">
      <c r="A1630" s="17"/>
      <c r="B1630" s="23"/>
      <c r="C1630" s="17">
        <f>IFERROR(__xludf.DUMMYFUNCTION("""COMPUTED_VALUE"""),43537.5783928819)</f>
        <v>43537.57839</v>
      </c>
      <c r="D1630" s="23">
        <f>IFERROR(__xludf.DUMMYFUNCTION("""COMPUTED_VALUE"""),1.041)</f>
        <v>1.041</v>
      </c>
      <c r="E1630" s="24">
        <f>IFERROR(__xludf.DUMMYFUNCTION("""COMPUTED_VALUE"""),68.0)</f>
        <v>68</v>
      </c>
      <c r="F1630" s="27" t="str">
        <f>IFERROR(__xludf.DUMMYFUNCTION("""COMPUTED_VALUE"""),"BLACK")</f>
        <v>BLACK</v>
      </c>
      <c r="G1630" s="28" t="str">
        <f>IFERROR(__xludf.DUMMYFUNCTION("""COMPUTED_VALUE"""),"First Times a Charm Cider")</f>
        <v>First Times a Charm Cider</v>
      </c>
      <c r="H1630" s="27" t="str">
        <f>IFERROR(__xludf.DUMMYFUNCTION("""COMPUTED_VALUE"""),"")</f>
        <v/>
      </c>
    </row>
    <row r="1631">
      <c r="A1631" s="17"/>
      <c r="B1631" s="23"/>
      <c r="C1631" s="17">
        <f>IFERROR(__xludf.DUMMYFUNCTION("""COMPUTED_VALUE"""),43537.5679714699)</f>
        <v>43537.56797</v>
      </c>
      <c r="D1631" s="23">
        <f>IFERROR(__xludf.DUMMYFUNCTION("""COMPUTED_VALUE"""),1.041)</f>
        <v>1.041</v>
      </c>
      <c r="E1631" s="24">
        <f>IFERROR(__xludf.DUMMYFUNCTION("""COMPUTED_VALUE"""),68.0)</f>
        <v>68</v>
      </c>
      <c r="F1631" s="27" t="str">
        <f>IFERROR(__xludf.DUMMYFUNCTION("""COMPUTED_VALUE"""),"BLACK")</f>
        <v>BLACK</v>
      </c>
      <c r="G1631" s="28" t="str">
        <f>IFERROR(__xludf.DUMMYFUNCTION("""COMPUTED_VALUE"""),"First Times a Charm Cider")</f>
        <v>First Times a Charm Cider</v>
      </c>
      <c r="H1631" s="27" t="str">
        <f>IFERROR(__xludf.DUMMYFUNCTION("""COMPUTED_VALUE"""),"")</f>
        <v/>
      </c>
    </row>
    <row r="1632">
      <c r="A1632" s="17"/>
      <c r="B1632" s="23"/>
      <c r="C1632" s="17">
        <f>IFERROR(__xludf.DUMMYFUNCTION("""COMPUTED_VALUE"""),43537.5575269444)</f>
        <v>43537.55753</v>
      </c>
      <c r="D1632" s="23">
        <f>IFERROR(__xludf.DUMMYFUNCTION("""COMPUTED_VALUE"""),1.041)</f>
        <v>1.041</v>
      </c>
      <c r="E1632" s="24">
        <f>IFERROR(__xludf.DUMMYFUNCTION("""COMPUTED_VALUE"""),68.0)</f>
        <v>68</v>
      </c>
      <c r="F1632" s="27" t="str">
        <f>IFERROR(__xludf.DUMMYFUNCTION("""COMPUTED_VALUE"""),"BLACK")</f>
        <v>BLACK</v>
      </c>
      <c r="G1632" s="28" t="str">
        <f>IFERROR(__xludf.DUMMYFUNCTION("""COMPUTED_VALUE"""),"First Times a Charm Cider")</f>
        <v>First Times a Charm Cider</v>
      </c>
      <c r="H1632" s="27" t="str">
        <f>IFERROR(__xludf.DUMMYFUNCTION("""COMPUTED_VALUE"""),"")</f>
        <v/>
      </c>
    </row>
    <row r="1633">
      <c r="A1633" s="17"/>
      <c r="B1633" s="23"/>
      <c r="C1633" s="17">
        <f>IFERROR(__xludf.DUMMYFUNCTION("""COMPUTED_VALUE"""),43537.5470824189)</f>
        <v>43537.54708</v>
      </c>
      <c r="D1633" s="23">
        <f>IFERROR(__xludf.DUMMYFUNCTION("""COMPUTED_VALUE"""),1.041)</f>
        <v>1.041</v>
      </c>
      <c r="E1633" s="24">
        <f>IFERROR(__xludf.DUMMYFUNCTION("""COMPUTED_VALUE"""),68.0)</f>
        <v>68</v>
      </c>
      <c r="F1633" s="27" t="str">
        <f>IFERROR(__xludf.DUMMYFUNCTION("""COMPUTED_VALUE"""),"BLACK")</f>
        <v>BLACK</v>
      </c>
      <c r="G1633" s="28" t="str">
        <f>IFERROR(__xludf.DUMMYFUNCTION("""COMPUTED_VALUE"""),"First Times a Charm Cider")</f>
        <v>First Times a Charm Cider</v>
      </c>
      <c r="H1633" s="27" t="str">
        <f>IFERROR(__xludf.DUMMYFUNCTION("""COMPUTED_VALUE"""),"")</f>
        <v/>
      </c>
    </row>
    <row r="1634">
      <c r="A1634" s="17"/>
      <c r="B1634" s="23"/>
      <c r="C1634" s="17">
        <f>IFERROR(__xludf.DUMMYFUNCTION("""COMPUTED_VALUE"""),43537.5366396759)</f>
        <v>43537.53664</v>
      </c>
      <c r="D1634" s="23">
        <f>IFERROR(__xludf.DUMMYFUNCTION("""COMPUTED_VALUE"""),1.041)</f>
        <v>1.041</v>
      </c>
      <c r="E1634" s="24">
        <f>IFERROR(__xludf.DUMMYFUNCTION("""COMPUTED_VALUE"""),68.0)</f>
        <v>68</v>
      </c>
      <c r="F1634" s="27" t="str">
        <f>IFERROR(__xludf.DUMMYFUNCTION("""COMPUTED_VALUE"""),"BLACK")</f>
        <v>BLACK</v>
      </c>
      <c r="G1634" s="28" t="str">
        <f>IFERROR(__xludf.DUMMYFUNCTION("""COMPUTED_VALUE"""),"First Times a Charm Cider")</f>
        <v>First Times a Charm Cider</v>
      </c>
      <c r="H1634" s="27" t="str">
        <f>IFERROR(__xludf.DUMMYFUNCTION("""COMPUTED_VALUE"""),"")</f>
        <v/>
      </c>
    </row>
    <row r="1635">
      <c r="A1635" s="17"/>
      <c r="B1635" s="23"/>
      <c r="C1635" s="17">
        <f>IFERROR(__xludf.DUMMYFUNCTION("""COMPUTED_VALUE"""),43537.5262174537)</f>
        <v>43537.52622</v>
      </c>
      <c r="D1635" s="23">
        <f>IFERROR(__xludf.DUMMYFUNCTION("""COMPUTED_VALUE"""),1.041)</f>
        <v>1.041</v>
      </c>
      <c r="E1635" s="24">
        <f>IFERROR(__xludf.DUMMYFUNCTION("""COMPUTED_VALUE"""),68.0)</f>
        <v>68</v>
      </c>
      <c r="F1635" s="27" t="str">
        <f>IFERROR(__xludf.DUMMYFUNCTION("""COMPUTED_VALUE"""),"BLACK")</f>
        <v>BLACK</v>
      </c>
      <c r="G1635" s="28" t="str">
        <f>IFERROR(__xludf.DUMMYFUNCTION("""COMPUTED_VALUE"""),"First Times a Charm Cider")</f>
        <v>First Times a Charm Cider</v>
      </c>
      <c r="H1635" s="27" t="str">
        <f>IFERROR(__xludf.DUMMYFUNCTION("""COMPUTED_VALUE"""),"")</f>
        <v/>
      </c>
    </row>
    <row r="1636">
      <c r="A1636" s="17"/>
      <c r="B1636" s="23"/>
      <c r="C1636" s="17">
        <f>IFERROR(__xludf.DUMMYFUNCTION("""COMPUTED_VALUE"""),43537.5157969791)</f>
        <v>43537.5158</v>
      </c>
      <c r="D1636" s="23">
        <f>IFERROR(__xludf.DUMMYFUNCTION("""COMPUTED_VALUE"""),1.041)</f>
        <v>1.041</v>
      </c>
      <c r="E1636" s="24">
        <f>IFERROR(__xludf.DUMMYFUNCTION("""COMPUTED_VALUE"""),68.0)</f>
        <v>68</v>
      </c>
      <c r="F1636" s="27" t="str">
        <f>IFERROR(__xludf.DUMMYFUNCTION("""COMPUTED_VALUE"""),"BLACK")</f>
        <v>BLACK</v>
      </c>
      <c r="G1636" s="28" t="str">
        <f>IFERROR(__xludf.DUMMYFUNCTION("""COMPUTED_VALUE"""),"First Times a Charm Cider")</f>
        <v>First Times a Charm Cider</v>
      </c>
      <c r="H1636" s="27" t="str">
        <f>IFERROR(__xludf.DUMMYFUNCTION("""COMPUTED_VALUE"""),"")</f>
        <v/>
      </c>
    </row>
    <row r="1637">
      <c r="A1637" s="17"/>
      <c r="B1637" s="23"/>
      <c r="C1637" s="17">
        <f>IFERROR(__xludf.DUMMYFUNCTION("""COMPUTED_VALUE"""),43537.5053765625)</f>
        <v>43537.50538</v>
      </c>
      <c r="D1637" s="23">
        <f>IFERROR(__xludf.DUMMYFUNCTION("""COMPUTED_VALUE"""),1.041)</f>
        <v>1.041</v>
      </c>
      <c r="E1637" s="24">
        <f>IFERROR(__xludf.DUMMYFUNCTION("""COMPUTED_VALUE"""),68.0)</f>
        <v>68</v>
      </c>
      <c r="F1637" s="27" t="str">
        <f>IFERROR(__xludf.DUMMYFUNCTION("""COMPUTED_VALUE"""),"BLACK")</f>
        <v>BLACK</v>
      </c>
      <c r="G1637" s="28" t="str">
        <f>IFERROR(__xludf.DUMMYFUNCTION("""COMPUTED_VALUE"""),"First Times a Charm Cider")</f>
        <v>First Times a Charm Cider</v>
      </c>
      <c r="H1637" s="27" t="str">
        <f>IFERROR(__xludf.DUMMYFUNCTION("""COMPUTED_VALUE"""),"")</f>
        <v/>
      </c>
    </row>
    <row r="1638">
      <c r="A1638" s="17"/>
      <c r="B1638" s="23"/>
      <c r="C1638" s="17">
        <f>IFERROR(__xludf.DUMMYFUNCTION("""COMPUTED_VALUE"""),43537.4949550347)</f>
        <v>43537.49496</v>
      </c>
      <c r="D1638" s="23">
        <f>IFERROR(__xludf.DUMMYFUNCTION("""COMPUTED_VALUE"""),1.041)</f>
        <v>1.041</v>
      </c>
      <c r="E1638" s="24">
        <f>IFERROR(__xludf.DUMMYFUNCTION("""COMPUTED_VALUE"""),68.0)</f>
        <v>68</v>
      </c>
      <c r="F1638" s="27" t="str">
        <f>IFERROR(__xludf.DUMMYFUNCTION("""COMPUTED_VALUE"""),"BLACK")</f>
        <v>BLACK</v>
      </c>
      <c r="G1638" s="28" t="str">
        <f>IFERROR(__xludf.DUMMYFUNCTION("""COMPUTED_VALUE"""),"First Times a Charm Cider")</f>
        <v>First Times a Charm Cider</v>
      </c>
      <c r="H1638" s="27" t="str">
        <f>IFERROR(__xludf.DUMMYFUNCTION("""COMPUTED_VALUE"""),"")</f>
        <v/>
      </c>
    </row>
    <row r="1639">
      <c r="A1639" s="17"/>
      <c r="B1639" s="23"/>
      <c r="C1639" s="17">
        <f>IFERROR(__xludf.DUMMYFUNCTION("""COMPUTED_VALUE"""),43537.4845243055)</f>
        <v>43537.48452</v>
      </c>
      <c r="D1639" s="23">
        <f>IFERROR(__xludf.DUMMYFUNCTION("""COMPUTED_VALUE"""),1.041)</f>
        <v>1.041</v>
      </c>
      <c r="E1639" s="24">
        <f>IFERROR(__xludf.DUMMYFUNCTION("""COMPUTED_VALUE"""),68.0)</f>
        <v>68</v>
      </c>
      <c r="F1639" s="27" t="str">
        <f>IFERROR(__xludf.DUMMYFUNCTION("""COMPUTED_VALUE"""),"BLACK")</f>
        <v>BLACK</v>
      </c>
      <c r="G1639" s="28" t="str">
        <f>IFERROR(__xludf.DUMMYFUNCTION("""COMPUTED_VALUE"""),"First Times a Charm Cider")</f>
        <v>First Times a Charm Cider</v>
      </c>
      <c r="H1639" s="27" t="str">
        <f>IFERROR(__xludf.DUMMYFUNCTION("""COMPUTED_VALUE"""),"")</f>
        <v/>
      </c>
    </row>
    <row r="1640">
      <c r="A1640" s="17"/>
      <c r="B1640" s="23"/>
      <c r="C1640" s="17">
        <f>IFERROR(__xludf.DUMMYFUNCTION("""COMPUTED_VALUE"""),43537.4741015277)</f>
        <v>43537.4741</v>
      </c>
      <c r="D1640" s="23">
        <f>IFERROR(__xludf.DUMMYFUNCTION("""COMPUTED_VALUE"""),1.041)</f>
        <v>1.041</v>
      </c>
      <c r="E1640" s="24">
        <f>IFERROR(__xludf.DUMMYFUNCTION("""COMPUTED_VALUE"""),68.0)</f>
        <v>68</v>
      </c>
      <c r="F1640" s="27" t="str">
        <f>IFERROR(__xludf.DUMMYFUNCTION("""COMPUTED_VALUE"""),"BLACK")</f>
        <v>BLACK</v>
      </c>
      <c r="G1640" s="28" t="str">
        <f>IFERROR(__xludf.DUMMYFUNCTION("""COMPUTED_VALUE"""),"First Times a Charm Cider")</f>
        <v>First Times a Charm Cider</v>
      </c>
      <c r="H1640" s="27" t="str">
        <f>IFERROR(__xludf.DUMMYFUNCTION("""COMPUTED_VALUE"""),"")</f>
        <v/>
      </c>
    </row>
    <row r="1641">
      <c r="A1641" s="17"/>
      <c r="B1641" s="23"/>
      <c r="C1641" s="17">
        <f>IFERROR(__xludf.DUMMYFUNCTION("""COMPUTED_VALUE"""),43537.463680162)</f>
        <v>43537.46368</v>
      </c>
      <c r="D1641" s="23">
        <f>IFERROR(__xludf.DUMMYFUNCTION("""COMPUTED_VALUE"""),1.041)</f>
        <v>1.041</v>
      </c>
      <c r="E1641" s="24">
        <f>IFERROR(__xludf.DUMMYFUNCTION("""COMPUTED_VALUE"""),68.0)</f>
        <v>68</v>
      </c>
      <c r="F1641" s="27" t="str">
        <f>IFERROR(__xludf.DUMMYFUNCTION("""COMPUTED_VALUE"""),"BLACK")</f>
        <v>BLACK</v>
      </c>
      <c r="G1641" s="28" t="str">
        <f>IFERROR(__xludf.DUMMYFUNCTION("""COMPUTED_VALUE"""),"First Times a Charm Cider")</f>
        <v>First Times a Charm Cider</v>
      </c>
      <c r="H1641" s="27" t="str">
        <f>IFERROR(__xludf.DUMMYFUNCTION("""COMPUTED_VALUE"""),"")</f>
        <v/>
      </c>
    </row>
    <row r="1642">
      <c r="A1642" s="17"/>
      <c r="B1642" s="23"/>
      <c r="C1642" s="17">
        <f>IFERROR(__xludf.DUMMYFUNCTION("""COMPUTED_VALUE"""),43537.4532590509)</f>
        <v>43537.45326</v>
      </c>
      <c r="D1642" s="23">
        <f>IFERROR(__xludf.DUMMYFUNCTION("""COMPUTED_VALUE"""),1.041)</f>
        <v>1.041</v>
      </c>
      <c r="E1642" s="24">
        <f>IFERROR(__xludf.DUMMYFUNCTION("""COMPUTED_VALUE"""),68.0)</f>
        <v>68</v>
      </c>
      <c r="F1642" s="27" t="str">
        <f>IFERROR(__xludf.DUMMYFUNCTION("""COMPUTED_VALUE"""),"BLACK")</f>
        <v>BLACK</v>
      </c>
      <c r="G1642" s="28" t="str">
        <f>IFERROR(__xludf.DUMMYFUNCTION("""COMPUTED_VALUE"""),"First Times a Charm Cider")</f>
        <v>First Times a Charm Cider</v>
      </c>
      <c r="H1642" s="27" t="str">
        <f>IFERROR(__xludf.DUMMYFUNCTION("""COMPUTED_VALUE"""),"")</f>
        <v/>
      </c>
    </row>
    <row r="1643">
      <c r="A1643" s="17"/>
      <c r="B1643" s="23"/>
      <c r="C1643" s="17">
        <f>IFERROR(__xludf.DUMMYFUNCTION("""COMPUTED_VALUE"""),43537.4428372685)</f>
        <v>43537.44284</v>
      </c>
      <c r="D1643" s="23">
        <f>IFERROR(__xludf.DUMMYFUNCTION("""COMPUTED_VALUE"""),1.041)</f>
        <v>1.041</v>
      </c>
      <c r="E1643" s="24">
        <f>IFERROR(__xludf.DUMMYFUNCTION("""COMPUTED_VALUE"""),68.0)</f>
        <v>68</v>
      </c>
      <c r="F1643" s="27" t="str">
        <f>IFERROR(__xludf.DUMMYFUNCTION("""COMPUTED_VALUE"""),"BLACK")</f>
        <v>BLACK</v>
      </c>
      <c r="G1643" s="28" t="str">
        <f>IFERROR(__xludf.DUMMYFUNCTION("""COMPUTED_VALUE"""),"First Times a Charm Cider")</f>
        <v>First Times a Charm Cider</v>
      </c>
      <c r="H1643" s="27" t="str">
        <f>IFERROR(__xludf.DUMMYFUNCTION("""COMPUTED_VALUE"""),"")</f>
        <v/>
      </c>
    </row>
    <row r="1644">
      <c r="A1644" s="17"/>
      <c r="B1644" s="23"/>
      <c r="C1644" s="17">
        <f>IFERROR(__xludf.DUMMYFUNCTION("""COMPUTED_VALUE"""),43537.4324016203)</f>
        <v>43537.4324</v>
      </c>
      <c r="D1644" s="23">
        <f>IFERROR(__xludf.DUMMYFUNCTION("""COMPUTED_VALUE"""),1.041)</f>
        <v>1.041</v>
      </c>
      <c r="E1644" s="24">
        <f>IFERROR(__xludf.DUMMYFUNCTION("""COMPUTED_VALUE"""),68.0)</f>
        <v>68</v>
      </c>
      <c r="F1644" s="27" t="str">
        <f>IFERROR(__xludf.DUMMYFUNCTION("""COMPUTED_VALUE"""),"BLACK")</f>
        <v>BLACK</v>
      </c>
      <c r="G1644" s="28" t="str">
        <f>IFERROR(__xludf.DUMMYFUNCTION("""COMPUTED_VALUE"""),"First Times a Charm Cider")</f>
        <v>First Times a Charm Cider</v>
      </c>
      <c r="H1644" s="27" t="str">
        <f>IFERROR(__xludf.DUMMYFUNCTION("""COMPUTED_VALUE"""),"")</f>
        <v/>
      </c>
    </row>
    <row r="1645">
      <c r="A1645" s="17"/>
      <c r="B1645" s="23"/>
      <c r="C1645" s="17">
        <f>IFERROR(__xludf.DUMMYFUNCTION("""COMPUTED_VALUE"""),43537.4219683449)</f>
        <v>43537.42197</v>
      </c>
      <c r="D1645" s="23">
        <f>IFERROR(__xludf.DUMMYFUNCTION("""COMPUTED_VALUE"""),1.041)</f>
        <v>1.041</v>
      </c>
      <c r="E1645" s="24">
        <f>IFERROR(__xludf.DUMMYFUNCTION("""COMPUTED_VALUE"""),68.0)</f>
        <v>68</v>
      </c>
      <c r="F1645" s="27" t="str">
        <f>IFERROR(__xludf.DUMMYFUNCTION("""COMPUTED_VALUE"""),"BLACK")</f>
        <v>BLACK</v>
      </c>
      <c r="G1645" s="28" t="str">
        <f>IFERROR(__xludf.DUMMYFUNCTION("""COMPUTED_VALUE"""),"First Times a Charm Cider")</f>
        <v>First Times a Charm Cider</v>
      </c>
      <c r="H1645" s="27" t="str">
        <f>IFERROR(__xludf.DUMMYFUNCTION("""COMPUTED_VALUE"""),"")</f>
        <v/>
      </c>
    </row>
    <row r="1646">
      <c r="A1646" s="17"/>
      <c r="B1646" s="23"/>
      <c r="C1646" s="17">
        <f>IFERROR(__xludf.DUMMYFUNCTION("""COMPUTED_VALUE"""),43537.4115368865)</f>
        <v>43537.41154</v>
      </c>
      <c r="D1646" s="23">
        <f>IFERROR(__xludf.DUMMYFUNCTION("""COMPUTED_VALUE"""),1.041)</f>
        <v>1.041</v>
      </c>
      <c r="E1646" s="24">
        <f>IFERROR(__xludf.DUMMYFUNCTION("""COMPUTED_VALUE"""),68.0)</f>
        <v>68</v>
      </c>
      <c r="F1646" s="27" t="str">
        <f>IFERROR(__xludf.DUMMYFUNCTION("""COMPUTED_VALUE"""),"BLACK")</f>
        <v>BLACK</v>
      </c>
      <c r="G1646" s="28" t="str">
        <f>IFERROR(__xludf.DUMMYFUNCTION("""COMPUTED_VALUE"""),"First Times a Charm Cider")</f>
        <v>First Times a Charm Cider</v>
      </c>
      <c r="H1646" s="27" t="str">
        <f>IFERROR(__xludf.DUMMYFUNCTION("""COMPUTED_VALUE"""),"")</f>
        <v/>
      </c>
    </row>
    <row r="1647">
      <c r="A1647" s="17"/>
      <c r="B1647" s="23"/>
      <c r="C1647" s="17">
        <f>IFERROR(__xludf.DUMMYFUNCTION("""COMPUTED_VALUE"""),43537.4011167824)</f>
        <v>43537.40112</v>
      </c>
      <c r="D1647" s="23">
        <f>IFERROR(__xludf.DUMMYFUNCTION("""COMPUTED_VALUE"""),1.041)</f>
        <v>1.041</v>
      </c>
      <c r="E1647" s="24">
        <f>IFERROR(__xludf.DUMMYFUNCTION("""COMPUTED_VALUE"""),68.0)</f>
        <v>68</v>
      </c>
      <c r="F1647" s="27" t="str">
        <f>IFERROR(__xludf.DUMMYFUNCTION("""COMPUTED_VALUE"""),"BLACK")</f>
        <v>BLACK</v>
      </c>
      <c r="G1647" s="28" t="str">
        <f>IFERROR(__xludf.DUMMYFUNCTION("""COMPUTED_VALUE"""),"First Times a Charm Cider")</f>
        <v>First Times a Charm Cider</v>
      </c>
      <c r="H1647" s="27" t="str">
        <f>IFERROR(__xludf.DUMMYFUNCTION("""COMPUTED_VALUE"""),"")</f>
        <v/>
      </c>
    </row>
    <row r="1648">
      <c r="A1648" s="17"/>
      <c r="B1648" s="23"/>
      <c r="C1648" s="17">
        <f>IFERROR(__xludf.DUMMYFUNCTION("""COMPUTED_VALUE"""),43537.390660706)</f>
        <v>43537.39066</v>
      </c>
      <c r="D1648" s="23">
        <f>IFERROR(__xludf.DUMMYFUNCTION("""COMPUTED_VALUE"""),1.041)</f>
        <v>1.041</v>
      </c>
      <c r="E1648" s="24">
        <f>IFERROR(__xludf.DUMMYFUNCTION("""COMPUTED_VALUE"""),68.0)</f>
        <v>68</v>
      </c>
      <c r="F1648" s="27" t="str">
        <f>IFERROR(__xludf.DUMMYFUNCTION("""COMPUTED_VALUE"""),"BLACK")</f>
        <v>BLACK</v>
      </c>
      <c r="G1648" s="28" t="str">
        <f>IFERROR(__xludf.DUMMYFUNCTION("""COMPUTED_VALUE"""),"First Times a Charm Cider")</f>
        <v>First Times a Charm Cider</v>
      </c>
      <c r="H1648" s="27" t="str">
        <f>IFERROR(__xludf.DUMMYFUNCTION("""COMPUTED_VALUE"""),"")</f>
        <v/>
      </c>
    </row>
    <row r="1649">
      <c r="A1649" s="17"/>
      <c r="B1649" s="23"/>
      <c r="C1649" s="17">
        <f>IFERROR(__xludf.DUMMYFUNCTION("""COMPUTED_VALUE"""),43537.3802182986)</f>
        <v>43537.38022</v>
      </c>
      <c r="D1649" s="23">
        <f>IFERROR(__xludf.DUMMYFUNCTION("""COMPUTED_VALUE"""),1.041)</f>
        <v>1.041</v>
      </c>
      <c r="E1649" s="24">
        <f>IFERROR(__xludf.DUMMYFUNCTION("""COMPUTED_VALUE"""),68.0)</f>
        <v>68</v>
      </c>
      <c r="F1649" s="27" t="str">
        <f>IFERROR(__xludf.DUMMYFUNCTION("""COMPUTED_VALUE"""),"BLACK")</f>
        <v>BLACK</v>
      </c>
      <c r="G1649" s="28" t="str">
        <f>IFERROR(__xludf.DUMMYFUNCTION("""COMPUTED_VALUE"""),"First Times a Charm Cider")</f>
        <v>First Times a Charm Cider</v>
      </c>
      <c r="H1649" s="27" t="str">
        <f>IFERROR(__xludf.DUMMYFUNCTION("""COMPUTED_VALUE"""),"")</f>
        <v/>
      </c>
    </row>
    <row r="1650">
      <c r="A1650" s="17"/>
      <c r="B1650" s="23"/>
      <c r="C1650" s="17">
        <f>IFERROR(__xludf.DUMMYFUNCTION("""COMPUTED_VALUE"""),43537.3697960532)</f>
        <v>43537.3698</v>
      </c>
      <c r="D1650" s="23">
        <f>IFERROR(__xludf.DUMMYFUNCTION("""COMPUTED_VALUE"""),1.041)</f>
        <v>1.041</v>
      </c>
      <c r="E1650" s="24">
        <f>IFERROR(__xludf.DUMMYFUNCTION("""COMPUTED_VALUE"""),68.0)</f>
        <v>68</v>
      </c>
      <c r="F1650" s="27" t="str">
        <f>IFERROR(__xludf.DUMMYFUNCTION("""COMPUTED_VALUE"""),"BLACK")</f>
        <v>BLACK</v>
      </c>
      <c r="G1650" s="28" t="str">
        <f>IFERROR(__xludf.DUMMYFUNCTION("""COMPUTED_VALUE"""),"First Times a Charm Cider")</f>
        <v>First Times a Charm Cider</v>
      </c>
      <c r="H1650" s="27" t="str">
        <f>IFERROR(__xludf.DUMMYFUNCTION("""COMPUTED_VALUE"""),"")</f>
        <v/>
      </c>
    </row>
    <row r="1651">
      <c r="A1651" s="17"/>
      <c r="B1651" s="23"/>
      <c r="C1651" s="17">
        <f>IFERROR(__xludf.DUMMYFUNCTION("""COMPUTED_VALUE"""),43537.3593748148)</f>
        <v>43537.35937</v>
      </c>
      <c r="D1651" s="23">
        <f>IFERROR(__xludf.DUMMYFUNCTION("""COMPUTED_VALUE"""),1.041)</f>
        <v>1.041</v>
      </c>
      <c r="E1651" s="24">
        <f>IFERROR(__xludf.DUMMYFUNCTION("""COMPUTED_VALUE"""),68.0)</f>
        <v>68</v>
      </c>
      <c r="F1651" s="27" t="str">
        <f>IFERROR(__xludf.DUMMYFUNCTION("""COMPUTED_VALUE"""),"BLACK")</f>
        <v>BLACK</v>
      </c>
      <c r="G1651" s="28" t="str">
        <f>IFERROR(__xludf.DUMMYFUNCTION("""COMPUTED_VALUE"""),"First Times a Charm Cider")</f>
        <v>First Times a Charm Cider</v>
      </c>
      <c r="H1651" s="27" t="str">
        <f>IFERROR(__xludf.DUMMYFUNCTION("""COMPUTED_VALUE"""),"")</f>
        <v/>
      </c>
    </row>
    <row r="1652">
      <c r="A1652" s="17"/>
      <c r="B1652" s="23"/>
      <c r="C1652" s="17">
        <f>IFERROR(__xludf.DUMMYFUNCTION("""COMPUTED_VALUE"""),43537.3489527893)</f>
        <v>43537.34895</v>
      </c>
      <c r="D1652" s="23">
        <f>IFERROR(__xludf.DUMMYFUNCTION("""COMPUTED_VALUE"""),1.041)</f>
        <v>1.041</v>
      </c>
      <c r="E1652" s="24">
        <f>IFERROR(__xludf.DUMMYFUNCTION("""COMPUTED_VALUE"""),68.0)</f>
        <v>68</v>
      </c>
      <c r="F1652" s="27" t="str">
        <f>IFERROR(__xludf.DUMMYFUNCTION("""COMPUTED_VALUE"""),"BLACK")</f>
        <v>BLACK</v>
      </c>
      <c r="G1652" s="28" t="str">
        <f>IFERROR(__xludf.DUMMYFUNCTION("""COMPUTED_VALUE"""),"First Times a Charm Cider")</f>
        <v>First Times a Charm Cider</v>
      </c>
      <c r="H1652" s="27" t="str">
        <f>IFERROR(__xludf.DUMMYFUNCTION("""COMPUTED_VALUE"""),"")</f>
        <v/>
      </c>
    </row>
    <row r="1653">
      <c r="A1653" s="17"/>
      <c r="B1653" s="23"/>
      <c r="C1653" s="17">
        <f>IFERROR(__xludf.DUMMYFUNCTION("""COMPUTED_VALUE"""),43537.338531574)</f>
        <v>43537.33853</v>
      </c>
      <c r="D1653" s="23">
        <f>IFERROR(__xludf.DUMMYFUNCTION("""COMPUTED_VALUE"""),1.041)</f>
        <v>1.041</v>
      </c>
      <c r="E1653" s="24">
        <f>IFERROR(__xludf.DUMMYFUNCTION("""COMPUTED_VALUE"""),68.0)</f>
        <v>68</v>
      </c>
      <c r="F1653" s="27" t="str">
        <f>IFERROR(__xludf.DUMMYFUNCTION("""COMPUTED_VALUE"""),"BLACK")</f>
        <v>BLACK</v>
      </c>
      <c r="G1653" s="28" t="str">
        <f>IFERROR(__xludf.DUMMYFUNCTION("""COMPUTED_VALUE"""),"First Times a Charm Cider")</f>
        <v>First Times a Charm Cider</v>
      </c>
      <c r="H1653" s="27" t="str">
        <f>IFERROR(__xludf.DUMMYFUNCTION("""COMPUTED_VALUE"""),"")</f>
        <v/>
      </c>
    </row>
    <row r="1654">
      <c r="A1654" s="17"/>
      <c r="B1654" s="23"/>
      <c r="C1654" s="17">
        <f>IFERROR(__xludf.DUMMYFUNCTION("""COMPUTED_VALUE"""),43537.3281083796)</f>
        <v>43537.32811</v>
      </c>
      <c r="D1654" s="23">
        <f>IFERROR(__xludf.DUMMYFUNCTION("""COMPUTED_VALUE"""),1.041)</f>
        <v>1.041</v>
      </c>
      <c r="E1654" s="24">
        <f>IFERROR(__xludf.DUMMYFUNCTION("""COMPUTED_VALUE"""),68.0)</f>
        <v>68</v>
      </c>
      <c r="F1654" s="27" t="str">
        <f>IFERROR(__xludf.DUMMYFUNCTION("""COMPUTED_VALUE"""),"BLACK")</f>
        <v>BLACK</v>
      </c>
      <c r="G1654" s="28" t="str">
        <f>IFERROR(__xludf.DUMMYFUNCTION("""COMPUTED_VALUE"""),"First Times a Charm Cider")</f>
        <v>First Times a Charm Cider</v>
      </c>
      <c r="H1654" s="27" t="str">
        <f>IFERROR(__xludf.DUMMYFUNCTION("""COMPUTED_VALUE"""),"")</f>
        <v/>
      </c>
    </row>
    <row r="1655">
      <c r="A1655" s="17"/>
      <c r="B1655" s="23"/>
      <c r="C1655" s="17">
        <f>IFERROR(__xludf.DUMMYFUNCTION("""COMPUTED_VALUE"""),43537.3176875694)</f>
        <v>43537.31769</v>
      </c>
      <c r="D1655" s="23">
        <f>IFERROR(__xludf.DUMMYFUNCTION("""COMPUTED_VALUE"""),1.041)</f>
        <v>1.041</v>
      </c>
      <c r="E1655" s="24">
        <f>IFERROR(__xludf.DUMMYFUNCTION("""COMPUTED_VALUE"""),68.0)</f>
        <v>68</v>
      </c>
      <c r="F1655" s="27" t="str">
        <f>IFERROR(__xludf.DUMMYFUNCTION("""COMPUTED_VALUE"""),"BLACK")</f>
        <v>BLACK</v>
      </c>
      <c r="G1655" s="28" t="str">
        <f>IFERROR(__xludf.DUMMYFUNCTION("""COMPUTED_VALUE"""),"First Times a Charm Cider")</f>
        <v>First Times a Charm Cider</v>
      </c>
      <c r="H1655" s="27" t="str">
        <f>IFERROR(__xludf.DUMMYFUNCTION("""COMPUTED_VALUE"""),"")</f>
        <v/>
      </c>
    </row>
    <row r="1656">
      <c r="A1656" s="17"/>
      <c r="B1656" s="23"/>
      <c r="C1656" s="17">
        <f>IFERROR(__xludf.DUMMYFUNCTION("""COMPUTED_VALUE"""),43537.3072661342)</f>
        <v>43537.30727</v>
      </c>
      <c r="D1656" s="23">
        <f>IFERROR(__xludf.DUMMYFUNCTION("""COMPUTED_VALUE"""),1.041)</f>
        <v>1.041</v>
      </c>
      <c r="E1656" s="24">
        <f>IFERROR(__xludf.DUMMYFUNCTION("""COMPUTED_VALUE"""),68.0)</f>
        <v>68</v>
      </c>
      <c r="F1656" s="27" t="str">
        <f>IFERROR(__xludf.DUMMYFUNCTION("""COMPUTED_VALUE"""),"BLACK")</f>
        <v>BLACK</v>
      </c>
      <c r="G1656" s="28" t="str">
        <f>IFERROR(__xludf.DUMMYFUNCTION("""COMPUTED_VALUE"""),"First Times a Charm Cider")</f>
        <v>First Times a Charm Cider</v>
      </c>
      <c r="H1656" s="27" t="str">
        <f>IFERROR(__xludf.DUMMYFUNCTION("""COMPUTED_VALUE"""),"")</f>
        <v/>
      </c>
    </row>
    <row r="1657">
      <c r="A1657" s="17"/>
      <c r="B1657" s="23"/>
      <c r="C1657" s="17">
        <f>IFERROR(__xludf.DUMMYFUNCTION("""COMPUTED_VALUE"""),43537.2968421875)</f>
        <v>43537.29684</v>
      </c>
      <c r="D1657" s="23">
        <f>IFERROR(__xludf.DUMMYFUNCTION("""COMPUTED_VALUE"""),1.041)</f>
        <v>1.041</v>
      </c>
      <c r="E1657" s="24">
        <f>IFERROR(__xludf.DUMMYFUNCTION("""COMPUTED_VALUE"""),68.0)</f>
        <v>68</v>
      </c>
      <c r="F1657" s="27" t="str">
        <f>IFERROR(__xludf.DUMMYFUNCTION("""COMPUTED_VALUE"""),"BLACK")</f>
        <v>BLACK</v>
      </c>
      <c r="G1657" s="28" t="str">
        <f>IFERROR(__xludf.DUMMYFUNCTION("""COMPUTED_VALUE"""),"First Times a Charm Cider")</f>
        <v>First Times a Charm Cider</v>
      </c>
      <c r="H1657" s="27" t="str">
        <f>IFERROR(__xludf.DUMMYFUNCTION("""COMPUTED_VALUE"""),"")</f>
        <v/>
      </c>
    </row>
    <row r="1658">
      <c r="A1658" s="17"/>
      <c r="B1658" s="23"/>
      <c r="C1658" s="17">
        <f>IFERROR(__xludf.DUMMYFUNCTION("""COMPUTED_VALUE"""),43537.286420787)</f>
        <v>43537.28642</v>
      </c>
      <c r="D1658" s="23">
        <f>IFERROR(__xludf.DUMMYFUNCTION("""COMPUTED_VALUE"""),1.041)</f>
        <v>1.041</v>
      </c>
      <c r="E1658" s="24">
        <f>IFERROR(__xludf.DUMMYFUNCTION("""COMPUTED_VALUE"""),68.0)</f>
        <v>68</v>
      </c>
      <c r="F1658" s="27" t="str">
        <f>IFERROR(__xludf.DUMMYFUNCTION("""COMPUTED_VALUE"""),"BLACK")</f>
        <v>BLACK</v>
      </c>
      <c r="G1658" s="28" t="str">
        <f>IFERROR(__xludf.DUMMYFUNCTION("""COMPUTED_VALUE"""),"First Times a Charm Cider")</f>
        <v>First Times a Charm Cider</v>
      </c>
      <c r="H1658" s="27" t="str">
        <f>IFERROR(__xludf.DUMMYFUNCTION("""COMPUTED_VALUE"""),"")</f>
        <v/>
      </c>
    </row>
    <row r="1659">
      <c r="A1659" s="17"/>
      <c r="B1659" s="23"/>
      <c r="C1659" s="17">
        <f>IFERROR(__xludf.DUMMYFUNCTION("""COMPUTED_VALUE"""),43537.2760006944)</f>
        <v>43537.276</v>
      </c>
      <c r="D1659" s="23">
        <f>IFERROR(__xludf.DUMMYFUNCTION("""COMPUTED_VALUE"""),1.041)</f>
        <v>1.041</v>
      </c>
      <c r="E1659" s="24">
        <f>IFERROR(__xludf.DUMMYFUNCTION("""COMPUTED_VALUE"""),68.0)</f>
        <v>68</v>
      </c>
      <c r="F1659" s="27" t="str">
        <f>IFERROR(__xludf.DUMMYFUNCTION("""COMPUTED_VALUE"""),"BLACK")</f>
        <v>BLACK</v>
      </c>
      <c r="G1659" s="28" t="str">
        <f>IFERROR(__xludf.DUMMYFUNCTION("""COMPUTED_VALUE"""),"First Times a Charm Cider")</f>
        <v>First Times a Charm Cider</v>
      </c>
      <c r="H1659" s="27" t="str">
        <f>IFERROR(__xludf.DUMMYFUNCTION("""COMPUTED_VALUE"""),"")</f>
        <v/>
      </c>
    </row>
    <row r="1660">
      <c r="A1660" s="17"/>
      <c r="B1660" s="23"/>
      <c r="C1660" s="17">
        <f>IFERROR(__xludf.DUMMYFUNCTION("""COMPUTED_VALUE"""),43537.2655685995)</f>
        <v>43537.26557</v>
      </c>
      <c r="D1660" s="23">
        <f>IFERROR(__xludf.DUMMYFUNCTION("""COMPUTED_VALUE"""),1.041)</f>
        <v>1.041</v>
      </c>
      <c r="E1660" s="24">
        <f>IFERROR(__xludf.DUMMYFUNCTION("""COMPUTED_VALUE"""),68.0)</f>
        <v>68</v>
      </c>
      <c r="F1660" s="27" t="str">
        <f>IFERROR(__xludf.DUMMYFUNCTION("""COMPUTED_VALUE"""),"BLACK")</f>
        <v>BLACK</v>
      </c>
      <c r="G1660" s="28" t="str">
        <f>IFERROR(__xludf.DUMMYFUNCTION("""COMPUTED_VALUE"""),"First Times a Charm Cider")</f>
        <v>First Times a Charm Cider</v>
      </c>
      <c r="H1660" s="27" t="str">
        <f>IFERROR(__xludf.DUMMYFUNCTION("""COMPUTED_VALUE"""),"")</f>
        <v/>
      </c>
    </row>
    <row r="1661">
      <c r="A1661" s="17"/>
      <c r="B1661" s="23"/>
      <c r="C1661" s="17">
        <f>IFERROR(__xludf.DUMMYFUNCTION("""COMPUTED_VALUE"""),43537.2551448726)</f>
        <v>43537.25514</v>
      </c>
      <c r="D1661" s="23">
        <f>IFERROR(__xludf.DUMMYFUNCTION("""COMPUTED_VALUE"""),1.041)</f>
        <v>1.041</v>
      </c>
      <c r="E1661" s="24">
        <f>IFERROR(__xludf.DUMMYFUNCTION("""COMPUTED_VALUE"""),68.0)</f>
        <v>68</v>
      </c>
      <c r="F1661" s="27" t="str">
        <f>IFERROR(__xludf.DUMMYFUNCTION("""COMPUTED_VALUE"""),"BLACK")</f>
        <v>BLACK</v>
      </c>
      <c r="G1661" s="28" t="str">
        <f>IFERROR(__xludf.DUMMYFUNCTION("""COMPUTED_VALUE"""),"First Times a Charm Cider")</f>
        <v>First Times a Charm Cider</v>
      </c>
      <c r="H1661" s="27" t="str">
        <f>IFERROR(__xludf.DUMMYFUNCTION("""COMPUTED_VALUE"""),"")</f>
        <v/>
      </c>
    </row>
    <row r="1662">
      <c r="A1662" s="17"/>
      <c r="B1662" s="23"/>
      <c r="C1662" s="17">
        <f>IFERROR(__xludf.DUMMYFUNCTION("""COMPUTED_VALUE"""),43537.2447247569)</f>
        <v>43537.24472</v>
      </c>
      <c r="D1662" s="23">
        <f>IFERROR(__xludf.DUMMYFUNCTION("""COMPUTED_VALUE"""),1.041)</f>
        <v>1.041</v>
      </c>
      <c r="E1662" s="24">
        <f>IFERROR(__xludf.DUMMYFUNCTION("""COMPUTED_VALUE"""),68.0)</f>
        <v>68</v>
      </c>
      <c r="F1662" s="27" t="str">
        <f>IFERROR(__xludf.DUMMYFUNCTION("""COMPUTED_VALUE"""),"BLACK")</f>
        <v>BLACK</v>
      </c>
      <c r="G1662" s="28" t="str">
        <f>IFERROR(__xludf.DUMMYFUNCTION("""COMPUTED_VALUE"""),"First Times a Charm Cider")</f>
        <v>First Times a Charm Cider</v>
      </c>
      <c r="H1662" s="27" t="str">
        <f>IFERROR(__xludf.DUMMYFUNCTION("""COMPUTED_VALUE"""),"")</f>
        <v/>
      </c>
    </row>
    <row r="1663">
      <c r="A1663" s="17"/>
      <c r="B1663" s="23"/>
      <c r="C1663" s="17">
        <f>IFERROR(__xludf.DUMMYFUNCTION("""COMPUTED_VALUE"""),43537.2343039814)</f>
        <v>43537.2343</v>
      </c>
      <c r="D1663" s="23">
        <f>IFERROR(__xludf.DUMMYFUNCTION("""COMPUTED_VALUE"""),1.042)</f>
        <v>1.042</v>
      </c>
      <c r="E1663" s="24">
        <f>IFERROR(__xludf.DUMMYFUNCTION("""COMPUTED_VALUE"""),68.0)</f>
        <v>68</v>
      </c>
      <c r="F1663" s="27" t="str">
        <f>IFERROR(__xludf.DUMMYFUNCTION("""COMPUTED_VALUE"""),"BLACK")</f>
        <v>BLACK</v>
      </c>
      <c r="G1663" s="28" t="str">
        <f>IFERROR(__xludf.DUMMYFUNCTION("""COMPUTED_VALUE"""),"First Times a Charm Cider")</f>
        <v>First Times a Charm Cider</v>
      </c>
      <c r="H1663" s="27" t="str">
        <f>IFERROR(__xludf.DUMMYFUNCTION("""COMPUTED_VALUE"""),"")</f>
        <v/>
      </c>
    </row>
    <row r="1664">
      <c r="A1664" s="17"/>
      <c r="B1664" s="23"/>
      <c r="C1664" s="17">
        <f>IFERROR(__xludf.DUMMYFUNCTION("""COMPUTED_VALUE"""),43537.2238833796)</f>
        <v>43537.22388</v>
      </c>
      <c r="D1664" s="23">
        <f>IFERROR(__xludf.DUMMYFUNCTION("""COMPUTED_VALUE"""),1.042)</f>
        <v>1.042</v>
      </c>
      <c r="E1664" s="24">
        <f>IFERROR(__xludf.DUMMYFUNCTION("""COMPUTED_VALUE"""),68.0)</f>
        <v>68</v>
      </c>
      <c r="F1664" s="27" t="str">
        <f>IFERROR(__xludf.DUMMYFUNCTION("""COMPUTED_VALUE"""),"BLACK")</f>
        <v>BLACK</v>
      </c>
      <c r="G1664" s="28" t="str">
        <f>IFERROR(__xludf.DUMMYFUNCTION("""COMPUTED_VALUE"""),"First Times a Charm Cider")</f>
        <v>First Times a Charm Cider</v>
      </c>
      <c r="H1664" s="27" t="str">
        <f>IFERROR(__xludf.DUMMYFUNCTION("""COMPUTED_VALUE"""),"")</f>
        <v/>
      </c>
    </row>
    <row r="1665">
      <c r="A1665" s="17"/>
      <c r="B1665" s="23"/>
      <c r="C1665" s="17">
        <f>IFERROR(__xludf.DUMMYFUNCTION("""COMPUTED_VALUE"""),43537.2134616319)</f>
        <v>43537.21346</v>
      </c>
      <c r="D1665" s="23">
        <f>IFERROR(__xludf.DUMMYFUNCTION("""COMPUTED_VALUE"""),1.041)</f>
        <v>1.041</v>
      </c>
      <c r="E1665" s="24">
        <f>IFERROR(__xludf.DUMMYFUNCTION("""COMPUTED_VALUE"""),68.0)</f>
        <v>68</v>
      </c>
      <c r="F1665" s="27" t="str">
        <f>IFERROR(__xludf.DUMMYFUNCTION("""COMPUTED_VALUE"""),"BLACK")</f>
        <v>BLACK</v>
      </c>
      <c r="G1665" s="28" t="str">
        <f>IFERROR(__xludf.DUMMYFUNCTION("""COMPUTED_VALUE"""),"First Times a Charm Cider")</f>
        <v>First Times a Charm Cider</v>
      </c>
      <c r="H1665" s="27" t="str">
        <f>IFERROR(__xludf.DUMMYFUNCTION("""COMPUTED_VALUE"""),"")</f>
        <v/>
      </c>
    </row>
    <row r="1666">
      <c r="A1666" s="17"/>
      <c r="B1666" s="23"/>
      <c r="C1666" s="17">
        <f>IFERROR(__xludf.DUMMYFUNCTION("""COMPUTED_VALUE"""),43537.2030049652)</f>
        <v>43537.203</v>
      </c>
      <c r="D1666" s="23">
        <f>IFERROR(__xludf.DUMMYFUNCTION("""COMPUTED_VALUE"""),1.042)</f>
        <v>1.042</v>
      </c>
      <c r="E1666" s="24">
        <f>IFERROR(__xludf.DUMMYFUNCTION("""COMPUTED_VALUE"""),68.0)</f>
        <v>68</v>
      </c>
      <c r="F1666" s="27" t="str">
        <f>IFERROR(__xludf.DUMMYFUNCTION("""COMPUTED_VALUE"""),"BLACK")</f>
        <v>BLACK</v>
      </c>
      <c r="G1666" s="28" t="str">
        <f>IFERROR(__xludf.DUMMYFUNCTION("""COMPUTED_VALUE"""),"First Times a Charm Cider")</f>
        <v>First Times a Charm Cider</v>
      </c>
      <c r="H1666" s="27" t="str">
        <f>IFERROR(__xludf.DUMMYFUNCTION("""COMPUTED_VALUE"""),"")</f>
        <v/>
      </c>
    </row>
    <row r="1667">
      <c r="A1667" s="17"/>
      <c r="B1667" s="23"/>
      <c r="C1667" s="17">
        <f>IFERROR(__xludf.DUMMYFUNCTION("""COMPUTED_VALUE"""),43537.1925832291)</f>
        <v>43537.19258</v>
      </c>
      <c r="D1667" s="23">
        <f>IFERROR(__xludf.DUMMYFUNCTION("""COMPUTED_VALUE"""),1.042)</f>
        <v>1.042</v>
      </c>
      <c r="E1667" s="24">
        <f>IFERROR(__xludf.DUMMYFUNCTION("""COMPUTED_VALUE"""),68.0)</f>
        <v>68</v>
      </c>
      <c r="F1667" s="27" t="str">
        <f>IFERROR(__xludf.DUMMYFUNCTION("""COMPUTED_VALUE"""),"BLACK")</f>
        <v>BLACK</v>
      </c>
      <c r="G1667" s="28" t="str">
        <f>IFERROR(__xludf.DUMMYFUNCTION("""COMPUTED_VALUE"""),"First Times a Charm Cider")</f>
        <v>First Times a Charm Cider</v>
      </c>
      <c r="H1667" s="27" t="str">
        <f>IFERROR(__xludf.DUMMYFUNCTION("""COMPUTED_VALUE"""),"")</f>
        <v/>
      </c>
    </row>
    <row r="1668">
      <c r="A1668" s="17"/>
      <c r="B1668" s="23"/>
      <c r="C1668" s="17">
        <f>IFERROR(__xludf.DUMMYFUNCTION("""COMPUTED_VALUE"""),43537.182161956)</f>
        <v>43537.18216</v>
      </c>
      <c r="D1668" s="23">
        <f>IFERROR(__xludf.DUMMYFUNCTION("""COMPUTED_VALUE"""),1.042)</f>
        <v>1.042</v>
      </c>
      <c r="E1668" s="24">
        <f>IFERROR(__xludf.DUMMYFUNCTION("""COMPUTED_VALUE"""),68.0)</f>
        <v>68</v>
      </c>
      <c r="F1668" s="27" t="str">
        <f>IFERROR(__xludf.DUMMYFUNCTION("""COMPUTED_VALUE"""),"BLACK")</f>
        <v>BLACK</v>
      </c>
      <c r="G1668" s="28" t="str">
        <f>IFERROR(__xludf.DUMMYFUNCTION("""COMPUTED_VALUE"""),"First Times a Charm Cider")</f>
        <v>First Times a Charm Cider</v>
      </c>
      <c r="H1668" s="27" t="str">
        <f>IFERROR(__xludf.DUMMYFUNCTION("""COMPUTED_VALUE"""),"")</f>
        <v/>
      </c>
    </row>
    <row r="1669">
      <c r="A1669" s="17"/>
      <c r="B1669" s="23"/>
      <c r="C1669" s="17">
        <f>IFERROR(__xludf.DUMMYFUNCTION("""COMPUTED_VALUE"""),43537.1717403935)</f>
        <v>43537.17174</v>
      </c>
      <c r="D1669" s="23">
        <f>IFERROR(__xludf.DUMMYFUNCTION("""COMPUTED_VALUE"""),1.042)</f>
        <v>1.042</v>
      </c>
      <c r="E1669" s="24">
        <f>IFERROR(__xludf.DUMMYFUNCTION("""COMPUTED_VALUE"""),68.0)</f>
        <v>68</v>
      </c>
      <c r="F1669" s="27" t="str">
        <f>IFERROR(__xludf.DUMMYFUNCTION("""COMPUTED_VALUE"""),"BLACK")</f>
        <v>BLACK</v>
      </c>
      <c r="G1669" s="28" t="str">
        <f>IFERROR(__xludf.DUMMYFUNCTION("""COMPUTED_VALUE"""),"First Times a Charm Cider")</f>
        <v>First Times a Charm Cider</v>
      </c>
      <c r="H1669" s="27" t="str">
        <f>IFERROR(__xludf.DUMMYFUNCTION("""COMPUTED_VALUE"""),"")</f>
        <v/>
      </c>
    </row>
    <row r="1670">
      <c r="A1670" s="17"/>
      <c r="B1670" s="23"/>
      <c r="C1670" s="17">
        <f>IFERROR(__xludf.DUMMYFUNCTION("""COMPUTED_VALUE"""),43537.1613198611)</f>
        <v>43537.16132</v>
      </c>
      <c r="D1670" s="23">
        <f>IFERROR(__xludf.DUMMYFUNCTION("""COMPUTED_VALUE"""),1.041)</f>
        <v>1.041</v>
      </c>
      <c r="E1670" s="24">
        <f>IFERROR(__xludf.DUMMYFUNCTION("""COMPUTED_VALUE"""),68.0)</f>
        <v>68</v>
      </c>
      <c r="F1670" s="27" t="str">
        <f>IFERROR(__xludf.DUMMYFUNCTION("""COMPUTED_VALUE"""),"BLACK")</f>
        <v>BLACK</v>
      </c>
      <c r="G1670" s="28" t="str">
        <f>IFERROR(__xludf.DUMMYFUNCTION("""COMPUTED_VALUE"""),"First Times a Charm Cider")</f>
        <v>First Times a Charm Cider</v>
      </c>
      <c r="H1670" s="27" t="str">
        <f>IFERROR(__xludf.DUMMYFUNCTION("""COMPUTED_VALUE"""),"")</f>
        <v/>
      </c>
    </row>
    <row r="1671">
      <c r="A1671" s="17"/>
      <c r="B1671" s="23"/>
      <c r="C1671" s="17">
        <f>IFERROR(__xludf.DUMMYFUNCTION("""COMPUTED_VALUE"""),43537.150900324)</f>
        <v>43537.1509</v>
      </c>
      <c r="D1671" s="23">
        <f>IFERROR(__xludf.DUMMYFUNCTION("""COMPUTED_VALUE"""),1.041)</f>
        <v>1.041</v>
      </c>
      <c r="E1671" s="24">
        <f>IFERROR(__xludf.DUMMYFUNCTION("""COMPUTED_VALUE"""),68.0)</f>
        <v>68</v>
      </c>
      <c r="F1671" s="27" t="str">
        <f>IFERROR(__xludf.DUMMYFUNCTION("""COMPUTED_VALUE"""),"BLACK")</f>
        <v>BLACK</v>
      </c>
      <c r="G1671" s="28" t="str">
        <f>IFERROR(__xludf.DUMMYFUNCTION("""COMPUTED_VALUE"""),"First Times a Charm Cider")</f>
        <v>First Times a Charm Cider</v>
      </c>
      <c r="H1671" s="27" t="str">
        <f>IFERROR(__xludf.DUMMYFUNCTION("""COMPUTED_VALUE"""),"")</f>
        <v/>
      </c>
    </row>
    <row r="1672">
      <c r="A1672" s="17"/>
      <c r="B1672" s="23"/>
      <c r="C1672" s="17">
        <f>IFERROR(__xludf.DUMMYFUNCTION("""COMPUTED_VALUE"""),43537.1404792939)</f>
        <v>43537.14048</v>
      </c>
      <c r="D1672" s="23">
        <f>IFERROR(__xludf.DUMMYFUNCTION("""COMPUTED_VALUE"""),1.042)</f>
        <v>1.042</v>
      </c>
      <c r="E1672" s="24">
        <f>IFERROR(__xludf.DUMMYFUNCTION("""COMPUTED_VALUE"""),68.0)</f>
        <v>68</v>
      </c>
      <c r="F1672" s="27" t="str">
        <f>IFERROR(__xludf.DUMMYFUNCTION("""COMPUTED_VALUE"""),"BLACK")</f>
        <v>BLACK</v>
      </c>
      <c r="G1672" s="28" t="str">
        <f>IFERROR(__xludf.DUMMYFUNCTION("""COMPUTED_VALUE"""),"First Times a Charm Cider")</f>
        <v>First Times a Charm Cider</v>
      </c>
      <c r="H1672" s="27" t="str">
        <f>IFERROR(__xludf.DUMMYFUNCTION("""COMPUTED_VALUE"""),"")</f>
        <v/>
      </c>
    </row>
    <row r="1673">
      <c r="A1673" s="17"/>
      <c r="B1673" s="23"/>
      <c r="C1673" s="17">
        <f>IFERROR(__xludf.DUMMYFUNCTION("""COMPUTED_VALUE"""),43537.1300575115)</f>
        <v>43537.13006</v>
      </c>
      <c r="D1673" s="23">
        <f>IFERROR(__xludf.DUMMYFUNCTION("""COMPUTED_VALUE"""),1.042)</f>
        <v>1.042</v>
      </c>
      <c r="E1673" s="24">
        <f>IFERROR(__xludf.DUMMYFUNCTION("""COMPUTED_VALUE"""),68.0)</f>
        <v>68</v>
      </c>
      <c r="F1673" s="27" t="str">
        <f>IFERROR(__xludf.DUMMYFUNCTION("""COMPUTED_VALUE"""),"BLACK")</f>
        <v>BLACK</v>
      </c>
      <c r="G1673" s="28" t="str">
        <f>IFERROR(__xludf.DUMMYFUNCTION("""COMPUTED_VALUE"""),"First Times a Charm Cider")</f>
        <v>First Times a Charm Cider</v>
      </c>
      <c r="H1673" s="27" t="str">
        <f>IFERROR(__xludf.DUMMYFUNCTION("""COMPUTED_VALUE"""),"")</f>
        <v/>
      </c>
    </row>
    <row r="1674">
      <c r="A1674" s="17"/>
      <c r="B1674" s="23"/>
      <c r="C1674" s="17">
        <f>IFERROR(__xludf.DUMMYFUNCTION("""COMPUTED_VALUE"""),43537.1196357291)</f>
        <v>43537.11964</v>
      </c>
      <c r="D1674" s="23">
        <f>IFERROR(__xludf.DUMMYFUNCTION("""COMPUTED_VALUE"""),1.042)</f>
        <v>1.042</v>
      </c>
      <c r="E1674" s="24">
        <f>IFERROR(__xludf.DUMMYFUNCTION("""COMPUTED_VALUE"""),68.0)</f>
        <v>68</v>
      </c>
      <c r="F1674" s="27" t="str">
        <f>IFERROR(__xludf.DUMMYFUNCTION("""COMPUTED_VALUE"""),"BLACK")</f>
        <v>BLACK</v>
      </c>
      <c r="G1674" s="28" t="str">
        <f>IFERROR(__xludf.DUMMYFUNCTION("""COMPUTED_VALUE"""),"First Times a Charm Cider")</f>
        <v>First Times a Charm Cider</v>
      </c>
      <c r="H1674" s="27" t="str">
        <f>IFERROR(__xludf.DUMMYFUNCTION("""COMPUTED_VALUE"""),"")</f>
        <v/>
      </c>
    </row>
    <row r="1675">
      <c r="A1675" s="17"/>
      <c r="B1675" s="23"/>
      <c r="C1675" s="17">
        <f>IFERROR(__xludf.DUMMYFUNCTION("""COMPUTED_VALUE"""),43537.1092131597)</f>
        <v>43537.10921</v>
      </c>
      <c r="D1675" s="23">
        <f>IFERROR(__xludf.DUMMYFUNCTION("""COMPUTED_VALUE"""),1.041)</f>
        <v>1.041</v>
      </c>
      <c r="E1675" s="24">
        <f>IFERROR(__xludf.DUMMYFUNCTION("""COMPUTED_VALUE"""),68.0)</f>
        <v>68</v>
      </c>
      <c r="F1675" s="27" t="str">
        <f>IFERROR(__xludf.DUMMYFUNCTION("""COMPUTED_VALUE"""),"BLACK")</f>
        <v>BLACK</v>
      </c>
      <c r="G1675" s="28" t="str">
        <f>IFERROR(__xludf.DUMMYFUNCTION("""COMPUTED_VALUE"""),"First Times a Charm Cider")</f>
        <v>First Times a Charm Cider</v>
      </c>
      <c r="H1675" s="27" t="str">
        <f>IFERROR(__xludf.DUMMYFUNCTION("""COMPUTED_VALUE"""),"")</f>
        <v/>
      </c>
    </row>
    <row r="1676">
      <c r="A1676" s="17"/>
      <c r="B1676" s="23"/>
      <c r="C1676" s="17">
        <f>IFERROR(__xludf.DUMMYFUNCTION("""COMPUTED_VALUE"""),43537.098791493)</f>
        <v>43537.09879</v>
      </c>
      <c r="D1676" s="23">
        <f>IFERROR(__xludf.DUMMYFUNCTION("""COMPUTED_VALUE"""),1.042)</f>
        <v>1.042</v>
      </c>
      <c r="E1676" s="24">
        <f>IFERROR(__xludf.DUMMYFUNCTION("""COMPUTED_VALUE"""),68.0)</f>
        <v>68</v>
      </c>
      <c r="F1676" s="27" t="str">
        <f>IFERROR(__xludf.DUMMYFUNCTION("""COMPUTED_VALUE"""),"BLACK")</f>
        <v>BLACK</v>
      </c>
      <c r="G1676" s="28" t="str">
        <f>IFERROR(__xludf.DUMMYFUNCTION("""COMPUTED_VALUE"""),"First Times a Charm Cider")</f>
        <v>First Times a Charm Cider</v>
      </c>
      <c r="H1676" s="27" t="str">
        <f>IFERROR(__xludf.DUMMYFUNCTION("""COMPUTED_VALUE"""),"")</f>
        <v/>
      </c>
    </row>
    <row r="1677">
      <c r="A1677" s="17"/>
      <c r="B1677" s="23"/>
      <c r="C1677" s="17">
        <f>IFERROR(__xludf.DUMMYFUNCTION("""COMPUTED_VALUE"""),43537.0883695254)</f>
        <v>43537.08837</v>
      </c>
      <c r="D1677" s="23">
        <f>IFERROR(__xludf.DUMMYFUNCTION("""COMPUTED_VALUE"""),1.042)</f>
        <v>1.042</v>
      </c>
      <c r="E1677" s="24">
        <f>IFERROR(__xludf.DUMMYFUNCTION("""COMPUTED_VALUE"""),68.0)</f>
        <v>68</v>
      </c>
      <c r="F1677" s="27" t="str">
        <f>IFERROR(__xludf.DUMMYFUNCTION("""COMPUTED_VALUE"""),"BLACK")</f>
        <v>BLACK</v>
      </c>
      <c r="G1677" s="28" t="str">
        <f>IFERROR(__xludf.DUMMYFUNCTION("""COMPUTED_VALUE"""),"First Times a Charm Cider")</f>
        <v>First Times a Charm Cider</v>
      </c>
      <c r="H1677" s="27" t="str">
        <f>IFERROR(__xludf.DUMMYFUNCTION("""COMPUTED_VALUE"""),"")</f>
        <v/>
      </c>
    </row>
    <row r="1678">
      <c r="A1678" s="17"/>
      <c r="B1678" s="23"/>
      <c r="C1678" s="17">
        <f>IFERROR(__xludf.DUMMYFUNCTION("""COMPUTED_VALUE"""),43537.0779370601)</f>
        <v>43537.07794</v>
      </c>
      <c r="D1678" s="23">
        <f>IFERROR(__xludf.DUMMYFUNCTION("""COMPUTED_VALUE"""),1.042)</f>
        <v>1.042</v>
      </c>
      <c r="E1678" s="24">
        <f>IFERROR(__xludf.DUMMYFUNCTION("""COMPUTED_VALUE"""),68.0)</f>
        <v>68</v>
      </c>
      <c r="F1678" s="27" t="str">
        <f>IFERROR(__xludf.DUMMYFUNCTION("""COMPUTED_VALUE"""),"BLACK")</f>
        <v>BLACK</v>
      </c>
      <c r="G1678" s="28" t="str">
        <f>IFERROR(__xludf.DUMMYFUNCTION("""COMPUTED_VALUE"""),"First Times a Charm Cider")</f>
        <v>First Times a Charm Cider</v>
      </c>
      <c r="H1678" s="27" t="str">
        <f>IFERROR(__xludf.DUMMYFUNCTION("""COMPUTED_VALUE"""),"")</f>
        <v/>
      </c>
    </row>
    <row r="1679">
      <c r="A1679" s="17"/>
      <c r="B1679" s="23"/>
      <c r="C1679" s="17">
        <f>IFERROR(__xludf.DUMMYFUNCTION("""COMPUTED_VALUE"""),43537.0675166319)</f>
        <v>43537.06752</v>
      </c>
      <c r="D1679" s="23">
        <f>IFERROR(__xludf.DUMMYFUNCTION("""COMPUTED_VALUE"""),1.042)</f>
        <v>1.042</v>
      </c>
      <c r="E1679" s="24">
        <f>IFERROR(__xludf.DUMMYFUNCTION("""COMPUTED_VALUE"""),68.0)</f>
        <v>68</v>
      </c>
      <c r="F1679" s="27" t="str">
        <f>IFERROR(__xludf.DUMMYFUNCTION("""COMPUTED_VALUE"""),"BLACK")</f>
        <v>BLACK</v>
      </c>
      <c r="G1679" s="28" t="str">
        <f>IFERROR(__xludf.DUMMYFUNCTION("""COMPUTED_VALUE"""),"First Times a Charm Cider")</f>
        <v>First Times a Charm Cider</v>
      </c>
      <c r="H1679" s="27" t="str">
        <f>IFERROR(__xludf.DUMMYFUNCTION("""COMPUTED_VALUE"""),"")</f>
        <v/>
      </c>
    </row>
    <row r="1680">
      <c r="A1680" s="17"/>
      <c r="B1680" s="23"/>
      <c r="C1680" s="17">
        <f>IFERROR(__xludf.DUMMYFUNCTION("""COMPUTED_VALUE"""),43537.0570830787)</f>
        <v>43537.05708</v>
      </c>
      <c r="D1680" s="23">
        <f>IFERROR(__xludf.DUMMYFUNCTION("""COMPUTED_VALUE"""),1.042)</f>
        <v>1.042</v>
      </c>
      <c r="E1680" s="24">
        <f>IFERROR(__xludf.DUMMYFUNCTION("""COMPUTED_VALUE"""),68.0)</f>
        <v>68</v>
      </c>
      <c r="F1680" s="27" t="str">
        <f>IFERROR(__xludf.DUMMYFUNCTION("""COMPUTED_VALUE"""),"BLACK")</f>
        <v>BLACK</v>
      </c>
      <c r="G1680" s="28" t="str">
        <f>IFERROR(__xludf.DUMMYFUNCTION("""COMPUTED_VALUE"""),"First Times a Charm Cider")</f>
        <v>First Times a Charm Cider</v>
      </c>
      <c r="H1680" s="27" t="str">
        <f>IFERROR(__xludf.DUMMYFUNCTION("""COMPUTED_VALUE"""),"")</f>
        <v/>
      </c>
    </row>
    <row r="1681">
      <c r="A1681" s="17"/>
      <c r="B1681" s="23"/>
      <c r="C1681" s="17">
        <f>IFERROR(__xludf.DUMMYFUNCTION("""COMPUTED_VALUE"""),43537.0466629282)</f>
        <v>43537.04666</v>
      </c>
      <c r="D1681" s="23">
        <f>IFERROR(__xludf.DUMMYFUNCTION("""COMPUTED_VALUE"""),1.042)</f>
        <v>1.042</v>
      </c>
      <c r="E1681" s="24">
        <f>IFERROR(__xludf.DUMMYFUNCTION("""COMPUTED_VALUE"""),68.0)</f>
        <v>68</v>
      </c>
      <c r="F1681" s="27" t="str">
        <f>IFERROR(__xludf.DUMMYFUNCTION("""COMPUTED_VALUE"""),"BLACK")</f>
        <v>BLACK</v>
      </c>
      <c r="G1681" s="28" t="str">
        <f>IFERROR(__xludf.DUMMYFUNCTION("""COMPUTED_VALUE"""),"First Times a Charm Cider")</f>
        <v>First Times a Charm Cider</v>
      </c>
      <c r="H1681" s="27" t="str">
        <f>IFERROR(__xludf.DUMMYFUNCTION("""COMPUTED_VALUE"""),"")</f>
        <v/>
      </c>
    </row>
    <row r="1682">
      <c r="A1682" s="17"/>
      <c r="B1682" s="23"/>
      <c r="C1682" s="17">
        <f>IFERROR(__xludf.DUMMYFUNCTION("""COMPUTED_VALUE"""),43537.036242824)</f>
        <v>43537.03624</v>
      </c>
      <c r="D1682" s="23">
        <f>IFERROR(__xludf.DUMMYFUNCTION("""COMPUTED_VALUE"""),1.042)</f>
        <v>1.042</v>
      </c>
      <c r="E1682" s="24">
        <f>IFERROR(__xludf.DUMMYFUNCTION("""COMPUTED_VALUE"""),68.0)</f>
        <v>68</v>
      </c>
      <c r="F1682" s="27" t="str">
        <f>IFERROR(__xludf.DUMMYFUNCTION("""COMPUTED_VALUE"""),"BLACK")</f>
        <v>BLACK</v>
      </c>
      <c r="G1682" s="28" t="str">
        <f>IFERROR(__xludf.DUMMYFUNCTION("""COMPUTED_VALUE"""),"First Times a Charm Cider")</f>
        <v>First Times a Charm Cider</v>
      </c>
      <c r="H1682" s="27" t="str">
        <f>IFERROR(__xludf.DUMMYFUNCTION("""COMPUTED_VALUE"""),"")</f>
        <v/>
      </c>
    </row>
    <row r="1683">
      <c r="A1683" s="17"/>
      <c r="B1683" s="23"/>
      <c r="C1683" s="17">
        <f>IFERROR(__xludf.DUMMYFUNCTION("""COMPUTED_VALUE"""),43537.0258217708)</f>
        <v>43537.02582</v>
      </c>
      <c r="D1683" s="23">
        <f>IFERROR(__xludf.DUMMYFUNCTION("""COMPUTED_VALUE"""),1.042)</f>
        <v>1.042</v>
      </c>
      <c r="E1683" s="24">
        <f>IFERROR(__xludf.DUMMYFUNCTION("""COMPUTED_VALUE"""),68.0)</f>
        <v>68</v>
      </c>
      <c r="F1683" s="27" t="str">
        <f>IFERROR(__xludf.DUMMYFUNCTION("""COMPUTED_VALUE"""),"BLACK")</f>
        <v>BLACK</v>
      </c>
      <c r="G1683" s="28" t="str">
        <f>IFERROR(__xludf.DUMMYFUNCTION("""COMPUTED_VALUE"""),"First Times a Charm Cider")</f>
        <v>First Times a Charm Cider</v>
      </c>
      <c r="H1683" s="27" t="str">
        <f>IFERROR(__xludf.DUMMYFUNCTION("""COMPUTED_VALUE"""),"")</f>
        <v/>
      </c>
    </row>
    <row r="1684">
      <c r="A1684" s="17"/>
      <c r="B1684" s="23"/>
      <c r="C1684" s="17">
        <f>IFERROR(__xludf.DUMMYFUNCTION("""COMPUTED_VALUE"""),43537.0154012962)</f>
        <v>43537.0154</v>
      </c>
      <c r="D1684" s="23">
        <f>IFERROR(__xludf.DUMMYFUNCTION("""COMPUTED_VALUE"""),1.042)</f>
        <v>1.042</v>
      </c>
      <c r="E1684" s="24">
        <f>IFERROR(__xludf.DUMMYFUNCTION("""COMPUTED_VALUE"""),68.0)</f>
        <v>68</v>
      </c>
      <c r="F1684" s="27" t="str">
        <f>IFERROR(__xludf.DUMMYFUNCTION("""COMPUTED_VALUE"""),"BLACK")</f>
        <v>BLACK</v>
      </c>
      <c r="G1684" s="28" t="str">
        <f>IFERROR(__xludf.DUMMYFUNCTION("""COMPUTED_VALUE"""),"First Times a Charm Cider")</f>
        <v>First Times a Charm Cider</v>
      </c>
      <c r="H1684" s="27" t="str">
        <f>IFERROR(__xludf.DUMMYFUNCTION("""COMPUTED_VALUE"""),"")</f>
        <v/>
      </c>
    </row>
    <row r="1685">
      <c r="A1685" s="17"/>
      <c r="B1685" s="23"/>
      <c r="C1685" s="17">
        <f>IFERROR(__xludf.DUMMYFUNCTION("""COMPUTED_VALUE"""),43537.0049805208)</f>
        <v>43537.00498</v>
      </c>
      <c r="D1685" s="23">
        <f>IFERROR(__xludf.DUMMYFUNCTION("""COMPUTED_VALUE"""),1.042)</f>
        <v>1.042</v>
      </c>
      <c r="E1685" s="24">
        <f>IFERROR(__xludf.DUMMYFUNCTION("""COMPUTED_VALUE"""),68.0)</f>
        <v>68</v>
      </c>
      <c r="F1685" s="27" t="str">
        <f>IFERROR(__xludf.DUMMYFUNCTION("""COMPUTED_VALUE"""),"BLACK")</f>
        <v>BLACK</v>
      </c>
      <c r="G1685" s="28" t="str">
        <f>IFERROR(__xludf.DUMMYFUNCTION("""COMPUTED_VALUE"""),"First Times a Charm Cider")</f>
        <v>First Times a Charm Cider</v>
      </c>
      <c r="H1685" s="27" t="str">
        <f>IFERROR(__xludf.DUMMYFUNCTION("""COMPUTED_VALUE"""),"")</f>
        <v/>
      </c>
    </row>
    <row r="1686">
      <c r="A1686" s="17"/>
      <c r="B1686" s="23"/>
      <c r="C1686" s="17">
        <f>IFERROR(__xludf.DUMMYFUNCTION("""COMPUTED_VALUE"""),43536.9945466435)</f>
        <v>43536.99455</v>
      </c>
      <c r="D1686" s="23">
        <f>IFERROR(__xludf.DUMMYFUNCTION("""COMPUTED_VALUE"""),1.042)</f>
        <v>1.042</v>
      </c>
      <c r="E1686" s="24">
        <f>IFERROR(__xludf.DUMMYFUNCTION("""COMPUTED_VALUE"""),68.0)</f>
        <v>68</v>
      </c>
      <c r="F1686" s="27" t="str">
        <f>IFERROR(__xludf.DUMMYFUNCTION("""COMPUTED_VALUE"""),"BLACK")</f>
        <v>BLACK</v>
      </c>
      <c r="G1686" s="28" t="str">
        <f>IFERROR(__xludf.DUMMYFUNCTION("""COMPUTED_VALUE"""),"First Times a Charm Cider")</f>
        <v>First Times a Charm Cider</v>
      </c>
      <c r="H1686" s="27" t="str">
        <f>IFERROR(__xludf.DUMMYFUNCTION("""COMPUTED_VALUE"""),"")</f>
        <v/>
      </c>
    </row>
    <row r="1687">
      <c r="A1687" s="17"/>
      <c r="B1687" s="23"/>
      <c r="C1687" s="17">
        <f>IFERROR(__xludf.DUMMYFUNCTION("""COMPUTED_VALUE"""),43536.9841276041)</f>
        <v>43536.98413</v>
      </c>
      <c r="D1687" s="23">
        <f>IFERROR(__xludf.DUMMYFUNCTION("""COMPUTED_VALUE"""),1.042)</f>
        <v>1.042</v>
      </c>
      <c r="E1687" s="24">
        <f>IFERROR(__xludf.DUMMYFUNCTION("""COMPUTED_VALUE"""),68.0)</f>
        <v>68</v>
      </c>
      <c r="F1687" s="27" t="str">
        <f>IFERROR(__xludf.DUMMYFUNCTION("""COMPUTED_VALUE"""),"BLACK")</f>
        <v>BLACK</v>
      </c>
      <c r="G1687" s="28" t="str">
        <f>IFERROR(__xludf.DUMMYFUNCTION("""COMPUTED_VALUE"""),"First Times a Charm Cider")</f>
        <v>First Times a Charm Cider</v>
      </c>
      <c r="H1687" s="27" t="str">
        <f>IFERROR(__xludf.DUMMYFUNCTION("""COMPUTED_VALUE"""),"")</f>
        <v/>
      </c>
    </row>
    <row r="1688">
      <c r="A1688" s="17"/>
      <c r="B1688" s="23"/>
      <c r="C1688" s="17">
        <f>IFERROR(__xludf.DUMMYFUNCTION("""COMPUTED_VALUE"""),43536.9737044675)</f>
        <v>43536.9737</v>
      </c>
      <c r="D1688" s="23">
        <f>IFERROR(__xludf.DUMMYFUNCTION("""COMPUTED_VALUE"""),1.042)</f>
        <v>1.042</v>
      </c>
      <c r="E1688" s="24">
        <f>IFERROR(__xludf.DUMMYFUNCTION("""COMPUTED_VALUE"""),68.0)</f>
        <v>68</v>
      </c>
      <c r="F1688" s="27" t="str">
        <f>IFERROR(__xludf.DUMMYFUNCTION("""COMPUTED_VALUE"""),"BLACK")</f>
        <v>BLACK</v>
      </c>
      <c r="G1688" s="28" t="str">
        <f>IFERROR(__xludf.DUMMYFUNCTION("""COMPUTED_VALUE"""),"First Times a Charm Cider")</f>
        <v>First Times a Charm Cider</v>
      </c>
      <c r="H1688" s="27" t="str">
        <f>IFERROR(__xludf.DUMMYFUNCTION("""COMPUTED_VALUE"""),"")</f>
        <v/>
      </c>
    </row>
    <row r="1689">
      <c r="A1689" s="17"/>
      <c r="B1689" s="23"/>
      <c r="C1689" s="17">
        <f>IFERROR(__xludf.DUMMYFUNCTION("""COMPUTED_VALUE"""),43536.9632704976)</f>
        <v>43536.96327</v>
      </c>
      <c r="D1689" s="23">
        <f>IFERROR(__xludf.DUMMYFUNCTION("""COMPUTED_VALUE"""),1.042)</f>
        <v>1.042</v>
      </c>
      <c r="E1689" s="24">
        <f>IFERROR(__xludf.DUMMYFUNCTION("""COMPUTED_VALUE"""),68.0)</f>
        <v>68</v>
      </c>
      <c r="F1689" s="27" t="str">
        <f>IFERROR(__xludf.DUMMYFUNCTION("""COMPUTED_VALUE"""),"BLACK")</f>
        <v>BLACK</v>
      </c>
      <c r="G1689" s="28" t="str">
        <f>IFERROR(__xludf.DUMMYFUNCTION("""COMPUTED_VALUE"""),"First Times a Charm Cider")</f>
        <v>First Times a Charm Cider</v>
      </c>
      <c r="H1689" s="27" t="str">
        <f>IFERROR(__xludf.DUMMYFUNCTION("""COMPUTED_VALUE"""),"")</f>
        <v/>
      </c>
    </row>
    <row r="1690">
      <c r="A1690" s="17"/>
      <c r="B1690" s="23"/>
      <c r="C1690" s="17">
        <f>IFERROR(__xludf.DUMMYFUNCTION("""COMPUTED_VALUE"""),43536.9528478009)</f>
        <v>43536.95285</v>
      </c>
      <c r="D1690" s="23">
        <f>IFERROR(__xludf.DUMMYFUNCTION("""COMPUTED_VALUE"""),1.042)</f>
        <v>1.042</v>
      </c>
      <c r="E1690" s="24">
        <f>IFERROR(__xludf.DUMMYFUNCTION("""COMPUTED_VALUE"""),68.0)</f>
        <v>68</v>
      </c>
      <c r="F1690" s="27" t="str">
        <f>IFERROR(__xludf.DUMMYFUNCTION("""COMPUTED_VALUE"""),"BLACK")</f>
        <v>BLACK</v>
      </c>
      <c r="G1690" s="28" t="str">
        <f>IFERROR(__xludf.DUMMYFUNCTION("""COMPUTED_VALUE"""),"First Times a Charm Cider")</f>
        <v>First Times a Charm Cider</v>
      </c>
      <c r="H1690" s="27" t="str">
        <f>IFERROR(__xludf.DUMMYFUNCTION("""COMPUTED_VALUE"""),"")</f>
        <v/>
      </c>
    </row>
    <row r="1691">
      <c r="A1691" s="17"/>
      <c r="B1691" s="23"/>
      <c r="C1691" s="17">
        <f>IFERROR(__xludf.DUMMYFUNCTION("""COMPUTED_VALUE"""),43536.9424146527)</f>
        <v>43536.94241</v>
      </c>
      <c r="D1691" s="23">
        <f>IFERROR(__xludf.DUMMYFUNCTION("""COMPUTED_VALUE"""),1.042)</f>
        <v>1.042</v>
      </c>
      <c r="E1691" s="24">
        <f>IFERROR(__xludf.DUMMYFUNCTION("""COMPUTED_VALUE"""),68.0)</f>
        <v>68</v>
      </c>
      <c r="F1691" s="27" t="str">
        <f>IFERROR(__xludf.DUMMYFUNCTION("""COMPUTED_VALUE"""),"BLACK")</f>
        <v>BLACK</v>
      </c>
      <c r="G1691" s="28" t="str">
        <f>IFERROR(__xludf.DUMMYFUNCTION("""COMPUTED_VALUE"""),"First Times a Charm Cider")</f>
        <v>First Times a Charm Cider</v>
      </c>
      <c r="H1691" s="27" t="str">
        <f>IFERROR(__xludf.DUMMYFUNCTION("""COMPUTED_VALUE"""),"")</f>
        <v/>
      </c>
    </row>
    <row r="1692">
      <c r="A1692" s="17"/>
      <c r="B1692" s="23"/>
      <c r="C1692" s="17">
        <f>IFERROR(__xludf.DUMMYFUNCTION("""COMPUTED_VALUE"""),43536.9319925578)</f>
        <v>43536.93199</v>
      </c>
      <c r="D1692" s="23">
        <f>IFERROR(__xludf.DUMMYFUNCTION("""COMPUTED_VALUE"""),1.042)</f>
        <v>1.042</v>
      </c>
      <c r="E1692" s="24">
        <f>IFERROR(__xludf.DUMMYFUNCTION("""COMPUTED_VALUE"""),68.0)</f>
        <v>68</v>
      </c>
      <c r="F1692" s="27" t="str">
        <f>IFERROR(__xludf.DUMMYFUNCTION("""COMPUTED_VALUE"""),"BLACK")</f>
        <v>BLACK</v>
      </c>
      <c r="G1692" s="28" t="str">
        <f>IFERROR(__xludf.DUMMYFUNCTION("""COMPUTED_VALUE"""),"First Times a Charm Cider")</f>
        <v>First Times a Charm Cider</v>
      </c>
      <c r="H1692" s="27" t="str">
        <f>IFERROR(__xludf.DUMMYFUNCTION("""COMPUTED_VALUE"""),"")</f>
        <v/>
      </c>
    </row>
    <row r="1693">
      <c r="A1693" s="17"/>
      <c r="B1693" s="23"/>
      <c r="C1693" s="17">
        <f>IFERROR(__xludf.DUMMYFUNCTION("""COMPUTED_VALUE"""),43536.9215597916)</f>
        <v>43536.92156</v>
      </c>
      <c r="D1693" s="23">
        <f>IFERROR(__xludf.DUMMYFUNCTION("""COMPUTED_VALUE"""),1.042)</f>
        <v>1.042</v>
      </c>
      <c r="E1693" s="24">
        <f>IFERROR(__xludf.DUMMYFUNCTION("""COMPUTED_VALUE"""),68.0)</f>
        <v>68</v>
      </c>
      <c r="F1693" s="27" t="str">
        <f>IFERROR(__xludf.DUMMYFUNCTION("""COMPUTED_VALUE"""),"BLACK")</f>
        <v>BLACK</v>
      </c>
      <c r="G1693" s="28" t="str">
        <f>IFERROR(__xludf.DUMMYFUNCTION("""COMPUTED_VALUE"""),"First Times a Charm Cider")</f>
        <v>First Times a Charm Cider</v>
      </c>
      <c r="H1693" s="27" t="str">
        <f>IFERROR(__xludf.DUMMYFUNCTION("""COMPUTED_VALUE"""),"")</f>
        <v/>
      </c>
    </row>
    <row r="1694">
      <c r="A1694" s="17"/>
      <c r="B1694" s="23"/>
      <c r="C1694" s="17">
        <f>IFERROR(__xludf.DUMMYFUNCTION("""COMPUTED_VALUE"""),43536.9111380208)</f>
        <v>43536.91114</v>
      </c>
      <c r="D1694" s="23">
        <f>IFERROR(__xludf.DUMMYFUNCTION("""COMPUTED_VALUE"""),1.042)</f>
        <v>1.042</v>
      </c>
      <c r="E1694" s="24">
        <f>IFERROR(__xludf.DUMMYFUNCTION("""COMPUTED_VALUE"""),68.0)</f>
        <v>68</v>
      </c>
      <c r="F1694" s="27" t="str">
        <f>IFERROR(__xludf.DUMMYFUNCTION("""COMPUTED_VALUE"""),"BLACK")</f>
        <v>BLACK</v>
      </c>
      <c r="G1694" s="28" t="str">
        <f>IFERROR(__xludf.DUMMYFUNCTION("""COMPUTED_VALUE"""),"First Times a Charm Cider")</f>
        <v>First Times a Charm Cider</v>
      </c>
      <c r="H1694" s="27" t="str">
        <f>IFERROR(__xludf.DUMMYFUNCTION("""COMPUTED_VALUE"""),"")</f>
        <v/>
      </c>
    </row>
    <row r="1695">
      <c r="A1695" s="17"/>
      <c r="B1695" s="23"/>
      <c r="C1695" s="17">
        <f>IFERROR(__xludf.DUMMYFUNCTION("""COMPUTED_VALUE"""),43536.9007164583)</f>
        <v>43536.90072</v>
      </c>
      <c r="D1695" s="23">
        <f>IFERROR(__xludf.DUMMYFUNCTION("""COMPUTED_VALUE"""),1.042)</f>
        <v>1.042</v>
      </c>
      <c r="E1695" s="24">
        <f>IFERROR(__xludf.DUMMYFUNCTION("""COMPUTED_VALUE"""),68.0)</f>
        <v>68</v>
      </c>
      <c r="F1695" s="27" t="str">
        <f>IFERROR(__xludf.DUMMYFUNCTION("""COMPUTED_VALUE"""),"BLACK")</f>
        <v>BLACK</v>
      </c>
      <c r="G1695" s="28" t="str">
        <f>IFERROR(__xludf.DUMMYFUNCTION("""COMPUTED_VALUE"""),"First Times a Charm Cider")</f>
        <v>First Times a Charm Cider</v>
      </c>
      <c r="H1695" s="27" t="str">
        <f>IFERROR(__xludf.DUMMYFUNCTION("""COMPUTED_VALUE"""),"")</f>
        <v/>
      </c>
    </row>
    <row r="1696">
      <c r="A1696" s="17"/>
      <c r="B1696" s="23"/>
      <c r="C1696" s="17">
        <f>IFERROR(__xludf.DUMMYFUNCTION("""COMPUTED_VALUE"""),43536.890295949)</f>
        <v>43536.8903</v>
      </c>
      <c r="D1696" s="23">
        <f>IFERROR(__xludf.DUMMYFUNCTION("""COMPUTED_VALUE"""),1.042)</f>
        <v>1.042</v>
      </c>
      <c r="E1696" s="24">
        <f>IFERROR(__xludf.DUMMYFUNCTION("""COMPUTED_VALUE"""),68.0)</f>
        <v>68</v>
      </c>
      <c r="F1696" s="27" t="str">
        <f>IFERROR(__xludf.DUMMYFUNCTION("""COMPUTED_VALUE"""),"BLACK")</f>
        <v>BLACK</v>
      </c>
      <c r="G1696" s="28" t="str">
        <f>IFERROR(__xludf.DUMMYFUNCTION("""COMPUTED_VALUE"""),"First Times a Charm Cider")</f>
        <v>First Times a Charm Cider</v>
      </c>
      <c r="H1696" s="27" t="str">
        <f>IFERROR(__xludf.DUMMYFUNCTION("""COMPUTED_VALUE"""),"")</f>
        <v/>
      </c>
    </row>
    <row r="1697">
      <c r="A1697" s="17"/>
      <c r="B1697" s="23"/>
      <c r="C1697" s="17">
        <f>IFERROR(__xludf.DUMMYFUNCTION("""COMPUTED_VALUE"""),43536.8798762152)</f>
        <v>43536.87988</v>
      </c>
      <c r="D1697" s="23">
        <f>IFERROR(__xludf.DUMMYFUNCTION("""COMPUTED_VALUE"""),1.042)</f>
        <v>1.042</v>
      </c>
      <c r="E1697" s="24">
        <f>IFERROR(__xludf.DUMMYFUNCTION("""COMPUTED_VALUE"""),68.0)</f>
        <v>68</v>
      </c>
      <c r="F1697" s="27" t="str">
        <f>IFERROR(__xludf.DUMMYFUNCTION("""COMPUTED_VALUE"""),"BLACK")</f>
        <v>BLACK</v>
      </c>
      <c r="G1697" s="28" t="str">
        <f>IFERROR(__xludf.DUMMYFUNCTION("""COMPUTED_VALUE"""),"First Times a Charm Cider")</f>
        <v>First Times a Charm Cider</v>
      </c>
      <c r="H1697" s="27" t="str">
        <f>IFERROR(__xludf.DUMMYFUNCTION("""COMPUTED_VALUE"""),"")</f>
        <v/>
      </c>
    </row>
    <row r="1698">
      <c r="A1698" s="17"/>
      <c r="B1698" s="23"/>
      <c r="C1698" s="17">
        <f>IFERROR(__xludf.DUMMYFUNCTION("""COMPUTED_VALUE"""),43536.8694567476)</f>
        <v>43536.86946</v>
      </c>
      <c r="D1698" s="23">
        <f>IFERROR(__xludf.DUMMYFUNCTION("""COMPUTED_VALUE"""),1.042)</f>
        <v>1.042</v>
      </c>
      <c r="E1698" s="24">
        <f>IFERROR(__xludf.DUMMYFUNCTION("""COMPUTED_VALUE"""),68.0)</f>
        <v>68</v>
      </c>
      <c r="F1698" s="27" t="str">
        <f>IFERROR(__xludf.DUMMYFUNCTION("""COMPUTED_VALUE"""),"BLACK")</f>
        <v>BLACK</v>
      </c>
      <c r="G1698" s="28" t="str">
        <f>IFERROR(__xludf.DUMMYFUNCTION("""COMPUTED_VALUE"""),"First Times a Charm Cider")</f>
        <v>First Times a Charm Cider</v>
      </c>
      <c r="H1698" s="27" t="str">
        <f>IFERROR(__xludf.DUMMYFUNCTION("""COMPUTED_VALUE"""),"")</f>
        <v/>
      </c>
    </row>
    <row r="1699">
      <c r="A1699" s="17"/>
      <c r="B1699" s="23"/>
      <c r="C1699" s="17">
        <f>IFERROR(__xludf.DUMMYFUNCTION("""COMPUTED_VALUE"""),43536.859024375)</f>
        <v>43536.85902</v>
      </c>
      <c r="D1699" s="23">
        <f>IFERROR(__xludf.DUMMYFUNCTION("""COMPUTED_VALUE"""),1.042)</f>
        <v>1.042</v>
      </c>
      <c r="E1699" s="24">
        <f>IFERROR(__xludf.DUMMYFUNCTION("""COMPUTED_VALUE"""),68.0)</f>
        <v>68</v>
      </c>
      <c r="F1699" s="27" t="str">
        <f>IFERROR(__xludf.DUMMYFUNCTION("""COMPUTED_VALUE"""),"BLACK")</f>
        <v>BLACK</v>
      </c>
      <c r="G1699" s="28" t="str">
        <f>IFERROR(__xludf.DUMMYFUNCTION("""COMPUTED_VALUE"""),"First Times a Charm Cider")</f>
        <v>First Times a Charm Cider</v>
      </c>
      <c r="H1699" s="27" t="str">
        <f>IFERROR(__xludf.DUMMYFUNCTION("""COMPUTED_VALUE"""),"")</f>
        <v/>
      </c>
    </row>
    <row r="1700">
      <c r="A1700" s="17"/>
      <c r="B1700" s="23"/>
      <c r="C1700" s="17">
        <f>IFERROR(__xludf.DUMMYFUNCTION("""COMPUTED_VALUE"""),43536.8486020717)</f>
        <v>43536.8486</v>
      </c>
      <c r="D1700" s="23">
        <f>IFERROR(__xludf.DUMMYFUNCTION("""COMPUTED_VALUE"""),1.042)</f>
        <v>1.042</v>
      </c>
      <c r="E1700" s="24">
        <f>IFERROR(__xludf.DUMMYFUNCTION("""COMPUTED_VALUE"""),68.0)</f>
        <v>68</v>
      </c>
      <c r="F1700" s="27" t="str">
        <f>IFERROR(__xludf.DUMMYFUNCTION("""COMPUTED_VALUE"""),"BLACK")</f>
        <v>BLACK</v>
      </c>
      <c r="G1700" s="28" t="str">
        <f>IFERROR(__xludf.DUMMYFUNCTION("""COMPUTED_VALUE"""),"First Times a Charm Cider")</f>
        <v>First Times a Charm Cider</v>
      </c>
      <c r="H1700" s="27" t="str">
        <f>IFERROR(__xludf.DUMMYFUNCTION("""COMPUTED_VALUE"""),"")</f>
        <v/>
      </c>
    </row>
    <row r="1701">
      <c r="A1701" s="17"/>
      <c r="B1701" s="23"/>
      <c r="C1701" s="17">
        <f>IFERROR(__xludf.DUMMYFUNCTION("""COMPUTED_VALUE"""),43536.8381795833)</f>
        <v>43536.83818</v>
      </c>
      <c r="D1701" s="23">
        <f>IFERROR(__xludf.DUMMYFUNCTION("""COMPUTED_VALUE"""),1.042)</f>
        <v>1.042</v>
      </c>
      <c r="E1701" s="24">
        <f>IFERROR(__xludf.DUMMYFUNCTION("""COMPUTED_VALUE"""),68.0)</f>
        <v>68</v>
      </c>
      <c r="F1701" s="27" t="str">
        <f>IFERROR(__xludf.DUMMYFUNCTION("""COMPUTED_VALUE"""),"BLACK")</f>
        <v>BLACK</v>
      </c>
      <c r="G1701" s="28" t="str">
        <f>IFERROR(__xludf.DUMMYFUNCTION("""COMPUTED_VALUE"""),"First Times a Charm Cider")</f>
        <v>First Times a Charm Cider</v>
      </c>
      <c r="H1701" s="27" t="str">
        <f>IFERROR(__xludf.DUMMYFUNCTION("""COMPUTED_VALUE"""),"")</f>
        <v/>
      </c>
    </row>
    <row r="1702">
      <c r="A1702" s="17"/>
      <c r="B1702" s="23"/>
      <c r="C1702" s="17">
        <f>IFERROR(__xludf.DUMMYFUNCTION("""COMPUTED_VALUE"""),43536.8277591203)</f>
        <v>43536.82776</v>
      </c>
      <c r="D1702" s="23">
        <f>IFERROR(__xludf.DUMMYFUNCTION("""COMPUTED_VALUE"""),1.042)</f>
        <v>1.042</v>
      </c>
      <c r="E1702" s="24">
        <f>IFERROR(__xludf.DUMMYFUNCTION("""COMPUTED_VALUE"""),68.0)</f>
        <v>68</v>
      </c>
      <c r="F1702" s="27" t="str">
        <f>IFERROR(__xludf.DUMMYFUNCTION("""COMPUTED_VALUE"""),"BLACK")</f>
        <v>BLACK</v>
      </c>
      <c r="G1702" s="28" t="str">
        <f>IFERROR(__xludf.DUMMYFUNCTION("""COMPUTED_VALUE"""),"First Times a Charm Cider")</f>
        <v>First Times a Charm Cider</v>
      </c>
      <c r="H1702" s="27" t="str">
        <f>IFERROR(__xludf.DUMMYFUNCTION("""COMPUTED_VALUE"""),"")</f>
        <v/>
      </c>
    </row>
    <row r="1703">
      <c r="A1703" s="17"/>
      <c r="B1703" s="23"/>
      <c r="C1703" s="17">
        <f>IFERROR(__xludf.DUMMYFUNCTION("""COMPUTED_VALUE"""),43536.817338831)</f>
        <v>43536.81734</v>
      </c>
      <c r="D1703" s="23">
        <f>IFERROR(__xludf.DUMMYFUNCTION("""COMPUTED_VALUE"""),1.042)</f>
        <v>1.042</v>
      </c>
      <c r="E1703" s="24">
        <f>IFERROR(__xludf.DUMMYFUNCTION("""COMPUTED_VALUE"""),68.0)</f>
        <v>68</v>
      </c>
      <c r="F1703" s="27" t="str">
        <f>IFERROR(__xludf.DUMMYFUNCTION("""COMPUTED_VALUE"""),"BLACK")</f>
        <v>BLACK</v>
      </c>
      <c r="G1703" s="28" t="str">
        <f>IFERROR(__xludf.DUMMYFUNCTION("""COMPUTED_VALUE"""),"First Times a Charm Cider")</f>
        <v>First Times a Charm Cider</v>
      </c>
      <c r="H1703" s="27" t="str">
        <f>IFERROR(__xludf.DUMMYFUNCTION("""COMPUTED_VALUE"""),"")</f>
        <v/>
      </c>
    </row>
    <row r="1704">
      <c r="A1704" s="17"/>
      <c r="B1704" s="23"/>
      <c r="C1704" s="17">
        <f>IFERROR(__xludf.DUMMYFUNCTION("""COMPUTED_VALUE"""),43536.8069176388)</f>
        <v>43536.80692</v>
      </c>
      <c r="D1704" s="23">
        <f>IFERROR(__xludf.DUMMYFUNCTION("""COMPUTED_VALUE"""),1.042)</f>
        <v>1.042</v>
      </c>
      <c r="E1704" s="24">
        <f>IFERROR(__xludf.DUMMYFUNCTION("""COMPUTED_VALUE"""),68.0)</f>
        <v>68</v>
      </c>
      <c r="F1704" s="27" t="str">
        <f>IFERROR(__xludf.DUMMYFUNCTION("""COMPUTED_VALUE"""),"BLACK")</f>
        <v>BLACK</v>
      </c>
      <c r="G1704" s="28" t="str">
        <f>IFERROR(__xludf.DUMMYFUNCTION("""COMPUTED_VALUE"""),"First Times a Charm Cider")</f>
        <v>First Times a Charm Cider</v>
      </c>
      <c r="H1704" s="27" t="str">
        <f>IFERROR(__xludf.DUMMYFUNCTION("""COMPUTED_VALUE"""),"")</f>
        <v/>
      </c>
    </row>
    <row r="1705">
      <c r="A1705" s="17"/>
      <c r="B1705" s="23"/>
      <c r="C1705" s="17">
        <f>IFERROR(__xludf.DUMMYFUNCTION("""COMPUTED_VALUE"""),43536.7964953587)</f>
        <v>43536.7965</v>
      </c>
      <c r="D1705" s="23">
        <f>IFERROR(__xludf.DUMMYFUNCTION("""COMPUTED_VALUE"""),1.042)</f>
        <v>1.042</v>
      </c>
      <c r="E1705" s="24">
        <f>IFERROR(__xludf.DUMMYFUNCTION("""COMPUTED_VALUE"""),68.0)</f>
        <v>68</v>
      </c>
      <c r="F1705" s="27" t="str">
        <f>IFERROR(__xludf.DUMMYFUNCTION("""COMPUTED_VALUE"""),"BLACK")</f>
        <v>BLACK</v>
      </c>
      <c r="G1705" s="28" t="str">
        <f>IFERROR(__xludf.DUMMYFUNCTION("""COMPUTED_VALUE"""),"First Times a Charm Cider")</f>
        <v>First Times a Charm Cider</v>
      </c>
      <c r="H1705" s="27" t="str">
        <f>IFERROR(__xludf.DUMMYFUNCTION("""COMPUTED_VALUE"""),"")</f>
        <v/>
      </c>
    </row>
    <row r="1706">
      <c r="A1706" s="17"/>
      <c r="B1706" s="23"/>
      <c r="C1706" s="17">
        <f>IFERROR(__xludf.DUMMYFUNCTION("""COMPUTED_VALUE"""),43536.7860736111)</f>
        <v>43536.78607</v>
      </c>
      <c r="D1706" s="23">
        <f>IFERROR(__xludf.DUMMYFUNCTION("""COMPUTED_VALUE"""),1.042)</f>
        <v>1.042</v>
      </c>
      <c r="E1706" s="24">
        <f>IFERROR(__xludf.DUMMYFUNCTION("""COMPUTED_VALUE"""),68.0)</f>
        <v>68</v>
      </c>
      <c r="F1706" s="27" t="str">
        <f>IFERROR(__xludf.DUMMYFUNCTION("""COMPUTED_VALUE"""),"BLACK")</f>
        <v>BLACK</v>
      </c>
      <c r="G1706" s="28" t="str">
        <f>IFERROR(__xludf.DUMMYFUNCTION("""COMPUTED_VALUE"""),"First Times a Charm Cider")</f>
        <v>First Times a Charm Cider</v>
      </c>
      <c r="H1706" s="27" t="str">
        <f>IFERROR(__xludf.DUMMYFUNCTION("""COMPUTED_VALUE"""),"")</f>
        <v/>
      </c>
    </row>
    <row r="1707">
      <c r="A1707" s="17"/>
      <c r="B1707" s="23"/>
      <c r="C1707" s="17">
        <f>IFERROR(__xludf.DUMMYFUNCTION("""COMPUTED_VALUE"""),43536.7756529513)</f>
        <v>43536.77565</v>
      </c>
      <c r="D1707" s="23">
        <f>IFERROR(__xludf.DUMMYFUNCTION("""COMPUTED_VALUE"""),1.043)</f>
        <v>1.043</v>
      </c>
      <c r="E1707" s="24">
        <f>IFERROR(__xludf.DUMMYFUNCTION("""COMPUTED_VALUE"""),68.0)</f>
        <v>68</v>
      </c>
      <c r="F1707" s="27" t="str">
        <f>IFERROR(__xludf.DUMMYFUNCTION("""COMPUTED_VALUE"""),"BLACK")</f>
        <v>BLACK</v>
      </c>
      <c r="G1707" s="28" t="str">
        <f>IFERROR(__xludf.DUMMYFUNCTION("""COMPUTED_VALUE"""),"First Times a Charm Cider")</f>
        <v>First Times a Charm Cider</v>
      </c>
      <c r="H1707" s="27" t="str">
        <f>IFERROR(__xludf.DUMMYFUNCTION("""COMPUTED_VALUE"""),"")</f>
        <v/>
      </c>
    </row>
    <row r="1708">
      <c r="A1708" s="17"/>
      <c r="B1708" s="23"/>
      <c r="C1708" s="17">
        <f>IFERROR(__xludf.DUMMYFUNCTION("""COMPUTED_VALUE"""),43536.7652094907)</f>
        <v>43536.76521</v>
      </c>
      <c r="D1708" s="23">
        <f>IFERROR(__xludf.DUMMYFUNCTION("""COMPUTED_VALUE"""),1.042)</f>
        <v>1.042</v>
      </c>
      <c r="E1708" s="24">
        <f>IFERROR(__xludf.DUMMYFUNCTION("""COMPUTED_VALUE"""),68.0)</f>
        <v>68</v>
      </c>
      <c r="F1708" s="27" t="str">
        <f>IFERROR(__xludf.DUMMYFUNCTION("""COMPUTED_VALUE"""),"BLACK")</f>
        <v>BLACK</v>
      </c>
      <c r="G1708" s="28" t="str">
        <f>IFERROR(__xludf.DUMMYFUNCTION("""COMPUTED_VALUE"""),"First Times a Charm Cider")</f>
        <v>First Times a Charm Cider</v>
      </c>
      <c r="H1708" s="27" t="str">
        <f>IFERROR(__xludf.DUMMYFUNCTION("""COMPUTED_VALUE"""),"")</f>
        <v/>
      </c>
    </row>
    <row r="1709">
      <c r="A1709" s="17"/>
      <c r="B1709" s="23"/>
      <c r="C1709" s="17">
        <f>IFERROR(__xludf.DUMMYFUNCTION("""COMPUTED_VALUE"""),43536.7547879745)</f>
        <v>43536.75479</v>
      </c>
      <c r="D1709" s="23">
        <f>IFERROR(__xludf.DUMMYFUNCTION("""COMPUTED_VALUE"""),1.042)</f>
        <v>1.042</v>
      </c>
      <c r="E1709" s="24">
        <f>IFERROR(__xludf.DUMMYFUNCTION("""COMPUTED_VALUE"""),68.0)</f>
        <v>68</v>
      </c>
      <c r="F1709" s="27" t="str">
        <f>IFERROR(__xludf.DUMMYFUNCTION("""COMPUTED_VALUE"""),"BLACK")</f>
        <v>BLACK</v>
      </c>
      <c r="G1709" s="28" t="str">
        <f>IFERROR(__xludf.DUMMYFUNCTION("""COMPUTED_VALUE"""),"First Times a Charm Cider")</f>
        <v>First Times a Charm Cider</v>
      </c>
      <c r="H1709" s="27" t="str">
        <f>IFERROR(__xludf.DUMMYFUNCTION("""COMPUTED_VALUE"""),"")</f>
        <v/>
      </c>
    </row>
    <row r="1710">
      <c r="A1710" s="17"/>
      <c r="B1710" s="23"/>
      <c r="C1710" s="17">
        <f>IFERROR(__xludf.DUMMYFUNCTION("""COMPUTED_VALUE"""),43536.7443547222)</f>
        <v>43536.74435</v>
      </c>
      <c r="D1710" s="23">
        <f>IFERROR(__xludf.DUMMYFUNCTION("""COMPUTED_VALUE"""),1.042)</f>
        <v>1.042</v>
      </c>
      <c r="E1710" s="24">
        <f>IFERROR(__xludf.DUMMYFUNCTION("""COMPUTED_VALUE"""),68.0)</f>
        <v>68</v>
      </c>
      <c r="F1710" s="27" t="str">
        <f>IFERROR(__xludf.DUMMYFUNCTION("""COMPUTED_VALUE"""),"BLACK")</f>
        <v>BLACK</v>
      </c>
      <c r="G1710" s="28" t="str">
        <f>IFERROR(__xludf.DUMMYFUNCTION("""COMPUTED_VALUE"""),"First Times a Charm Cider")</f>
        <v>First Times a Charm Cider</v>
      </c>
      <c r="H1710" s="27" t="str">
        <f>IFERROR(__xludf.DUMMYFUNCTION("""COMPUTED_VALUE"""),"")</f>
        <v/>
      </c>
    </row>
    <row r="1711">
      <c r="A1711" s="17"/>
      <c r="B1711" s="23"/>
      <c r="C1711" s="17">
        <f>IFERROR(__xludf.DUMMYFUNCTION("""COMPUTED_VALUE"""),43536.7339226157)</f>
        <v>43536.73392</v>
      </c>
      <c r="D1711" s="23">
        <f>IFERROR(__xludf.DUMMYFUNCTION("""COMPUTED_VALUE"""),1.043)</f>
        <v>1.043</v>
      </c>
      <c r="E1711" s="24">
        <f>IFERROR(__xludf.DUMMYFUNCTION("""COMPUTED_VALUE"""),68.0)</f>
        <v>68</v>
      </c>
      <c r="F1711" s="27" t="str">
        <f>IFERROR(__xludf.DUMMYFUNCTION("""COMPUTED_VALUE"""),"BLACK")</f>
        <v>BLACK</v>
      </c>
      <c r="G1711" s="28" t="str">
        <f>IFERROR(__xludf.DUMMYFUNCTION("""COMPUTED_VALUE"""),"First Times a Charm Cider")</f>
        <v>First Times a Charm Cider</v>
      </c>
      <c r="H1711" s="27" t="str">
        <f>IFERROR(__xludf.DUMMYFUNCTION("""COMPUTED_VALUE"""),"")</f>
        <v/>
      </c>
    </row>
    <row r="1712">
      <c r="A1712" s="17"/>
      <c r="B1712" s="23"/>
      <c r="C1712" s="17">
        <f>IFERROR(__xludf.DUMMYFUNCTION("""COMPUTED_VALUE"""),43536.7234900115)</f>
        <v>43536.72349</v>
      </c>
      <c r="D1712" s="23">
        <f>IFERROR(__xludf.DUMMYFUNCTION("""COMPUTED_VALUE"""),1.043)</f>
        <v>1.043</v>
      </c>
      <c r="E1712" s="24">
        <f>IFERROR(__xludf.DUMMYFUNCTION("""COMPUTED_VALUE"""),68.0)</f>
        <v>68</v>
      </c>
      <c r="F1712" s="27" t="str">
        <f>IFERROR(__xludf.DUMMYFUNCTION("""COMPUTED_VALUE"""),"BLACK")</f>
        <v>BLACK</v>
      </c>
      <c r="G1712" s="28" t="str">
        <f>IFERROR(__xludf.DUMMYFUNCTION("""COMPUTED_VALUE"""),"First Times a Charm Cider")</f>
        <v>First Times a Charm Cider</v>
      </c>
      <c r="H1712" s="27" t="str">
        <f>IFERROR(__xludf.DUMMYFUNCTION("""COMPUTED_VALUE"""),"")</f>
        <v/>
      </c>
    </row>
    <row r="1713">
      <c r="A1713" s="17"/>
      <c r="B1713" s="23"/>
      <c r="C1713" s="17">
        <f>IFERROR(__xludf.DUMMYFUNCTION("""COMPUTED_VALUE"""),43536.7130698495)</f>
        <v>43536.71307</v>
      </c>
      <c r="D1713" s="23">
        <f>IFERROR(__xludf.DUMMYFUNCTION("""COMPUTED_VALUE"""),1.042)</f>
        <v>1.042</v>
      </c>
      <c r="E1713" s="24">
        <f>IFERROR(__xludf.DUMMYFUNCTION("""COMPUTED_VALUE"""),68.0)</f>
        <v>68</v>
      </c>
      <c r="F1713" s="27" t="str">
        <f>IFERROR(__xludf.DUMMYFUNCTION("""COMPUTED_VALUE"""),"BLACK")</f>
        <v>BLACK</v>
      </c>
      <c r="G1713" s="28" t="str">
        <f>IFERROR(__xludf.DUMMYFUNCTION("""COMPUTED_VALUE"""),"First Times a Charm Cider")</f>
        <v>First Times a Charm Cider</v>
      </c>
      <c r="H1713" s="27" t="str">
        <f>IFERROR(__xludf.DUMMYFUNCTION("""COMPUTED_VALUE"""),"")</f>
        <v/>
      </c>
    </row>
    <row r="1714">
      <c r="A1714" s="17"/>
      <c r="B1714" s="23"/>
      <c r="C1714" s="17">
        <f>IFERROR(__xludf.DUMMYFUNCTION("""COMPUTED_VALUE"""),43536.7026494328)</f>
        <v>43536.70265</v>
      </c>
      <c r="D1714" s="23">
        <f>IFERROR(__xludf.DUMMYFUNCTION("""COMPUTED_VALUE"""),1.043)</f>
        <v>1.043</v>
      </c>
      <c r="E1714" s="24">
        <f>IFERROR(__xludf.DUMMYFUNCTION("""COMPUTED_VALUE"""),68.0)</f>
        <v>68</v>
      </c>
      <c r="F1714" s="27" t="str">
        <f>IFERROR(__xludf.DUMMYFUNCTION("""COMPUTED_VALUE"""),"BLACK")</f>
        <v>BLACK</v>
      </c>
      <c r="G1714" s="28" t="str">
        <f>IFERROR(__xludf.DUMMYFUNCTION("""COMPUTED_VALUE"""),"First Times a Charm Cider")</f>
        <v>First Times a Charm Cider</v>
      </c>
      <c r="H1714" s="27" t="str">
        <f>IFERROR(__xludf.DUMMYFUNCTION("""COMPUTED_VALUE"""),"")</f>
        <v/>
      </c>
    </row>
    <row r="1715">
      <c r="A1715" s="17"/>
      <c r="B1715" s="23"/>
      <c r="C1715" s="17">
        <f>IFERROR(__xludf.DUMMYFUNCTION("""COMPUTED_VALUE"""),43536.6922277314)</f>
        <v>43536.69223</v>
      </c>
      <c r="D1715" s="23">
        <f>IFERROR(__xludf.DUMMYFUNCTION("""COMPUTED_VALUE"""),1.043)</f>
        <v>1.043</v>
      </c>
      <c r="E1715" s="24">
        <f>IFERROR(__xludf.DUMMYFUNCTION("""COMPUTED_VALUE"""),68.0)</f>
        <v>68</v>
      </c>
      <c r="F1715" s="27" t="str">
        <f>IFERROR(__xludf.DUMMYFUNCTION("""COMPUTED_VALUE"""),"BLACK")</f>
        <v>BLACK</v>
      </c>
      <c r="G1715" s="28" t="str">
        <f>IFERROR(__xludf.DUMMYFUNCTION("""COMPUTED_VALUE"""),"First Times a Charm Cider")</f>
        <v>First Times a Charm Cider</v>
      </c>
      <c r="H1715" s="27" t="str">
        <f>IFERROR(__xludf.DUMMYFUNCTION("""COMPUTED_VALUE"""),"")</f>
        <v/>
      </c>
    </row>
    <row r="1716">
      <c r="A1716" s="17"/>
      <c r="B1716" s="23"/>
      <c r="C1716" s="17">
        <f>IFERROR(__xludf.DUMMYFUNCTION("""COMPUTED_VALUE"""),43536.6818061689)</f>
        <v>43536.68181</v>
      </c>
      <c r="D1716" s="23">
        <f>IFERROR(__xludf.DUMMYFUNCTION("""COMPUTED_VALUE"""),1.043)</f>
        <v>1.043</v>
      </c>
      <c r="E1716" s="24">
        <f>IFERROR(__xludf.DUMMYFUNCTION("""COMPUTED_VALUE"""),68.0)</f>
        <v>68</v>
      </c>
      <c r="F1716" s="27" t="str">
        <f>IFERROR(__xludf.DUMMYFUNCTION("""COMPUTED_VALUE"""),"BLACK")</f>
        <v>BLACK</v>
      </c>
      <c r="G1716" s="28" t="str">
        <f>IFERROR(__xludf.DUMMYFUNCTION("""COMPUTED_VALUE"""),"First Times a Charm Cider")</f>
        <v>First Times a Charm Cider</v>
      </c>
      <c r="H1716" s="27" t="str">
        <f>IFERROR(__xludf.DUMMYFUNCTION("""COMPUTED_VALUE"""),"")</f>
        <v/>
      </c>
    </row>
    <row r="1717">
      <c r="A1717" s="17"/>
      <c r="B1717" s="23"/>
      <c r="C1717" s="17">
        <f>IFERROR(__xludf.DUMMYFUNCTION("""COMPUTED_VALUE"""),43536.6713735648)</f>
        <v>43536.67137</v>
      </c>
      <c r="D1717" s="23">
        <f>IFERROR(__xludf.DUMMYFUNCTION("""COMPUTED_VALUE"""),1.043)</f>
        <v>1.043</v>
      </c>
      <c r="E1717" s="24">
        <f>IFERROR(__xludf.DUMMYFUNCTION("""COMPUTED_VALUE"""),68.0)</f>
        <v>68</v>
      </c>
      <c r="F1717" s="27" t="str">
        <f>IFERROR(__xludf.DUMMYFUNCTION("""COMPUTED_VALUE"""),"BLACK")</f>
        <v>BLACK</v>
      </c>
      <c r="G1717" s="28" t="str">
        <f>IFERROR(__xludf.DUMMYFUNCTION("""COMPUTED_VALUE"""),"First Times a Charm Cider")</f>
        <v>First Times a Charm Cider</v>
      </c>
      <c r="H1717" s="27" t="str">
        <f>IFERROR(__xludf.DUMMYFUNCTION("""COMPUTED_VALUE"""),"")</f>
        <v/>
      </c>
    </row>
    <row r="1718">
      <c r="A1718" s="17"/>
      <c r="B1718" s="23"/>
      <c r="C1718" s="17">
        <f>IFERROR(__xludf.DUMMYFUNCTION("""COMPUTED_VALUE"""),43536.6609524652)</f>
        <v>43536.66095</v>
      </c>
      <c r="D1718" s="23">
        <f>IFERROR(__xludf.DUMMYFUNCTION("""COMPUTED_VALUE"""),1.042)</f>
        <v>1.042</v>
      </c>
      <c r="E1718" s="24">
        <f>IFERROR(__xludf.DUMMYFUNCTION("""COMPUTED_VALUE"""),68.0)</f>
        <v>68</v>
      </c>
      <c r="F1718" s="27" t="str">
        <f>IFERROR(__xludf.DUMMYFUNCTION("""COMPUTED_VALUE"""),"BLACK")</f>
        <v>BLACK</v>
      </c>
      <c r="G1718" s="28" t="str">
        <f>IFERROR(__xludf.DUMMYFUNCTION("""COMPUTED_VALUE"""),"First Times a Charm Cider")</f>
        <v>First Times a Charm Cider</v>
      </c>
      <c r="H1718" s="27" t="str">
        <f>IFERROR(__xludf.DUMMYFUNCTION("""COMPUTED_VALUE"""),"")</f>
        <v/>
      </c>
    </row>
    <row r="1719">
      <c r="A1719" s="17"/>
      <c r="B1719" s="23"/>
      <c r="C1719" s="17">
        <f>IFERROR(__xludf.DUMMYFUNCTION("""COMPUTED_VALUE"""),43536.6505311689)</f>
        <v>43536.65053</v>
      </c>
      <c r="D1719" s="23">
        <f>IFERROR(__xludf.DUMMYFUNCTION("""COMPUTED_VALUE"""),1.043)</f>
        <v>1.043</v>
      </c>
      <c r="E1719" s="24">
        <f>IFERROR(__xludf.DUMMYFUNCTION("""COMPUTED_VALUE"""),68.0)</f>
        <v>68</v>
      </c>
      <c r="F1719" s="27" t="str">
        <f>IFERROR(__xludf.DUMMYFUNCTION("""COMPUTED_VALUE"""),"BLACK")</f>
        <v>BLACK</v>
      </c>
      <c r="G1719" s="28" t="str">
        <f>IFERROR(__xludf.DUMMYFUNCTION("""COMPUTED_VALUE"""),"First Times a Charm Cider")</f>
        <v>First Times a Charm Cider</v>
      </c>
      <c r="H1719" s="27" t="str">
        <f>IFERROR(__xludf.DUMMYFUNCTION("""COMPUTED_VALUE"""),"")</f>
        <v/>
      </c>
    </row>
    <row r="1720">
      <c r="A1720" s="17"/>
      <c r="B1720" s="23"/>
      <c r="C1720" s="17">
        <f>IFERROR(__xludf.DUMMYFUNCTION("""COMPUTED_VALUE"""),43536.6401098032)</f>
        <v>43536.64011</v>
      </c>
      <c r="D1720" s="23">
        <f>IFERROR(__xludf.DUMMYFUNCTION("""COMPUTED_VALUE"""),1.043)</f>
        <v>1.043</v>
      </c>
      <c r="E1720" s="24">
        <f>IFERROR(__xludf.DUMMYFUNCTION("""COMPUTED_VALUE"""),68.0)</f>
        <v>68</v>
      </c>
      <c r="F1720" s="27" t="str">
        <f>IFERROR(__xludf.DUMMYFUNCTION("""COMPUTED_VALUE"""),"BLACK")</f>
        <v>BLACK</v>
      </c>
      <c r="G1720" s="28" t="str">
        <f>IFERROR(__xludf.DUMMYFUNCTION("""COMPUTED_VALUE"""),"First Times a Charm Cider")</f>
        <v>First Times a Charm Cider</v>
      </c>
      <c r="H1720" s="27" t="str">
        <f>IFERROR(__xludf.DUMMYFUNCTION("""COMPUTED_VALUE"""),"")</f>
        <v/>
      </c>
    </row>
    <row r="1721">
      <c r="A1721" s="17"/>
      <c r="B1721" s="23"/>
      <c r="C1721" s="17">
        <f>IFERROR(__xludf.DUMMYFUNCTION("""COMPUTED_VALUE"""),43536.629663831)</f>
        <v>43536.62966</v>
      </c>
      <c r="D1721" s="23">
        <f>IFERROR(__xludf.DUMMYFUNCTION("""COMPUTED_VALUE"""),1.043)</f>
        <v>1.043</v>
      </c>
      <c r="E1721" s="24">
        <f>IFERROR(__xludf.DUMMYFUNCTION("""COMPUTED_VALUE"""),68.0)</f>
        <v>68</v>
      </c>
      <c r="F1721" s="27" t="str">
        <f>IFERROR(__xludf.DUMMYFUNCTION("""COMPUTED_VALUE"""),"BLACK")</f>
        <v>BLACK</v>
      </c>
      <c r="G1721" s="28" t="str">
        <f>IFERROR(__xludf.DUMMYFUNCTION("""COMPUTED_VALUE"""),"First Times a Charm Cider")</f>
        <v>First Times a Charm Cider</v>
      </c>
      <c r="H1721" s="27" t="str">
        <f>IFERROR(__xludf.DUMMYFUNCTION("""COMPUTED_VALUE"""),"")</f>
        <v/>
      </c>
    </row>
    <row r="1722">
      <c r="A1722" s="17"/>
      <c r="B1722" s="23"/>
      <c r="C1722" s="17">
        <f>IFERROR(__xludf.DUMMYFUNCTION("""COMPUTED_VALUE"""),43536.6192425694)</f>
        <v>43536.61924</v>
      </c>
      <c r="D1722" s="23">
        <f>IFERROR(__xludf.DUMMYFUNCTION("""COMPUTED_VALUE"""),1.043)</f>
        <v>1.043</v>
      </c>
      <c r="E1722" s="24">
        <f>IFERROR(__xludf.DUMMYFUNCTION("""COMPUTED_VALUE"""),68.0)</f>
        <v>68</v>
      </c>
      <c r="F1722" s="27" t="str">
        <f>IFERROR(__xludf.DUMMYFUNCTION("""COMPUTED_VALUE"""),"BLACK")</f>
        <v>BLACK</v>
      </c>
      <c r="G1722" s="28" t="str">
        <f>IFERROR(__xludf.DUMMYFUNCTION("""COMPUTED_VALUE"""),"First Times a Charm Cider")</f>
        <v>First Times a Charm Cider</v>
      </c>
      <c r="H1722" s="27" t="str">
        <f>IFERROR(__xludf.DUMMYFUNCTION("""COMPUTED_VALUE"""),"")</f>
        <v/>
      </c>
    </row>
    <row r="1723">
      <c r="A1723" s="17"/>
      <c r="B1723" s="23"/>
      <c r="C1723" s="17">
        <f>IFERROR(__xludf.DUMMYFUNCTION("""COMPUTED_VALUE"""),43536.6088209953)</f>
        <v>43536.60882</v>
      </c>
      <c r="D1723" s="23">
        <f>IFERROR(__xludf.DUMMYFUNCTION("""COMPUTED_VALUE"""),1.043)</f>
        <v>1.043</v>
      </c>
      <c r="E1723" s="24">
        <f>IFERROR(__xludf.DUMMYFUNCTION("""COMPUTED_VALUE"""),68.0)</f>
        <v>68</v>
      </c>
      <c r="F1723" s="27" t="str">
        <f>IFERROR(__xludf.DUMMYFUNCTION("""COMPUTED_VALUE"""),"BLACK")</f>
        <v>BLACK</v>
      </c>
      <c r="G1723" s="28" t="str">
        <f>IFERROR(__xludf.DUMMYFUNCTION("""COMPUTED_VALUE"""),"First Times a Charm Cider")</f>
        <v>First Times a Charm Cider</v>
      </c>
      <c r="H1723" s="27" t="str">
        <f>IFERROR(__xludf.DUMMYFUNCTION("""COMPUTED_VALUE"""),"")</f>
        <v/>
      </c>
    </row>
    <row r="1724">
      <c r="A1724" s="17"/>
      <c r="B1724" s="23"/>
      <c r="C1724" s="17">
        <f>IFERROR(__xludf.DUMMYFUNCTION("""COMPUTED_VALUE"""),43536.5984003587)</f>
        <v>43536.5984</v>
      </c>
      <c r="D1724" s="23">
        <f>IFERROR(__xludf.DUMMYFUNCTION("""COMPUTED_VALUE"""),1.043)</f>
        <v>1.043</v>
      </c>
      <c r="E1724" s="24">
        <f>IFERROR(__xludf.DUMMYFUNCTION("""COMPUTED_VALUE"""),68.0)</f>
        <v>68</v>
      </c>
      <c r="F1724" s="27" t="str">
        <f>IFERROR(__xludf.DUMMYFUNCTION("""COMPUTED_VALUE"""),"BLACK")</f>
        <v>BLACK</v>
      </c>
      <c r="G1724" s="28" t="str">
        <f>IFERROR(__xludf.DUMMYFUNCTION("""COMPUTED_VALUE"""),"First Times a Charm Cider")</f>
        <v>First Times a Charm Cider</v>
      </c>
      <c r="H1724" s="27" t="str">
        <f>IFERROR(__xludf.DUMMYFUNCTION("""COMPUTED_VALUE"""),"")</f>
        <v/>
      </c>
    </row>
    <row r="1725">
      <c r="A1725" s="17"/>
      <c r="B1725" s="23"/>
      <c r="C1725" s="17">
        <f>IFERROR(__xludf.DUMMYFUNCTION("""COMPUTED_VALUE"""),43536.587978831)</f>
        <v>43536.58798</v>
      </c>
      <c r="D1725" s="23">
        <f>IFERROR(__xludf.DUMMYFUNCTION("""COMPUTED_VALUE"""),1.043)</f>
        <v>1.043</v>
      </c>
      <c r="E1725" s="24">
        <f>IFERROR(__xludf.DUMMYFUNCTION("""COMPUTED_VALUE"""),68.0)</f>
        <v>68</v>
      </c>
      <c r="F1725" s="27" t="str">
        <f>IFERROR(__xludf.DUMMYFUNCTION("""COMPUTED_VALUE"""),"BLACK")</f>
        <v>BLACK</v>
      </c>
      <c r="G1725" s="28" t="str">
        <f>IFERROR(__xludf.DUMMYFUNCTION("""COMPUTED_VALUE"""),"First Times a Charm Cider")</f>
        <v>First Times a Charm Cider</v>
      </c>
      <c r="H1725" s="27" t="str">
        <f>IFERROR(__xludf.DUMMYFUNCTION("""COMPUTED_VALUE"""),"")</f>
        <v/>
      </c>
    </row>
    <row r="1726">
      <c r="A1726" s="17"/>
      <c r="B1726" s="23"/>
      <c r="C1726" s="17">
        <f>IFERROR(__xludf.DUMMYFUNCTION("""COMPUTED_VALUE"""),43536.5775587615)</f>
        <v>43536.57756</v>
      </c>
      <c r="D1726" s="23">
        <f>IFERROR(__xludf.DUMMYFUNCTION("""COMPUTED_VALUE"""),1.043)</f>
        <v>1.043</v>
      </c>
      <c r="E1726" s="24">
        <f>IFERROR(__xludf.DUMMYFUNCTION("""COMPUTED_VALUE"""),68.0)</f>
        <v>68</v>
      </c>
      <c r="F1726" s="27" t="str">
        <f>IFERROR(__xludf.DUMMYFUNCTION("""COMPUTED_VALUE"""),"BLACK")</f>
        <v>BLACK</v>
      </c>
      <c r="G1726" s="28" t="str">
        <f>IFERROR(__xludf.DUMMYFUNCTION("""COMPUTED_VALUE"""),"First Times a Charm Cider")</f>
        <v>First Times a Charm Cider</v>
      </c>
      <c r="H1726" s="27" t="str">
        <f>IFERROR(__xludf.DUMMYFUNCTION("""COMPUTED_VALUE"""),"")</f>
        <v/>
      </c>
    </row>
    <row r="1727">
      <c r="A1727" s="17"/>
      <c r="B1727" s="23"/>
      <c r="C1727" s="17">
        <f>IFERROR(__xludf.DUMMYFUNCTION("""COMPUTED_VALUE"""),43536.5671372222)</f>
        <v>43536.56714</v>
      </c>
      <c r="D1727" s="23">
        <f>IFERROR(__xludf.DUMMYFUNCTION("""COMPUTED_VALUE"""),1.043)</f>
        <v>1.043</v>
      </c>
      <c r="E1727" s="24">
        <f>IFERROR(__xludf.DUMMYFUNCTION("""COMPUTED_VALUE"""),68.0)</f>
        <v>68</v>
      </c>
      <c r="F1727" s="27" t="str">
        <f>IFERROR(__xludf.DUMMYFUNCTION("""COMPUTED_VALUE"""),"BLACK")</f>
        <v>BLACK</v>
      </c>
      <c r="G1727" s="28" t="str">
        <f>IFERROR(__xludf.DUMMYFUNCTION("""COMPUTED_VALUE"""),"First Times a Charm Cider")</f>
        <v>First Times a Charm Cider</v>
      </c>
      <c r="H1727" s="27" t="str">
        <f>IFERROR(__xludf.DUMMYFUNCTION("""COMPUTED_VALUE"""),"")</f>
        <v/>
      </c>
    </row>
    <row r="1728">
      <c r="A1728" s="17"/>
      <c r="B1728" s="23"/>
      <c r="C1728" s="17">
        <f>IFERROR(__xludf.DUMMYFUNCTION("""COMPUTED_VALUE"""),43536.5567147685)</f>
        <v>43536.55671</v>
      </c>
      <c r="D1728" s="23">
        <f>IFERROR(__xludf.DUMMYFUNCTION("""COMPUTED_VALUE"""),1.043)</f>
        <v>1.043</v>
      </c>
      <c r="E1728" s="24">
        <f>IFERROR(__xludf.DUMMYFUNCTION("""COMPUTED_VALUE"""),68.0)</f>
        <v>68</v>
      </c>
      <c r="F1728" s="27" t="str">
        <f>IFERROR(__xludf.DUMMYFUNCTION("""COMPUTED_VALUE"""),"BLACK")</f>
        <v>BLACK</v>
      </c>
      <c r="G1728" s="28" t="str">
        <f>IFERROR(__xludf.DUMMYFUNCTION("""COMPUTED_VALUE"""),"First Times a Charm Cider")</f>
        <v>First Times a Charm Cider</v>
      </c>
      <c r="H1728" s="27" t="str">
        <f>IFERROR(__xludf.DUMMYFUNCTION("""COMPUTED_VALUE"""),"")</f>
        <v/>
      </c>
    </row>
    <row r="1729">
      <c r="A1729" s="17"/>
      <c r="B1729" s="23"/>
      <c r="C1729" s="17">
        <f>IFERROR(__xludf.DUMMYFUNCTION("""COMPUTED_VALUE"""),43536.5462947916)</f>
        <v>43536.54629</v>
      </c>
      <c r="D1729" s="23">
        <f>IFERROR(__xludf.DUMMYFUNCTION("""COMPUTED_VALUE"""),1.043)</f>
        <v>1.043</v>
      </c>
      <c r="E1729" s="24">
        <f>IFERROR(__xludf.DUMMYFUNCTION("""COMPUTED_VALUE"""),68.0)</f>
        <v>68</v>
      </c>
      <c r="F1729" s="27" t="str">
        <f>IFERROR(__xludf.DUMMYFUNCTION("""COMPUTED_VALUE"""),"BLACK")</f>
        <v>BLACK</v>
      </c>
      <c r="G1729" s="28" t="str">
        <f>IFERROR(__xludf.DUMMYFUNCTION("""COMPUTED_VALUE"""),"First Times a Charm Cider")</f>
        <v>First Times a Charm Cider</v>
      </c>
      <c r="H1729" s="27" t="str">
        <f>IFERROR(__xludf.DUMMYFUNCTION("""COMPUTED_VALUE"""),"")</f>
        <v/>
      </c>
    </row>
    <row r="1730">
      <c r="A1730" s="17"/>
      <c r="B1730" s="23"/>
      <c r="C1730" s="17">
        <f>IFERROR(__xludf.DUMMYFUNCTION("""COMPUTED_VALUE"""),43536.5358730324)</f>
        <v>43536.53587</v>
      </c>
      <c r="D1730" s="23">
        <f>IFERROR(__xludf.DUMMYFUNCTION("""COMPUTED_VALUE"""),1.043)</f>
        <v>1.043</v>
      </c>
      <c r="E1730" s="24">
        <f>IFERROR(__xludf.DUMMYFUNCTION("""COMPUTED_VALUE"""),68.0)</f>
        <v>68</v>
      </c>
      <c r="F1730" s="27" t="str">
        <f>IFERROR(__xludf.DUMMYFUNCTION("""COMPUTED_VALUE"""),"BLACK")</f>
        <v>BLACK</v>
      </c>
      <c r="G1730" s="28" t="str">
        <f>IFERROR(__xludf.DUMMYFUNCTION("""COMPUTED_VALUE"""),"First Times a Charm Cider")</f>
        <v>First Times a Charm Cider</v>
      </c>
      <c r="H1730" s="27" t="str">
        <f>IFERROR(__xludf.DUMMYFUNCTION("""COMPUTED_VALUE"""),"")</f>
        <v/>
      </c>
    </row>
    <row r="1731">
      <c r="A1731" s="17"/>
      <c r="B1731" s="23"/>
      <c r="C1731" s="17">
        <f>IFERROR(__xludf.DUMMYFUNCTION("""COMPUTED_VALUE"""),43536.5254531713)</f>
        <v>43536.52545</v>
      </c>
      <c r="D1731" s="23">
        <f>IFERROR(__xludf.DUMMYFUNCTION("""COMPUTED_VALUE"""),1.043)</f>
        <v>1.043</v>
      </c>
      <c r="E1731" s="24">
        <f>IFERROR(__xludf.DUMMYFUNCTION("""COMPUTED_VALUE"""),68.0)</f>
        <v>68</v>
      </c>
      <c r="F1731" s="27" t="str">
        <f>IFERROR(__xludf.DUMMYFUNCTION("""COMPUTED_VALUE"""),"BLACK")</f>
        <v>BLACK</v>
      </c>
      <c r="G1731" s="28" t="str">
        <f>IFERROR(__xludf.DUMMYFUNCTION("""COMPUTED_VALUE"""),"First Times a Charm Cider")</f>
        <v>First Times a Charm Cider</v>
      </c>
      <c r="H1731" s="27" t="str">
        <f>IFERROR(__xludf.DUMMYFUNCTION("""COMPUTED_VALUE"""),"")</f>
        <v/>
      </c>
    </row>
    <row r="1732">
      <c r="A1732" s="17"/>
      <c r="B1732" s="23"/>
      <c r="C1732" s="17">
        <f>IFERROR(__xludf.DUMMYFUNCTION("""COMPUTED_VALUE"""),43536.5150311458)</f>
        <v>43536.51503</v>
      </c>
      <c r="D1732" s="23">
        <f>IFERROR(__xludf.DUMMYFUNCTION("""COMPUTED_VALUE"""),1.043)</f>
        <v>1.043</v>
      </c>
      <c r="E1732" s="24">
        <f>IFERROR(__xludf.DUMMYFUNCTION("""COMPUTED_VALUE"""),68.0)</f>
        <v>68</v>
      </c>
      <c r="F1732" s="27" t="str">
        <f>IFERROR(__xludf.DUMMYFUNCTION("""COMPUTED_VALUE"""),"BLACK")</f>
        <v>BLACK</v>
      </c>
      <c r="G1732" s="28" t="str">
        <f>IFERROR(__xludf.DUMMYFUNCTION("""COMPUTED_VALUE"""),"First Times a Charm Cider")</f>
        <v>First Times a Charm Cider</v>
      </c>
      <c r="H1732" s="27" t="str">
        <f>IFERROR(__xludf.DUMMYFUNCTION("""COMPUTED_VALUE"""),"")</f>
        <v/>
      </c>
    </row>
    <row r="1733">
      <c r="A1733" s="17"/>
      <c r="B1733" s="23"/>
      <c r="C1733" s="17">
        <f>IFERROR(__xludf.DUMMYFUNCTION("""COMPUTED_VALUE"""),43536.5046098842)</f>
        <v>43536.50461</v>
      </c>
      <c r="D1733" s="23">
        <f>IFERROR(__xludf.DUMMYFUNCTION("""COMPUTED_VALUE"""),1.043)</f>
        <v>1.043</v>
      </c>
      <c r="E1733" s="24">
        <f>IFERROR(__xludf.DUMMYFUNCTION("""COMPUTED_VALUE"""),68.0)</f>
        <v>68</v>
      </c>
      <c r="F1733" s="27" t="str">
        <f>IFERROR(__xludf.DUMMYFUNCTION("""COMPUTED_VALUE"""),"BLACK")</f>
        <v>BLACK</v>
      </c>
      <c r="G1733" s="28" t="str">
        <f>IFERROR(__xludf.DUMMYFUNCTION("""COMPUTED_VALUE"""),"First Times a Charm Cider")</f>
        <v>First Times a Charm Cider</v>
      </c>
      <c r="H1733" s="27" t="str">
        <f>IFERROR(__xludf.DUMMYFUNCTION("""COMPUTED_VALUE"""),"")</f>
        <v/>
      </c>
    </row>
    <row r="1734">
      <c r="A1734" s="17"/>
      <c r="B1734" s="23"/>
      <c r="C1734" s="17">
        <f>IFERROR(__xludf.DUMMYFUNCTION("""COMPUTED_VALUE"""),43536.4941874652)</f>
        <v>43536.49419</v>
      </c>
      <c r="D1734" s="23">
        <f>IFERROR(__xludf.DUMMYFUNCTION("""COMPUTED_VALUE"""),1.043)</f>
        <v>1.043</v>
      </c>
      <c r="E1734" s="24">
        <f>IFERROR(__xludf.DUMMYFUNCTION("""COMPUTED_VALUE"""),68.0)</f>
        <v>68</v>
      </c>
      <c r="F1734" s="27" t="str">
        <f>IFERROR(__xludf.DUMMYFUNCTION("""COMPUTED_VALUE"""),"BLACK")</f>
        <v>BLACK</v>
      </c>
      <c r="G1734" s="28" t="str">
        <f>IFERROR(__xludf.DUMMYFUNCTION("""COMPUTED_VALUE"""),"First Times a Charm Cider")</f>
        <v>First Times a Charm Cider</v>
      </c>
      <c r="H1734" s="27" t="str">
        <f>IFERROR(__xludf.DUMMYFUNCTION("""COMPUTED_VALUE"""),"")</f>
        <v/>
      </c>
    </row>
    <row r="1735">
      <c r="A1735" s="17"/>
      <c r="B1735" s="23"/>
      <c r="C1735" s="17">
        <f>IFERROR(__xludf.DUMMYFUNCTION("""COMPUTED_VALUE"""),43536.4837667939)</f>
        <v>43536.48377</v>
      </c>
      <c r="D1735" s="23">
        <f>IFERROR(__xludf.DUMMYFUNCTION("""COMPUTED_VALUE"""),1.043)</f>
        <v>1.043</v>
      </c>
      <c r="E1735" s="24">
        <f>IFERROR(__xludf.DUMMYFUNCTION("""COMPUTED_VALUE"""),68.0)</f>
        <v>68</v>
      </c>
      <c r="F1735" s="27" t="str">
        <f>IFERROR(__xludf.DUMMYFUNCTION("""COMPUTED_VALUE"""),"BLACK")</f>
        <v>BLACK</v>
      </c>
      <c r="G1735" s="28" t="str">
        <f>IFERROR(__xludf.DUMMYFUNCTION("""COMPUTED_VALUE"""),"First Times a Charm Cider")</f>
        <v>First Times a Charm Cider</v>
      </c>
      <c r="H1735" s="27" t="str">
        <f>IFERROR(__xludf.DUMMYFUNCTION("""COMPUTED_VALUE"""),"")</f>
        <v/>
      </c>
    </row>
    <row r="1736">
      <c r="A1736" s="17"/>
      <c r="B1736" s="23"/>
      <c r="C1736" s="17">
        <f>IFERROR(__xludf.DUMMYFUNCTION("""COMPUTED_VALUE"""),43536.4733458217)</f>
        <v>43536.47335</v>
      </c>
      <c r="D1736" s="23">
        <f>IFERROR(__xludf.DUMMYFUNCTION("""COMPUTED_VALUE"""),1.043)</f>
        <v>1.043</v>
      </c>
      <c r="E1736" s="24">
        <f>IFERROR(__xludf.DUMMYFUNCTION("""COMPUTED_VALUE"""),68.0)</f>
        <v>68</v>
      </c>
      <c r="F1736" s="27" t="str">
        <f>IFERROR(__xludf.DUMMYFUNCTION("""COMPUTED_VALUE"""),"BLACK")</f>
        <v>BLACK</v>
      </c>
      <c r="G1736" s="28" t="str">
        <f>IFERROR(__xludf.DUMMYFUNCTION("""COMPUTED_VALUE"""),"First Times a Charm Cider")</f>
        <v>First Times a Charm Cider</v>
      </c>
      <c r="H1736" s="27" t="str">
        <f>IFERROR(__xludf.DUMMYFUNCTION("""COMPUTED_VALUE"""),"")</f>
        <v/>
      </c>
    </row>
    <row r="1737">
      <c r="A1737" s="17"/>
      <c r="B1737" s="23"/>
      <c r="C1737" s="17">
        <f>IFERROR(__xludf.DUMMYFUNCTION("""COMPUTED_VALUE"""),43536.4629273263)</f>
        <v>43536.46293</v>
      </c>
      <c r="D1737" s="23">
        <f>IFERROR(__xludf.DUMMYFUNCTION("""COMPUTED_VALUE"""),1.043)</f>
        <v>1.043</v>
      </c>
      <c r="E1737" s="24">
        <f>IFERROR(__xludf.DUMMYFUNCTION("""COMPUTED_VALUE"""),68.0)</f>
        <v>68</v>
      </c>
      <c r="F1737" s="27" t="str">
        <f>IFERROR(__xludf.DUMMYFUNCTION("""COMPUTED_VALUE"""),"BLACK")</f>
        <v>BLACK</v>
      </c>
      <c r="G1737" s="28" t="str">
        <f>IFERROR(__xludf.DUMMYFUNCTION("""COMPUTED_VALUE"""),"First Times a Charm Cider")</f>
        <v>First Times a Charm Cider</v>
      </c>
      <c r="H1737" s="27" t="str">
        <f>IFERROR(__xludf.DUMMYFUNCTION("""COMPUTED_VALUE"""),"")</f>
        <v/>
      </c>
    </row>
    <row r="1738">
      <c r="A1738" s="17"/>
      <c r="B1738" s="23"/>
      <c r="C1738" s="17">
        <f>IFERROR(__xludf.DUMMYFUNCTION("""COMPUTED_VALUE"""),43536.4525084953)</f>
        <v>43536.45251</v>
      </c>
      <c r="D1738" s="23">
        <f>IFERROR(__xludf.DUMMYFUNCTION("""COMPUTED_VALUE"""),1.043)</f>
        <v>1.043</v>
      </c>
      <c r="E1738" s="24">
        <f>IFERROR(__xludf.DUMMYFUNCTION("""COMPUTED_VALUE"""),68.0)</f>
        <v>68</v>
      </c>
      <c r="F1738" s="27" t="str">
        <f>IFERROR(__xludf.DUMMYFUNCTION("""COMPUTED_VALUE"""),"BLACK")</f>
        <v>BLACK</v>
      </c>
      <c r="G1738" s="28" t="str">
        <f>IFERROR(__xludf.DUMMYFUNCTION("""COMPUTED_VALUE"""),"First Times a Charm Cider")</f>
        <v>First Times a Charm Cider</v>
      </c>
      <c r="H1738" s="27" t="str">
        <f>IFERROR(__xludf.DUMMYFUNCTION("""COMPUTED_VALUE"""),"")</f>
        <v/>
      </c>
    </row>
    <row r="1739">
      <c r="A1739" s="17"/>
      <c r="B1739" s="23"/>
      <c r="C1739" s="17">
        <f>IFERROR(__xludf.DUMMYFUNCTION("""COMPUTED_VALUE"""),43536.4420871759)</f>
        <v>43536.44209</v>
      </c>
      <c r="D1739" s="23">
        <f>IFERROR(__xludf.DUMMYFUNCTION("""COMPUTED_VALUE"""),1.043)</f>
        <v>1.043</v>
      </c>
      <c r="E1739" s="24">
        <f>IFERROR(__xludf.DUMMYFUNCTION("""COMPUTED_VALUE"""),68.0)</f>
        <v>68</v>
      </c>
      <c r="F1739" s="27" t="str">
        <f>IFERROR(__xludf.DUMMYFUNCTION("""COMPUTED_VALUE"""),"BLACK")</f>
        <v>BLACK</v>
      </c>
      <c r="G1739" s="28" t="str">
        <f>IFERROR(__xludf.DUMMYFUNCTION("""COMPUTED_VALUE"""),"First Times a Charm Cider")</f>
        <v>First Times a Charm Cider</v>
      </c>
      <c r="H1739" s="27" t="str">
        <f>IFERROR(__xludf.DUMMYFUNCTION("""COMPUTED_VALUE"""),"")</f>
        <v/>
      </c>
    </row>
    <row r="1740">
      <c r="A1740" s="17"/>
      <c r="B1740" s="23"/>
      <c r="C1740" s="17">
        <f>IFERROR(__xludf.DUMMYFUNCTION("""COMPUTED_VALUE"""),43536.4316662152)</f>
        <v>43536.43167</v>
      </c>
      <c r="D1740" s="23">
        <f>IFERROR(__xludf.DUMMYFUNCTION("""COMPUTED_VALUE"""),1.043)</f>
        <v>1.043</v>
      </c>
      <c r="E1740" s="24">
        <f>IFERROR(__xludf.DUMMYFUNCTION("""COMPUTED_VALUE"""),68.0)</f>
        <v>68</v>
      </c>
      <c r="F1740" s="27" t="str">
        <f>IFERROR(__xludf.DUMMYFUNCTION("""COMPUTED_VALUE"""),"BLACK")</f>
        <v>BLACK</v>
      </c>
      <c r="G1740" s="28" t="str">
        <f>IFERROR(__xludf.DUMMYFUNCTION("""COMPUTED_VALUE"""),"First Times a Charm Cider")</f>
        <v>First Times a Charm Cider</v>
      </c>
      <c r="H1740" s="27" t="str">
        <f>IFERROR(__xludf.DUMMYFUNCTION("""COMPUTED_VALUE"""),"")</f>
        <v/>
      </c>
    </row>
    <row r="1741">
      <c r="A1741" s="17"/>
      <c r="B1741" s="23"/>
      <c r="C1741" s="17">
        <f>IFERROR(__xludf.DUMMYFUNCTION("""COMPUTED_VALUE"""),43536.4212446064)</f>
        <v>43536.42124</v>
      </c>
      <c r="D1741" s="23">
        <f>IFERROR(__xludf.DUMMYFUNCTION("""COMPUTED_VALUE"""),1.043)</f>
        <v>1.043</v>
      </c>
      <c r="E1741" s="24">
        <f>IFERROR(__xludf.DUMMYFUNCTION("""COMPUTED_VALUE"""),68.0)</f>
        <v>68</v>
      </c>
      <c r="F1741" s="27" t="str">
        <f>IFERROR(__xludf.DUMMYFUNCTION("""COMPUTED_VALUE"""),"BLACK")</f>
        <v>BLACK</v>
      </c>
      <c r="G1741" s="28" t="str">
        <f>IFERROR(__xludf.DUMMYFUNCTION("""COMPUTED_VALUE"""),"First Times a Charm Cider")</f>
        <v>First Times a Charm Cider</v>
      </c>
      <c r="H1741" s="27" t="str">
        <f>IFERROR(__xludf.DUMMYFUNCTION("""COMPUTED_VALUE"""),"")</f>
        <v/>
      </c>
    </row>
    <row r="1742">
      <c r="A1742" s="17"/>
      <c r="B1742" s="23"/>
      <c r="C1742" s="17">
        <f>IFERROR(__xludf.DUMMYFUNCTION("""COMPUTED_VALUE"""),43536.4108216319)</f>
        <v>43536.41082</v>
      </c>
      <c r="D1742" s="23">
        <f>IFERROR(__xludf.DUMMYFUNCTION("""COMPUTED_VALUE"""),1.043)</f>
        <v>1.043</v>
      </c>
      <c r="E1742" s="24">
        <f>IFERROR(__xludf.DUMMYFUNCTION("""COMPUTED_VALUE"""),68.0)</f>
        <v>68</v>
      </c>
      <c r="F1742" s="27" t="str">
        <f>IFERROR(__xludf.DUMMYFUNCTION("""COMPUTED_VALUE"""),"BLACK")</f>
        <v>BLACK</v>
      </c>
      <c r="G1742" s="28" t="str">
        <f>IFERROR(__xludf.DUMMYFUNCTION("""COMPUTED_VALUE"""),"First Times a Charm Cider")</f>
        <v>First Times a Charm Cider</v>
      </c>
      <c r="H1742" s="27" t="str">
        <f>IFERROR(__xludf.DUMMYFUNCTION("""COMPUTED_VALUE"""),"")</f>
        <v/>
      </c>
    </row>
    <row r="1743">
      <c r="A1743" s="17"/>
      <c r="B1743" s="23"/>
      <c r="C1743" s="17">
        <f>IFERROR(__xludf.DUMMYFUNCTION("""COMPUTED_VALUE"""),43536.4004012037)</f>
        <v>43536.4004</v>
      </c>
      <c r="D1743" s="23">
        <f>IFERROR(__xludf.DUMMYFUNCTION("""COMPUTED_VALUE"""),1.043)</f>
        <v>1.043</v>
      </c>
      <c r="E1743" s="24">
        <f>IFERROR(__xludf.DUMMYFUNCTION("""COMPUTED_VALUE"""),68.0)</f>
        <v>68</v>
      </c>
      <c r="F1743" s="27" t="str">
        <f>IFERROR(__xludf.DUMMYFUNCTION("""COMPUTED_VALUE"""),"BLACK")</f>
        <v>BLACK</v>
      </c>
      <c r="G1743" s="28" t="str">
        <f>IFERROR(__xludf.DUMMYFUNCTION("""COMPUTED_VALUE"""),"First Times a Charm Cider")</f>
        <v>First Times a Charm Cider</v>
      </c>
      <c r="H1743" s="27" t="str">
        <f>IFERROR(__xludf.DUMMYFUNCTION("""COMPUTED_VALUE"""),"")</f>
        <v/>
      </c>
    </row>
    <row r="1744">
      <c r="A1744" s="17"/>
      <c r="B1744" s="23"/>
      <c r="C1744" s="17">
        <f>IFERROR(__xludf.DUMMYFUNCTION("""COMPUTED_VALUE"""),43536.3899801041)</f>
        <v>43536.38998</v>
      </c>
      <c r="D1744" s="23">
        <f>IFERROR(__xludf.DUMMYFUNCTION("""COMPUTED_VALUE"""),1.043)</f>
        <v>1.043</v>
      </c>
      <c r="E1744" s="24">
        <f>IFERROR(__xludf.DUMMYFUNCTION("""COMPUTED_VALUE"""),68.0)</f>
        <v>68</v>
      </c>
      <c r="F1744" s="27" t="str">
        <f>IFERROR(__xludf.DUMMYFUNCTION("""COMPUTED_VALUE"""),"BLACK")</f>
        <v>BLACK</v>
      </c>
      <c r="G1744" s="28" t="str">
        <f>IFERROR(__xludf.DUMMYFUNCTION("""COMPUTED_VALUE"""),"First Times a Charm Cider")</f>
        <v>First Times a Charm Cider</v>
      </c>
      <c r="H1744" s="27" t="str">
        <f>IFERROR(__xludf.DUMMYFUNCTION("""COMPUTED_VALUE"""),"")</f>
        <v/>
      </c>
    </row>
    <row r="1745">
      <c r="A1745" s="17"/>
      <c r="B1745" s="23"/>
      <c r="C1745" s="17">
        <f>IFERROR(__xludf.DUMMYFUNCTION("""COMPUTED_VALUE"""),43536.3795605439)</f>
        <v>43536.37956</v>
      </c>
      <c r="D1745" s="23">
        <f>IFERROR(__xludf.DUMMYFUNCTION("""COMPUTED_VALUE"""),1.043)</f>
        <v>1.043</v>
      </c>
      <c r="E1745" s="24">
        <f>IFERROR(__xludf.DUMMYFUNCTION("""COMPUTED_VALUE"""),68.0)</f>
        <v>68</v>
      </c>
      <c r="F1745" s="27" t="str">
        <f>IFERROR(__xludf.DUMMYFUNCTION("""COMPUTED_VALUE"""),"BLACK")</f>
        <v>BLACK</v>
      </c>
      <c r="G1745" s="28" t="str">
        <f>IFERROR(__xludf.DUMMYFUNCTION("""COMPUTED_VALUE"""),"First Times a Charm Cider")</f>
        <v>First Times a Charm Cider</v>
      </c>
      <c r="H1745" s="27" t="str">
        <f>IFERROR(__xludf.DUMMYFUNCTION("""COMPUTED_VALUE"""),"")</f>
        <v/>
      </c>
    </row>
    <row r="1746">
      <c r="A1746" s="17"/>
      <c r="B1746" s="23"/>
      <c r="C1746" s="17">
        <f>IFERROR(__xludf.DUMMYFUNCTION("""COMPUTED_VALUE"""),43536.3691378703)</f>
        <v>43536.36914</v>
      </c>
      <c r="D1746" s="23">
        <f>IFERROR(__xludf.DUMMYFUNCTION("""COMPUTED_VALUE"""),1.043)</f>
        <v>1.043</v>
      </c>
      <c r="E1746" s="24">
        <f>IFERROR(__xludf.DUMMYFUNCTION("""COMPUTED_VALUE"""),68.0)</f>
        <v>68</v>
      </c>
      <c r="F1746" s="27" t="str">
        <f>IFERROR(__xludf.DUMMYFUNCTION("""COMPUTED_VALUE"""),"BLACK")</f>
        <v>BLACK</v>
      </c>
      <c r="G1746" s="28" t="str">
        <f>IFERROR(__xludf.DUMMYFUNCTION("""COMPUTED_VALUE"""),"First Times a Charm Cider")</f>
        <v>First Times a Charm Cider</v>
      </c>
      <c r="H1746" s="27" t="str">
        <f>IFERROR(__xludf.DUMMYFUNCTION("""COMPUTED_VALUE"""),"")</f>
        <v/>
      </c>
    </row>
    <row r="1747">
      <c r="A1747" s="17"/>
      <c r="B1747" s="23"/>
      <c r="C1747" s="17">
        <f>IFERROR(__xludf.DUMMYFUNCTION("""COMPUTED_VALUE"""),43536.3587164467)</f>
        <v>43536.35872</v>
      </c>
      <c r="D1747" s="23">
        <f>IFERROR(__xludf.DUMMYFUNCTION("""COMPUTED_VALUE"""),1.043)</f>
        <v>1.043</v>
      </c>
      <c r="E1747" s="24">
        <f>IFERROR(__xludf.DUMMYFUNCTION("""COMPUTED_VALUE"""),68.0)</f>
        <v>68</v>
      </c>
      <c r="F1747" s="27" t="str">
        <f>IFERROR(__xludf.DUMMYFUNCTION("""COMPUTED_VALUE"""),"BLACK")</f>
        <v>BLACK</v>
      </c>
      <c r="G1747" s="28" t="str">
        <f>IFERROR(__xludf.DUMMYFUNCTION("""COMPUTED_VALUE"""),"First Times a Charm Cider")</f>
        <v>First Times a Charm Cider</v>
      </c>
      <c r="H1747" s="27" t="str">
        <f>IFERROR(__xludf.DUMMYFUNCTION("""COMPUTED_VALUE"""),"")</f>
        <v/>
      </c>
    </row>
    <row r="1748">
      <c r="A1748" s="17"/>
      <c r="B1748" s="23"/>
      <c r="C1748" s="17">
        <f>IFERROR(__xludf.DUMMYFUNCTION("""COMPUTED_VALUE"""),43536.3482959259)</f>
        <v>43536.3483</v>
      </c>
      <c r="D1748" s="23">
        <f>IFERROR(__xludf.DUMMYFUNCTION("""COMPUTED_VALUE"""),1.043)</f>
        <v>1.043</v>
      </c>
      <c r="E1748" s="24">
        <f>IFERROR(__xludf.DUMMYFUNCTION("""COMPUTED_VALUE"""),68.0)</f>
        <v>68</v>
      </c>
      <c r="F1748" s="27" t="str">
        <f>IFERROR(__xludf.DUMMYFUNCTION("""COMPUTED_VALUE"""),"BLACK")</f>
        <v>BLACK</v>
      </c>
      <c r="G1748" s="28" t="str">
        <f>IFERROR(__xludf.DUMMYFUNCTION("""COMPUTED_VALUE"""),"First Times a Charm Cider")</f>
        <v>First Times a Charm Cider</v>
      </c>
      <c r="H1748" s="27" t="str">
        <f>IFERROR(__xludf.DUMMYFUNCTION("""COMPUTED_VALUE"""),"")</f>
        <v/>
      </c>
    </row>
    <row r="1749">
      <c r="A1749" s="17"/>
      <c r="B1749" s="23"/>
      <c r="C1749" s="17">
        <f>IFERROR(__xludf.DUMMYFUNCTION("""COMPUTED_VALUE"""),43536.3378733796)</f>
        <v>43536.33787</v>
      </c>
      <c r="D1749" s="23">
        <f>IFERROR(__xludf.DUMMYFUNCTION("""COMPUTED_VALUE"""),1.043)</f>
        <v>1.043</v>
      </c>
      <c r="E1749" s="24">
        <f>IFERROR(__xludf.DUMMYFUNCTION("""COMPUTED_VALUE"""),68.0)</f>
        <v>68</v>
      </c>
      <c r="F1749" s="27" t="str">
        <f>IFERROR(__xludf.DUMMYFUNCTION("""COMPUTED_VALUE"""),"BLACK")</f>
        <v>BLACK</v>
      </c>
      <c r="G1749" s="28" t="str">
        <f>IFERROR(__xludf.DUMMYFUNCTION("""COMPUTED_VALUE"""),"First Times a Charm Cider")</f>
        <v>First Times a Charm Cider</v>
      </c>
      <c r="H1749" s="27" t="str">
        <f>IFERROR(__xludf.DUMMYFUNCTION("""COMPUTED_VALUE"""),"")</f>
        <v/>
      </c>
    </row>
    <row r="1750">
      <c r="A1750" s="17"/>
      <c r="B1750" s="23"/>
      <c r="C1750" s="17">
        <f>IFERROR(__xludf.DUMMYFUNCTION("""COMPUTED_VALUE"""),43536.327439456)</f>
        <v>43536.32744</v>
      </c>
      <c r="D1750" s="23">
        <f>IFERROR(__xludf.DUMMYFUNCTION("""COMPUTED_VALUE"""),1.043)</f>
        <v>1.043</v>
      </c>
      <c r="E1750" s="24">
        <f>IFERROR(__xludf.DUMMYFUNCTION("""COMPUTED_VALUE"""),68.0)</f>
        <v>68</v>
      </c>
      <c r="F1750" s="27" t="str">
        <f>IFERROR(__xludf.DUMMYFUNCTION("""COMPUTED_VALUE"""),"BLACK")</f>
        <v>BLACK</v>
      </c>
      <c r="G1750" s="28" t="str">
        <f>IFERROR(__xludf.DUMMYFUNCTION("""COMPUTED_VALUE"""),"First Times a Charm Cider")</f>
        <v>First Times a Charm Cider</v>
      </c>
      <c r="H1750" s="27" t="str">
        <f>IFERROR(__xludf.DUMMYFUNCTION("""COMPUTED_VALUE"""),"")</f>
        <v/>
      </c>
    </row>
    <row r="1751">
      <c r="A1751" s="17"/>
      <c r="B1751" s="23"/>
      <c r="C1751" s="17">
        <f>IFERROR(__xludf.DUMMYFUNCTION("""COMPUTED_VALUE"""),43536.3170175463)</f>
        <v>43536.31702</v>
      </c>
      <c r="D1751" s="23">
        <f>IFERROR(__xludf.DUMMYFUNCTION("""COMPUTED_VALUE"""),1.043)</f>
        <v>1.043</v>
      </c>
      <c r="E1751" s="24">
        <f>IFERROR(__xludf.DUMMYFUNCTION("""COMPUTED_VALUE"""),68.0)</f>
        <v>68</v>
      </c>
      <c r="F1751" s="27" t="str">
        <f>IFERROR(__xludf.DUMMYFUNCTION("""COMPUTED_VALUE"""),"BLACK")</f>
        <v>BLACK</v>
      </c>
      <c r="G1751" s="28" t="str">
        <f>IFERROR(__xludf.DUMMYFUNCTION("""COMPUTED_VALUE"""),"First Times a Charm Cider")</f>
        <v>First Times a Charm Cider</v>
      </c>
      <c r="H1751" s="27" t="str">
        <f>IFERROR(__xludf.DUMMYFUNCTION("""COMPUTED_VALUE"""),"")</f>
        <v/>
      </c>
    </row>
    <row r="1752">
      <c r="A1752" s="17"/>
      <c r="B1752" s="23"/>
      <c r="C1752" s="17">
        <f>IFERROR(__xludf.DUMMYFUNCTION("""COMPUTED_VALUE"""),43536.3065955902)</f>
        <v>43536.3066</v>
      </c>
      <c r="D1752" s="23">
        <f>IFERROR(__xludf.DUMMYFUNCTION("""COMPUTED_VALUE"""),1.043)</f>
        <v>1.043</v>
      </c>
      <c r="E1752" s="24">
        <f>IFERROR(__xludf.DUMMYFUNCTION("""COMPUTED_VALUE"""),68.0)</f>
        <v>68</v>
      </c>
      <c r="F1752" s="27" t="str">
        <f>IFERROR(__xludf.DUMMYFUNCTION("""COMPUTED_VALUE"""),"BLACK")</f>
        <v>BLACK</v>
      </c>
      <c r="G1752" s="28" t="str">
        <f>IFERROR(__xludf.DUMMYFUNCTION("""COMPUTED_VALUE"""),"First Times a Charm Cider")</f>
        <v>First Times a Charm Cider</v>
      </c>
      <c r="H1752" s="27" t="str">
        <f>IFERROR(__xludf.DUMMYFUNCTION("""COMPUTED_VALUE"""),"")</f>
        <v/>
      </c>
    </row>
    <row r="1753">
      <c r="A1753" s="17"/>
      <c r="B1753" s="23"/>
      <c r="C1753" s="17">
        <f>IFERROR(__xludf.DUMMYFUNCTION("""COMPUTED_VALUE"""),43536.2961633912)</f>
        <v>43536.29616</v>
      </c>
      <c r="D1753" s="23">
        <f>IFERROR(__xludf.DUMMYFUNCTION("""COMPUTED_VALUE"""),1.043)</f>
        <v>1.043</v>
      </c>
      <c r="E1753" s="24">
        <f>IFERROR(__xludf.DUMMYFUNCTION("""COMPUTED_VALUE"""),68.0)</f>
        <v>68</v>
      </c>
      <c r="F1753" s="27" t="str">
        <f>IFERROR(__xludf.DUMMYFUNCTION("""COMPUTED_VALUE"""),"BLACK")</f>
        <v>BLACK</v>
      </c>
      <c r="G1753" s="28" t="str">
        <f>IFERROR(__xludf.DUMMYFUNCTION("""COMPUTED_VALUE"""),"First Times a Charm Cider")</f>
        <v>First Times a Charm Cider</v>
      </c>
      <c r="H1753" s="27" t="str">
        <f>IFERROR(__xludf.DUMMYFUNCTION("""COMPUTED_VALUE"""),"")</f>
        <v/>
      </c>
    </row>
    <row r="1754">
      <c r="A1754" s="17"/>
      <c r="B1754" s="23"/>
      <c r="C1754" s="17">
        <f>IFERROR(__xludf.DUMMYFUNCTION("""COMPUTED_VALUE"""),43536.2857411458)</f>
        <v>43536.28574</v>
      </c>
      <c r="D1754" s="23">
        <f>IFERROR(__xludf.DUMMYFUNCTION("""COMPUTED_VALUE"""),1.043)</f>
        <v>1.043</v>
      </c>
      <c r="E1754" s="24">
        <f>IFERROR(__xludf.DUMMYFUNCTION("""COMPUTED_VALUE"""),68.0)</f>
        <v>68</v>
      </c>
      <c r="F1754" s="27" t="str">
        <f>IFERROR(__xludf.DUMMYFUNCTION("""COMPUTED_VALUE"""),"BLACK")</f>
        <v>BLACK</v>
      </c>
      <c r="G1754" s="28" t="str">
        <f>IFERROR(__xludf.DUMMYFUNCTION("""COMPUTED_VALUE"""),"First Times a Charm Cider")</f>
        <v>First Times a Charm Cider</v>
      </c>
      <c r="H1754" s="27" t="str">
        <f>IFERROR(__xludf.DUMMYFUNCTION("""COMPUTED_VALUE"""),"")</f>
        <v/>
      </c>
    </row>
    <row r="1755">
      <c r="A1755" s="17"/>
      <c r="B1755" s="23"/>
      <c r="C1755" s="17">
        <f>IFERROR(__xludf.DUMMYFUNCTION("""COMPUTED_VALUE"""),43536.275295868)</f>
        <v>43536.2753</v>
      </c>
      <c r="D1755" s="23">
        <f>IFERROR(__xludf.DUMMYFUNCTION("""COMPUTED_VALUE"""),1.043)</f>
        <v>1.043</v>
      </c>
      <c r="E1755" s="24">
        <f>IFERROR(__xludf.DUMMYFUNCTION("""COMPUTED_VALUE"""),68.0)</f>
        <v>68</v>
      </c>
      <c r="F1755" s="27" t="str">
        <f>IFERROR(__xludf.DUMMYFUNCTION("""COMPUTED_VALUE"""),"BLACK")</f>
        <v>BLACK</v>
      </c>
      <c r="G1755" s="28" t="str">
        <f>IFERROR(__xludf.DUMMYFUNCTION("""COMPUTED_VALUE"""),"First Times a Charm Cider")</f>
        <v>First Times a Charm Cider</v>
      </c>
      <c r="H1755" s="27" t="str">
        <f>IFERROR(__xludf.DUMMYFUNCTION("""COMPUTED_VALUE"""),"")</f>
        <v/>
      </c>
    </row>
    <row r="1756">
      <c r="A1756" s="17"/>
      <c r="B1756" s="23"/>
      <c r="C1756" s="17">
        <f>IFERROR(__xludf.DUMMYFUNCTION("""COMPUTED_VALUE"""),43536.2648753124)</f>
        <v>43536.26488</v>
      </c>
      <c r="D1756" s="23">
        <f>IFERROR(__xludf.DUMMYFUNCTION("""COMPUTED_VALUE"""),1.043)</f>
        <v>1.043</v>
      </c>
      <c r="E1756" s="24">
        <f>IFERROR(__xludf.DUMMYFUNCTION("""COMPUTED_VALUE"""),68.0)</f>
        <v>68</v>
      </c>
      <c r="F1756" s="27" t="str">
        <f>IFERROR(__xludf.DUMMYFUNCTION("""COMPUTED_VALUE"""),"BLACK")</f>
        <v>BLACK</v>
      </c>
      <c r="G1756" s="28" t="str">
        <f>IFERROR(__xludf.DUMMYFUNCTION("""COMPUTED_VALUE"""),"First Times a Charm Cider")</f>
        <v>First Times a Charm Cider</v>
      </c>
      <c r="H1756" s="27" t="str">
        <f>IFERROR(__xludf.DUMMYFUNCTION("""COMPUTED_VALUE"""),"")</f>
        <v/>
      </c>
    </row>
    <row r="1757">
      <c r="A1757" s="17"/>
      <c r="B1757" s="23"/>
      <c r="C1757" s="17">
        <f>IFERROR(__xludf.DUMMYFUNCTION("""COMPUTED_VALUE"""),43536.2544532986)</f>
        <v>43536.25445</v>
      </c>
      <c r="D1757" s="23">
        <f>IFERROR(__xludf.DUMMYFUNCTION("""COMPUTED_VALUE"""),1.044)</f>
        <v>1.044</v>
      </c>
      <c r="E1757" s="24">
        <f>IFERROR(__xludf.DUMMYFUNCTION("""COMPUTED_VALUE"""),68.0)</f>
        <v>68</v>
      </c>
      <c r="F1757" s="27" t="str">
        <f>IFERROR(__xludf.DUMMYFUNCTION("""COMPUTED_VALUE"""),"BLACK")</f>
        <v>BLACK</v>
      </c>
      <c r="G1757" s="28" t="str">
        <f>IFERROR(__xludf.DUMMYFUNCTION("""COMPUTED_VALUE"""),"First Times a Charm Cider")</f>
        <v>First Times a Charm Cider</v>
      </c>
      <c r="H1757" s="27" t="str">
        <f>IFERROR(__xludf.DUMMYFUNCTION("""COMPUTED_VALUE"""),"")</f>
        <v/>
      </c>
    </row>
    <row r="1758">
      <c r="A1758" s="17"/>
      <c r="B1758" s="23"/>
      <c r="C1758" s="17">
        <f>IFERROR(__xludf.DUMMYFUNCTION("""COMPUTED_VALUE"""),43536.2439987384)</f>
        <v>43536.244</v>
      </c>
      <c r="D1758" s="23">
        <f>IFERROR(__xludf.DUMMYFUNCTION("""COMPUTED_VALUE"""),1.043)</f>
        <v>1.043</v>
      </c>
      <c r="E1758" s="24">
        <f>IFERROR(__xludf.DUMMYFUNCTION("""COMPUTED_VALUE"""),68.0)</f>
        <v>68</v>
      </c>
      <c r="F1758" s="27" t="str">
        <f>IFERROR(__xludf.DUMMYFUNCTION("""COMPUTED_VALUE"""),"BLACK")</f>
        <v>BLACK</v>
      </c>
      <c r="G1758" s="28" t="str">
        <f>IFERROR(__xludf.DUMMYFUNCTION("""COMPUTED_VALUE"""),"First Times a Charm Cider")</f>
        <v>First Times a Charm Cider</v>
      </c>
      <c r="H1758" s="27" t="str">
        <f>IFERROR(__xludf.DUMMYFUNCTION("""COMPUTED_VALUE"""),"")</f>
        <v/>
      </c>
    </row>
    <row r="1759">
      <c r="A1759" s="17"/>
      <c r="B1759" s="23"/>
      <c r="C1759" s="17">
        <f>IFERROR(__xludf.DUMMYFUNCTION("""COMPUTED_VALUE"""),43536.2335784259)</f>
        <v>43536.23358</v>
      </c>
      <c r="D1759" s="23">
        <f>IFERROR(__xludf.DUMMYFUNCTION("""COMPUTED_VALUE"""),1.043)</f>
        <v>1.043</v>
      </c>
      <c r="E1759" s="24">
        <f>IFERROR(__xludf.DUMMYFUNCTION("""COMPUTED_VALUE"""),68.0)</f>
        <v>68</v>
      </c>
      <c r="F1759" s="27" t="str">
        <f>IFERROR(__xludf.DUMMYFUNCTION("""COMPUTED_VALUE"""),"BLACK")</f>
        <v>BLACK</v>
      </c>
      <c r="G1759" s="28" t="str">
        <f>IFERROR(__xludf.DUMMYFUNCTION("""COMPUTED_VALUE"""),"First Times a Charm Cider")</f>
        <v>First Times a Charm Cider</v>
      </c>
      <c r="H1759" s="27" t="str">
        <f>IFERROR(__xludf.DUMMYFUNCTION("""COMPUTED_VALUE"""),"")</f>
        <v/>
      </c>
    </row>
    <row r="1760">
      <c r="A1760" s="17"/>
      <c r="B1760" s="23"/>
      <c r="C1760" s="17">
        <f>IFERROR(__xludf.DUMMYFUNCTION("""COMPUTED_VALUE"""),43536.2231571064)</f>
        <v>43536.22316</v>
      </c>
      <c r="D1760" s="23">
        <f>IFERROR(__xludf.DUMMYFUNCTION("""COMPUTED_VALUE"""),1.043)</f>
        <v>1.043</v>
      </c>
      <c r="E1760" s="24">
        <f>IFERROR(__xludf.DUMMYFUNCTION("""COMPUTED_VALUE"""),68.0)</f>
        <v>68</v>
      </c>
      <c r="F1760" s="27" t="str">
        <f>IFERROR(__xludf.DUMMYFUNCTION("""COMPUTED_VALUE"""),"BLACK")</f>
        <v>BLACK</v>
      </c>
      <c r="G1760" s="28" t="str">
        <f>IFERROR(__xludf.DUMMYFUNCTION("""COMPUTED_VALUE"""),"First Times a Charm Cider")</f>
        <v>First Times a Charm Cider</v>
      </c>
      <c r="H1760" s="27" t="str">
        <f>IFERROR(__xludf.DUMMYFUNCTION("""COMPUTED_VALUE"""),"")</f>
        <v/>
      </c>
    </row>
    <row r="1761">
      <c r="A1761" s="17"/>
      <c r="B1761" s="23"/>
      <c r="C1761" s="17">
        <f>IFERROR(__xludf.DUMMYFUNCTION("""COMPUTED_VALUE"""),43536.2127370254)</f>
        <v>43536.21274</v>
      </c>
      <c r="D1761" s="23">
        <f>IFERROR(__xludf.DUMMYFUNCTION("""COMPUTED_VALUE"""),1.043)</f>
        <v>1.043</v>
      </c>
      <c r="E1761" s="24">
        <f>IFERROR(__xludf.DUMMYFUNCTION("""COMPUTED_VALUE"""),68.0)</f>
        <v>68</v>
      </c>
      <c r="F1761" s="27" t="str">
        <f>IFERROR(__xludf.DUMMYFUNCTION("""COMPUTED_VALUE"""),"BLACK")</f>
        <v>BLACK</v>
      </c>
      <c r="G1761" s="28" t="str">
        <f>IFERROR(__xludf.DUMMYFUNCTION("""COMPUTED_VALUE"""),"First Times a Charm Cider")</f>
        <v>First Times a Charm Cider</v>
      </c>
      <c r="H1761" s="27" t="str">
        <f>IFERROR(__xludf.DUMMYFUNCTION("""COMPUTED_VALUE"""),"")</f>
        <v/>
      </c>
    </row>
    <row r="1762">
      <c r="A1762" s="17"/>
      <c r="B1762" s="23"/>
      <c r="C1762" s="17">
        <f>IFERROR(__xludf.DUMMYFUNCTION("""COMPUTED_VALUE"""),43536.202313993)</f>
        <v>43536.20231</v>
      </c>
      <c r="D1762" s="23">
        <f>IFERROR(__xludf.DUMMYFUNCTION("""COMPUTED_VALUE"""),1.043)</f>
        <v>1.043</v>
      </c>
      <c r="E1762" s="24">
        <f>IFERROR(__xludf.DUMMYFUNCTION("""COMPUTED_VALUE"""),68.0)</f>
        <v>68</v>
      </c>
      <c r="F1762" s="27" t="str">
        <f>IFERROR(__xludf.DUMMYFUNCTION("""COMPUTED_VALUE"""),"BLACK")</f>
        <v>BLACK</v>
      </c>
      <c r="G1762" s="28" t="str">
        <f>IFERROR(__xludf.DUMMYFUNCTION("""COMPUTED_VALUE"""),"First Times a Charm Cider")</f>
        <v>First Times a Charm Cider</v>
      </c>
      <c r="H1762" s="27" t="str">
        <f>IFERROR(__xludf.DUMMYFUNCTION("""COMPUTED_VALUE"""),"")</f>
        <v/>
      </c>
    </row>
    <row r="1763">
      <c r="A1763" s="17"/>
      <c r="B1763" s="23"/>
      <c r="C1763" s="17">
        <f>IFERROR(__xludf.DUMMYFUNCTION("""COMPUTED_VALUE"""),43536.1918922569)</f>
        <v>43536.19189</v>
      </c>
      <c r="D1763" s="23">
        <f>IFERROR(__xludf.DUMMYFUNCTION("""COMPUTED_VALUE"""),1.043)</f>
        <v>1.043</v>
      </c>
      <c r="E1763" s="24">
        <f>IFERROR(__xludf.DUMMYFUNCTION("""COMPUTED_VALUE"""),68.0)</f>
        <v>68</v>
      </c>
      <c r="F1763" s="27" t="str">
        <f>IFERROR(__xludf.DUMMYFUNCTION("""COMPUTED_VALUE"""),"BLACK")</f>
        <v>BLACK</v>
      </c>
      <c r="G1763" s="28" t="str">
        <f>IFERROR(__xludf.DUMMYFUNCTION("""COMPUTED_VALUE"""),"First Times a Charm Cider")</f>
        <v>First Times a Charm Cider</v>
      </c>
      <c r="H1763" s="27" t="str">
        <f>IFERROR(__xludf.DUMMYFUNCTION("""COMPUTED_VALUE"""),"")</f>
        <v/>
      </c>
    </row>
    <row r="1764">
      <c r="A1764" s="17"/>
      <c r="B1764" s="23"/>
      <c r="C1764" s="17">
        <f>IFERROR(__xludf.DUMMYFUNCTION("""COMPUTED_VALUE"""),43536.1814716088)</f>
        <v>43536.18147</v>
      </c>
      <c r="D1764" s="23">
        <f>IFERROR(__xludf.DUMMYFUNCTION("""COMPUTED_VALUE"""),1.043)</f>
        <v>1.043</v>
      </c>
      <c r="E1764" s="24">
        <f>IFERROR(__xludf.DUMMYFUNCTION("""COMPUTED_VALUE"""),68.0)</f>
        <v>68</v>
      </c>
      <c r="F1764" s="27" t="str">
        <f>IFERROR(__xludf.DUMMYFUNCTION("""COMPUTED_VALUE"""),"BLACK")</f>
        <v>BLACK</v>
      </c>
      <c r="G1764" s="28" t="str">
        <f>IFERROR(__xludf.DUMMYFUNCTION("""COMPUTED_VALUE"""),"First Times a Charm Cider")</f>
        <v>First Times a Charm Cider</v>
      </c>
      <c r="H1764" s="27" t="str">
        <f>IFERROR(__xludf.DUMMYFUNCTION("""COMPUTED_VALUE"""),"")</f>
        <v/>
      </c>
    </row>
    <row r="1765">
      <c r="A1765" s="17"/>
      <c r="B1765" s="23"/>
      <c r="C1765" s="17">
        <f>IFERROR(__xludf.DUMMYFUNCTION("""COMPUTED_VALUE"""),43536.1710509259)</f>
        <v>43536.17105</v>
      </c>
      <c r="D1765" s="23">
        <f>IFERROR(__xludf.DUMMYFUNCTION("""COMPUTED_VALUE"""),1.043)</f>
        <v>1.043</v>
      </c>
      <c r="E1765" s="24">
        <f>IFERROR(__xludf.DUMMYFUNCTION("""COMPUTED_VALUE"""),68.0)</f>
        <v>68</v>
      </c>
      <c r="F1765" s="27" t="str">
        <f>IFERROR(__xludf.DUMMYFUNCTION("""COMPUTED_VALUE"""),"BLACK")</f>
        <v>BLACK</v>
      </c>
      <c r="G1765" s="28" t="str">
        <f>IFERROR(__xludf.DUMMYFUNCTION("""COMPUTED_VALUE"""),"First Times a Charm Cider")</f>
        <v>First Times a Charm Cider</v>
      </c>
      <c r="H1765" s="27" t="str">
        <f>IFERROR(__xludf.DUMMYFUNCTION("""COMPUTED_VALUE"""),"")</f>
        <v/>
      </c>
    </row>
    <row r="1766">
      <c r="A1766" s="17"/>
      <c r="B1766" s="23"/>
      <c r="C1766" s="17">
        <f>IFERROR(__xludf.DUMMYFUNCTION("""COMPUTED_VALUE"""),43536.1606182986)</f>
        <v>43536.16062</v>
      </c>
      <c r="D1766" s="23">
        <f>IFERROR(__xludf.DUMMYFUNCTION("""COMPUTED_VALUE"""),1.043)</f>
        <v>1.043</v>
      </c>
      <c r="E1766" s="24">
        <f>IFERROR(__xludf.DUMMYFUNCTION("""COMPUTED_VALUE"""),68.0)</f>
        <v>68</v>
      </c>
      <c r="F1766" s="27" t="str">
        <f>IFERROR(__xludf.DUMMYFUNCTION("""COMPUTED_VALUE"""),"BLACK")</f>
        <v>BLACK</v>
      </c>
      <c r="G1766" s="28" t="str">
        <f>IFERROR(__xludf.DUMMYFUNCTION("""COMPUTED_VALUE"""),"First Times a Charm Cider")</f>
        <v>First Times a Charm Cider</v>
      </c>
      <c r="H1766" s="27" t="str">
        <f>IFERROR(__xludf.DUMMYFUNCTION("""COMPUTED_VALUE"""),"")</f>
        <v/>
      </c>
    </row>
    <row r="1767">
      <c r="A1767" s="17"/>
      <c r="B1767" s="23"/>
      <c r="C1767" s="17">
        <f>IFERROR(__xludf.DUMMYFUNCTION("""COMPUTED_VALUE"""),43536.1501976388)</f>
        <v>43536.1502</v>
      </c>
      <c r="D1767" s="23">
        <f>IFERROR(__xludf.DUMMYFUNCTION("""COMPUTED_VALUE"""),1.044)</f>
        <v>1.044</v>
      </c>
      <c r="E1767" s="24">
        <f>IFERROR(__xludf.DUMMYFUNCTION("""COMPUTED_VALUE"""),68.0)</f>
        <v>68</v>
      </c>
      <c r="F1767" s="27" t="str">
        <f>IFERROR(__xludf.DUMMYFUNCTION("""COMPUTED_VALUE"""),"BLACK")</f>
        <v>BLACK</v>
      </c>
      <c r="G1767" s="28" t="str">
        <f>IFERROR(__xludf.DUMMYFUNCTION("""COMPUTED_VALUE"""),"First Times a Charm Cider")</f>
        <v>First Times a Charm Cider</v>
      </c>
      <c r="H1767" s="27" t="str">
        <f>IFERROR(__xludf.DUMMYFUNCTION("""COMPUTED_VALUE"""),"")</f>
        <v/>
      </c>
    </row>
    <row r="1768">
      <c r="A1768" s="17"/>
      <c r="B1768" s="23"/>
      <c r="C1768" s="17">
        <f>IFERROR(__xludf.DUMMYFUNCTION("""COMPUTED_VALUE"""),43536.1397758101)</f>
        <v>43536.13978</v>
      </c>
      <c r="D1768" s="23">
        <f>IFERROR(__xludf.DUMMYFUNCTION("""COMPUTED_VALUE"""),1.043)</f>
        <v>1.043</v>
      </c>
      <c r="E1768" s="24">
        <f>IFERROR(__xludf.DUMMYFUNCTION("""COMPUTED_VALUE"""),68.0)</f>
        <v>68</v>
      </c>
      <c r="F1768" s="27" t="str">
        <f>IFERROR(__xludf.DUMMYFUNCTION("""COMPUTED_VALUE"""),"BLACK")</f>
        <v>BLACK</v>
      </c>
      <c r="G1768" s="28" t="str">
        <f>IFERROR(__xludf.DUMMYFUNCTION("""COMPUTED_VALUE"""),"First Times a Charm Cider")</f>
        <v>First Times a Charm Cider</v>
      </c>
      <c r="H1768" s="27" t="str">
        <f>IFERROR(__xludf.DUMMYFUNCTION("""COMPUTED_VALUE"""),"")</f>
        <v/>
      </c>
    </row>
    <row r="1769">
      <c r="A1769" s="17"/>
      <c r="B1769" s="23"/>
      <c r="C1769" s="17">
        <f>IFERROR(__xludf.DUMMYFUNCTION("""COMPUTED_VALUE"""),43536.1293530555)</f>
        <v>43536.12935</v>
      </c>
      <c r="D1769" s="23">
        <f>IFERROR(__xludf.DUMMYFUNCTION("""COMPUTED_VALUE"""),1.044)</f>
        <v>1.044</v>
      </c>
      <c r="E1769" s="24">
        <f>IFERROR(__xludf.DUMMYFUNCTION("""COMPUTED_VALUE"""),68.0)</f>
        <v>68</v>
      </c>
      <c r="F1769" s="27" t="str">
        <f>IFERROR(__xludf.DUMMYFUNCTION("""COMPUTED_VALUE"""),"BLACK")</f>
        <v>BLACK</v>
      </c>
      <c r="G1769" s="28" t="str">
        <f>IFERROR(__xludf.DUMMYFUNCTION("""COMPUTED_VALUE"""),"First Times a Charm Cider")</f>
        <v>First Times a Charm Cider</v>
      </c>
      <c r="H1769" s="27" t="str">
        <f>IFERROR(__xludf.DUMMYFUNCTION("""COMPUTED_VALUE"""),"")</f>
        <v/>
      </c>
    </row>
    <row r="1770">
      <c r="A1770" s="17"/>
      <c r="B1770" s="23"/>
      <c r="C1770" s="17">
        <f>IFERROR(__xludf.DUMMYFUNCTION("""COMPUTED_VALUE"""),43536.1189320717)</f>
        <v>43536.11893</v>
      </c>
      <c r="D1770" s="23">
        <f>IFERROR(__xludf.DUMMYFUNCTION("""COMPUTED_VALUE"""),1.043)</f>
        <v>1.043</v>
      </c>
      <c r="E1770" s="24">
        <f>IFERROR(__xludf.DUMMYFUNCTION("""COMPUTED_VALUE"""),68.0)</f>
        <v>68</v>
      </c>
      <c r="F1770" s="27" t="str">
        <f>IFERROR(__xludf.DUMMYFUNCTION("""COMPUTED_VALUE"""),"BLACK")</f>
        <v>BLACK</v>
      </c>
      <c r="G1770" s="28" t="str">
        <f>IFERROR(__xludf.DUMMYFUNCTION("""COMPUTED_VALUE"""),"First Times a Charm Cider")</f>
        <v>First Times a Charm Cider</v>
      </c>
      <c r="H1770" s="27" t="str">
        <f>IFERROR(__xludf.DUMMYFUNCTION("""COMPUTED_VALUE"""),"")</f>
        <v/>
      </c>
    </row>
    <row r="1771">
      <c r="A1771" s="17"/>
      <c r="B1771" s="23"/>
      <c r="C1771" s="17">
        <f>IFERROR(__xludf.DUMMYFUNCTION("""COMPUTED_VALUE"""),43536.1084992245)</f>
        <v>43536.1085</v>
      </c>
      <c r="D1771" s="23">
        <f>IFERROR(__xludf.DUMMYFUNCTION("""COMPUTED_VALUE"""),1.044)</f>
        <v>1.044</v>
      </c>
      <c r="E1771" s="24">
        <f>IFERROR(__xludf.DUMMYFUNCTION("""COMPUTED_VALUE"""),68.0)</f>
        <v>68</v>
      </c>
      <c r="F1771" s="27" t="str">
        <f>IFERROR(__xludf.DUMMYFUNCTION("""COMPUTED_VALUE"""),"BLACK")</f>
        <v>BLACK</v>
      </c>
      <c r="G1771" s="28" t="str">
        <f>IFERROR(__xludf.DUMMYFUNCTION("""COMPUTED_VALUE"""),"First Times a Charm Cider")</f>
        <v>First Times a Charm Cider</v>
      </c>
      <c r="H1771" s="27" t="str">
        <f>IFERROR(__xludf.DUMMYFUNCTION("""COMPUTED_VALUE"""),"")</f>
        <v/>
      </c>
    </row>
    <row r="1772">
      <c r="A1772" s="17"/>
      <c r="B1772" s="23"/>
      <c r="C1772" s="17">
        <f>IFERROR(__xludf.DUMMYFUNCTION("""COMPUTED_VALUE"""),43536.0980774189)</f>
        <v>43536.09808</v>
      </c>
      <c r="D1772" s="23">
        <f>IFERROR(__xludf.DUMMYFUNCTION("""COMPUTED_VALUE"""),1.044)</f>
        <v>1.044</v>
      </c>
      <c r="E1772" s="24">
        <f>IFERROR(__xludf.DUMMYFUNCTION("""COMPUTED_VALUE"""),68.0)</f>
        <v>68</v>
      </c>
      <c r="F1772" s="27" t="str">
        <f>IFERROR(__xludf.DUMMYFUNCTION("""COMPUTED_VALUE"""),"BLACK")</f>
        <v>BLACK</v>
      </c>
      <c r="G1772" s="28" t="str">
        <f>IFERROR(__xludf.DUMMYFUNCTION("""COMPUTED_VALUE"""),"First Times a Charm Cider")</f>
        <v>First Times a Charm Cider</v>
      </c>
      <c r="H1772" s="27" t="str">
        <f>IFERROR(__xludf.DUMMYFUNCTION("""COMPUTED_VALUE"""),"")</f>
        <v/>
      </c>
    </row>
    <row r="1773">
      <c r="A1773" s="17"/>
      <c r="B1773" s="23"/>
      <c r="C1773" s="17">
        <f>IFERROR(__xludf.DUMMYFUNCTION("""COMPUTED_VALUE"""),43536.0876557638)</f>
        <v>43536.08766</v>
      </c>
      <c r="D1773" s="23">
        <f>IFERROR(__xludf.DUMMYFUNCTION("""COMPUTED_VALUE"""),1.043)</f>
        <v>1.043</v>
      </c>
      <c r="E1773" s="24">
        <f>IFERROR(__xludf.DUMMYFUNCTION("""COMPUTED_VALUE"""),68.0)</f>
        <v>68</v>
      </c>
      <c r="F1773" s="27" t="str">
        <f>IFERROR(__xludf.DUMMYFUNCTION("""COMPUTED_VALUE"""),"BLACK")</f>
        <v>BLACK</v>
      </c>
      <c r="G1773" s="28" t="str">
        <f>IFERROR(__xludf.DUMMYFUNCTION("""COMPUTED_VALUE"""),"First Times a Charm Cider")</f>
        <v>First Times a Charm Cider</v>
      </c>
      <c r="H1773" s="27" t="str">
        <f>IFERROR(__xludf.DUMMYFUNCTION("""COMPUTED_VALUE"""),"")</f>
        <v/>
      </c>
    </row>
    <row r="1774">
      <c r="A1774" s="17"/>
      <c r="B1774" s="23"/>
      <c r="C1774" s="17">
        <f>IFERROR(__xludf.DUMMYFUNCTION("""COMPUTED_VALUE"""),43536.0772218634)</f>
        <v>43536.07722</v>
      </c>
      <c r="D1774" s="23">
        <f>IFERROR(__xludf.DUMMYFUNCTION("""COMPUTED_VALUE"""),1.043)</f>
        <v>1.043</v>
      </c>
      <c r="E1774" s="24">
        <f>IFERROR(__xludf.DUMMYFUNCTION("""COMPUTED_VALUE"""),68.0)</f>
        <v>68</v>
      </c>
      <c r="F1774" s="27" t="str">
        <f>IFERROR(__xludf.DUMMYFUNCTION("""COMPUTED_VALUE"""),"BLACK")</f>
        <v>BLACK</v>
      </c>
      <c r="G1774" s="28" t="str">
        <f>IFERROR(__xludf.DUMMYFUNCTION("""COMPUTED_VALUE"""),"First Times a Charm Cider")</f>
        <v>First Times a Charm Cider</v>
      </c>
      <c r="H1774" s="27" t="str">
        <f>IFERROR(__xludf.DUMMYFUNCTION("""COMPUTED_VALUE"""),"")</f>
        <v/>
      </c>
    </row>
    <row r="1775">
      <c r="A1775" s="17"/>
      <c r="B1775" s="23"/>
      <c r="C1775" s="17">
        <f>IFERROR(__xludf.DUMMYFUNCTION("""COMPUTED_VALUE"""),43536.0667898032)</f>
        <v>43536.06679</v>
      </c>
      <c r="D1775" s="23">
        <f>IFERROR(__xludf.DUMMYFUNCTION("""COMPUTED_VALUE"""),1.044)</f>
        <v>1.044</v>
      </c>
      <c r="E1775" s="24">
        <f>IFERROR(__xludf.DUMMYFUNCTION("""COMPUTED_VALUE"""),68.0)</f>
        <v>68</v>
      </c>
      <c r="F1775" s="27" t="str">
        <f>IFERROR(__xludf.DUMMYFUNCTION("""COMPUTED_VALUE"""),"BLACK")</f>
        <v>BLACK</v>
      </c>
      <c r="G1775" s="28" t="str">
        <f>IFERROR(__xludf.DUMMYFUNCTION("""COMPUTED_VALUE"""),"First Times a Charm Cider")</f>
        <v>First Times a Charm Cider</v>
      </c>
      <c r="H1775" s="27" t="str">
        <f>IFERROR(__xludf.DUMMYFUNCTION("""COMPUTED_VALUE"""),"")</f>
        <v/>
      </c>
    </row>
    <row r="1776">
      <c r="A1776" s="17"/>
      <c r="B1776" s="23"/>
      <c r="C1776" s="17">
        <f>IFERROR(__xludf.DUMMYFUNCTION("""COMPUTED_VALUE"""),43536.0563677314)</f>
        <v>43536.05637</v>
      </c>
      <c r="D1776" s="23">
        <f>IFERROR(__xludf.DUMMYFUNCTION("""COMPUTED_VALUE"""),1.044)</f>
        <v>1.044</v>
      </c>
      <c r="E1776" s="24">
        <f>IFERROR(__xludf.DUMMYFUNCTION("""COMPUTED_VALUE"""),68.0)</f>
        <v>68</v>
      </c>
      <c r="F1776" s="27" t="str">
        <f>IFERROR(__xludf.DUMMYFUNCTION("""COMPUTED_VALUE"""),"BLACK")</f>
        <v>BLACK</v>
      </c>
      <c r="G1776" s="28" t="str">
        <f>IFERROR(__xludf.DUMMYFUNCTION("""COMPUTED_VALUE"""),"First Times a Charm Cider")</f>
        <v>First Times a Charm Cider</v>
      </c>
      <c r="H1776" s="27" t="str">
        <f>IFERROR(__xludf.DUMMYFUNCTION("""COMPUTED_VALUE"""),"")</f>
        <v/>
      </c>
    </row>
    <row r="1777">
      <c r="A1777" s="17"/>
      <c r="B1777" s="23"/>
      <c r="C1777" s="17">
        <f>IFERROR(__xludf.DUMMYFUNCTION("""COMPUTED_VALUE"""),43536.0459350115)</f>
        <v>43536.04594</v>
      </c>
      <c r="D1777" s="23">
        <f>IFERROR(__xludf.DUMMYFUNCTION("""COMPUTED_VALUE"""),1.044)</f>
        <v>1.044</v>
      </c>
      <c r="E1777" s="24">
        <f>IFERROR(__xludf.DUMMYFUNCTION("""COMPUTED_VALUE"""),68.0)</f>
        <v>68</v>
      </c>
      <c r="F1777" s="27" t="str">
        <f>IFERROR(__xludf.DUMMYFUNCTION("""COMPUTED_VALUE"""),"BLACK")</f>
        <v>BLACK</v>
      </c>
      <c r="G1777" s="28" t="str">
        <f>IFERROR(__xludf.DUMMYFUNCTION("""COMPUTED_VALUE"""),"First Times a Charm Cider")</f>
        <v>First Times a Charm Cider</v>
      </c>
      <c r="H1777" s="27" t="str">
        <f>IFERROR(__xludf.DUMMYFUNCTION("""COMPUTED_VALUE"""),"")</f>
        <v/>
      </c>
    </row>
    <row r="1778">
      <c r="A1778" s="17"/>
      <c r="B1778" s="23"/>
      <c r="C1778" s="17">
        <f>IFERROR(__xludf.DUMMYFUNCTION("""COMPUTED_VALUE"""),43536.0355147222)</f>
        <v>43536.03551</v>
      </c>
      <c r="D1778" s="23">
        <f>IFERROR(__xludf.DUMMYFUNCTION("""COMPUTED_VALUE"""),1.044)</f>
        <v>1.044</v>
      </c>
      <c r="E1778" s="24">
        <f>IFERROR(__xludf.DUMMYFUNCTION("""COMPUTED_VALUE"""),68.0)</f>
        <v>68</v>
      </c>
      <c r="F1778" s="27" t="str">
        <f>IFERROR(__xludf.DUMMYFUNCTION("""COMPUTED_VALUE"""),"BLACK")</f>
        <v>BLACK</v>
      </c>
      <c r="G1778" s="28" t="str">
        <f>IFERROR(__xludf.DUMMYFUNCTION("""COMPUTED_VALUE"""),"First Times a Charm Cider")</f>
        <v>First Times a Charm Cider</v>
      </c>
      <c r="H1778" s="27" t="str">
        <f>IFERROR(__xludf.DUMMYFUNCTION("""COMPUTED_VALUE"""),"")</f>
        <v/>
      </c>
    </row>
    <row r="1779">
      <c r="A1779" s="17"/>
      <c r="B1779" s="23"/>
      <c r="C1779" s="17">
        <f>IFERROR(__xludf.DUMMYFUNCTION("""COMPUTED_VALUE"""),43536.0250938078)</f>
        <v>43536.02509</v>
      </c>
      <c r="D1779" s="23">
        <f>IFERROR(__xludf.DUMMYFUNCTION("""COMPUTED_VALUE"""),1.044)</f>
        <v>1.044</v>
      </c>
      <c r="E1779" s="24">
        <f>IFERROR(__xludf.DUMMYFUNCTION("""COMPUTED_VALUE"""),68.0)</f>
        <v>68</v>
      </c>
      <c r="F1779" s="27" t="str">
        <f>IFERROR(__xludf.DUMMYFUNCTION("""COMPUTED_VALUE"""),"BLACK")</f>
        <v>BLACK</v>
      </c>
      <c r="G1779" s="28" t="str">
        <f>IFERROR(__xludf.DUMMYFUNCTION("""COMPUTED_VALUE"""),"First Times a Charm Cider")</f>
        <v>First Times a Charm Cider</v>
      </c>
      <c r="H1779" s="27" t="str">
        <f>IFERROR(__xludf.DUMMYFUNCTION("""COMPUTED_VALUE"""),"")</f>
        <v/>
      </c>
    </row>
    <row r="1780">
      <c r="A1780" s="17"/>
      <c r="B1780" s="23"/>
      <c r="C1780" s="17">
        <f>IFERROR(__xludf.DUMMYFUNCTION("""COMPUTED_VALUE"""),43536.0146726388)</f>
        <v>43536.01467</v>
      </c>
      <c r="D1780" s="23">
        <f>IFERROR(__xludf.DUMMYFUNCTION("""COMPUTED_VALUE"""),1.044)</f>
        <v>1.044</v>
      </c>
      <c r="E1780" s="24">
        <f>IFERROR(__xludf.DUMMYFUNCTION("""COMPUTED_VALUE"""),68.0)</f>
        <v>68</v>
      </c>
      <c r="F1780" s="27" t="str">
        <f>IFERROR(__xludf.DUMMYFUNCTION("""COMPUTED_VALUE"""),"BLACK")</f>
        <v>BLACK</v>
      </c>
      <c r="G1780" s="28" t="str">
        <f>IFERROR(__xludf.DUMMYFUNCTION("""COMPUTED_VALUE"""),"First Times a Charm Cider")</f>
        <v>First Times a Charm Cider</v>
      </c>
      <c r="H1780" s="27" t="str">
        <f>IFERROR(__xludf.DUMMYFUNCTION("""COMPUTED_VALUE"""),"")</f>
        <v/>
      </c>
    </row>
    <row r="1781">
      <c r="A1781" s="17"/>
      <c r="B1781" s="23"/>
      <c r="C1781" s="17">
        <f>IFERROR(__xludf.DUMMYFUNCTION("""COMPUTED_VALUE"""),43536.0042513425)</f>
        <v>43536.00425</v>
      </c>
      <c r="D1781" s="23">
        <f>IFERROR(__xludf.DUMMYFUNCTION("""COMPUTED_VALUE"""),1.044)</f>
        <v>1.044</v>
      </c>
      <c r="E1781" s="24">
        <f>IFERROR(__xludf.DUMMYFUNCTION("""COMPUTED_VALUE"""),68.0)</f>
        <v>68</v>
      </c>
      <c r="F1781" s="27" t="str">
        <f>IFERROR(__xludf.DUMMYFUNCTION("""COMPUTED_VALUE"""),"BLACK")</f>
        <v>BLACK</v>
      </c>
      <c r="G1781" s="28" t="str">
        <f>IFERROR(__xludf.DUMMYFUNCTION("""COMPUTED_VALUE"""),"First Times a Charm Cider")</f>
        <v>First Times a Charm Cider</v>
      </c>
      <c r="H1781" s="27" t="str">
        <f>IFERROR(__xludf.DUMMYFUNCTION("""COMPUTED_VALUE"""),"")</f>
        <v/>
      </c>
    </row>
    <row r="1782">
      <c r="A1782" s="17"/>
      <c r="B1782" s="23"/>
      <c r="C1782" s="17">
        <f>IFERROR(__xludf.DUMMYFUNCTION("""COMPUTED_VALUE"""),43535.9938285069)</f>
        <v>43535.99383</v>
      </c>
      <c r="D1782" s="23">
        <f>IFERROR(__xludf.DUMMYFUNCTION("""COMPUTED_VALUE"""),1.044)</f>
        <v>1.044</v>
      </c>
      <c r="E1782" s="24">
        <f>IFERROR(__xludf.DUMMYFUNCTION("""COMPUTED_VALUE"""),68.0)</f>
        <v>68</v>
      </c>
      <c r="F1782" s="27" t="str">
        <f>IFERROR(__xludf.DUMMYFUNCTION("""COMPUTED_VALUE"""),"BLACK")</f>
        <v>BLACK</v>
      </c>
      <c r="G1782" s="28" t="str">
        <f>IFERROR(__xludf.DUMMYFUNCTION("""COMPUTED_VALUE"""),"First Times a Charm Cider")</f>
        <v>First Times a Charm Cider</v>
      </c>
      <c r="H1782" s="27" t="str">
        <f>IFERROR(__xludf.DUMMYFUNCTION("""COMPUTED_VALUE"""),"")</f>
        <v/>
      </c>
    </row>
    <row r="1783">
      <c r="A1783" s="17"/>
      <c r="B1783" s="23"/>
      <c r="C1783" s="17">
        <f>IFERROR(__xludf.DUMMYFUNCTION("""COMPUTED_VALUE"""),43535.9834068402)</f>
        <v>43535.98341</v>
      </c>
      <c r="D1783" s="23">
        <f>IFERROR(__xludf.DUMMYFUNCTION("""COMPUTED_VALUE"""),1.044)</f>
        <v>1.044</v>
      </c>
      <c r="E1783" s="24">
        <f>IFERROR(__xludf.DUMMYFUNCTION("""COMPUTED_VALUE"""),68.0)</f>
        <v>68</v>
      </c>
      <c r="F1783" s="27" t="str">
        <f>IFERROR(__xludf.DUMMYFUNCTION("""COMPUTED_VALUE"""),"BLACK")</f>
        <v>BLACK</v>
      </c>
      <c r="G1783" s="28" t="str">
        <f>IFERROR(__xludf.DUMMYFUNCTION("""COMPUTED_VALUE"""),"First Times a Charm Cider")</f>
        <v>First Times a Charm Cider</v>
      </c>
      <c r="H1783" s="27" t="str">
        <f>IFERROR(__xludf.DUMMYFUNCTION("""COMPUTED_VALUE"""),"")</f>
        <v/>
      </c>
    </row>
    <row r="1784">
      <c r="A1784" s="17"/>
      <c r="B1784" s="23"/>
      <c r="C1784" s="17">
        <f>IFERROR(__xludf.DUMMYFUNCTION("""COMPUTED_VALUE"""),43535.972985243)</f>
        <v>43535.97299</v>
      </c>
      <c r="D1784" s="23">
        <f>IFERROR(__xludf.DUMMYFUNCTION("""COMPUTED_VALUE"""),1.044)</f>
        <v>1.044</v>
      </c>
      <c r="E1784" s="24">
        <f>IFERROR(__xludf.DUMMYFUNCTION("""COMPUTED_VALUE"""),68.0)</f>
        <v>68</v>
      </c>
      <c r="F1784" s="27" t="str">
        <f>IFERROR(__xludf.DUMMYFUNCTION("""COMPUTED_VALUE"""),"BLACK")</f>
        <v>BLACK</v>
      </c>
      <c r="G1784" s="28" t="str">
        <f>IFERROR(__xludf.DUMMYFUNCTION("""COMPUTED_VALUE"""),"First Times a Charm Cider")</f>
        <v>First Times a Charm Cider</v>
      </c>
      <c r="H1784" s="27" t="str">
        <f>IFERROR(__xludf.DUMMYFUNCTION("""COMPUTED_VALUE"""),"")</f>
        <v/>
      </c>
    </row>
    <row r="1785">
      <c r="A1785" s="17"/>
      <c r="B1785" s="23"/>
      <c r="C1785" s="17">
        <f>IFERROR(__xludf.DUMMYFUNCTION("""COMPUTED_VALUE"""),43535.962563287)</f>
        <v>43535.96256</v>
      </c>
      <c r="D1785" s="23">
        <f>IFERROR(__xludf.DUMMYFUNCTION("""COMPUTED_VALUE"""),1.044)</f>
        <v>1.044</v>
      </c>
      <c r="E1785" s="24">
        <f>IFERROR(__xludf.DUMMYFUNCTION("""COMPUTED_VALUE"""),68.0)</f>
        <v>68</v>
      </c>
      <c r="F1785" s="27" t="str">
        <f>IFERROR(__xludf.DUMMYFUNCTION("""COMPUTED_VALUE"""),"BLACK")</f>
        <v>BLACK</v>
      </c>
      <c r="G1785" s="28" t="str">
        <f>IFERROR(__xludf.DUMMYFUNCTION("""COMPUTED_VALUE"""),"First Times a Charm Cider")</f>
        <v>First Times a Charm Cider</v>
      </c>
      <c r="H1785" s="27" t="str">
        <f>IFERROR(__xludf.DUMMYFUNCTION("""COMPUTED_VALUE"""),"")</f>
        <v/>
      </c>
    </row>
    <row r="1786">
      <c r="A1786" s="17"/>
      <c r="B1786" s="23"/>
      <c r="C1786" s="17">
        <f>IFERROR(__xludf.DUMMYFUNCTION("""COMPUTED_VALUE"""),43535.9521426041)</f>
        <v>43535.95214</v>
      </c>
      <c r="D1786" s="23">
        <f>IFERROR(__xludf.DUMMYFUNCTION("""COMPUTED_VALUE"""),1.044)</f>
        <v>1.044</v>
      </c>
      <c r="E1786" s="24">
        <f>IFERROR(__xludf.DUMMYFUNCTION("""COMPUTED_VALUE"""),68.0)</f>
        <v>68</v>
      </c>
      <c r="F1786" s="27" t="str">
        <f>IFERROR(__xludf.DUMMYFUNCTION("""COMPUTED_VALUE"""),"BLACK")</f>
        <v>BLACK</v>
      </c>
      <c r="G1786" s="28" t="str">
        <f>IFERROR(__xludf.DUMMYFUNCTION("""COMPUTED_VALUE"""),"First Times a Charm Cider")</f>
        <v>First Times a Charm Cider</v>
      </c>
      <c r="H1786" s="27" t="str">
        <f>IFERROR(__xludf.DUMMYFUNCTION("""COMPUTED_VALUE"""),"")</f>
        <v/>
      </c>
    </row>
    <row r="1787">
      <c r="A1787" s="17"/>
      <c r="B1787" s="23"/>
      <c r="C1787" s="17">
        <f>IFERROR(__xludf.DUMMYFUNCTION("""COMPUTED_VALUE"""),43535.9417218865)</f>
        <v>43535.94172</v>
      </c>
      <c r="D1787" s="23">
        <f>IFERROR(__xludf.DUMMYFUNCTION("""COMPUTED_VALUE"""),1.044)</f>
        <v>1.044</v>
      </c>
      <c r="E1787" s="24">
        <f>IFERROR(__xludf.DUMMYFUNCTION("""COMPUTED_VALUE"""),68.0)</f>
        <v>68</v>
      </c>
      <c r="F1787" s="27" t="str">
        <f>IFERROR(__xludf.DUMMYFUNCTION("""COMPUTED_VALUE"""),"BLACK")</f>
        <v>BLACK</v>
      </c>
      <c r="G1787" s="28" t="str">
        <f>IFERROR(__xludf.DUMMYFUNCTION("""COMPUTED_VALUE"""),"First Times a Charm Cider")</f>
        <v>First Times a Charm Cider</v>
      </c>
      <c r="H1787" s="27" t="str">
        <f>IFERROR(__xludf.DUMMYFUNCTION("""COMPUTED_VALUE"""),"")</f>
        <v/>
      </c>
    </row>
    <row r="1788">
      <c r="A1788" s="17"/>
      <c r="B1788" s="23"/>
      <c r="C1788" s="17">
        <f>IFERROR(__xludf.DUMMYFUNCTION("""COMPUTED_VALUE"""),43535.9312992824)</f>
        <v>43535.9313</v>
      </c>
      <c r="D1788" s="23">
        <f>IFERROR(__xludf.DUMMYFUNCTION("""COMPUTED_VALUE"""),1.044)</f>
        <v>1.044</v>
      </c>
      <c r="E1788" s="24">
        <f>IFERROR(__xludf.DUMMYFUNCTION("""COMPUTED_VALUE"""),68.0)</f>
        <v>68</v>
      </c>
      <c r="F1788" s="27" t="str">
        <f>IFERROR(__xludf.DUMMYFUNCTION("""COMPUTED_VALUE"""),"BLACK")</f>
        <v>BLACK</v>
      </c>
      <c r="G1788" s="28" t="str">
        <f>IFERROR(__xludf.DUMMYFUNCTION("""COMPUTED_VALUE"""),"First Times a Charm Cider")</f>
        <v>First Times a Charm Cider</v>
      </c>
      <c r="H1788" s="27" t="str">
        <f>IFERROR(__xludf.DUMMYFUNCTION("""COMPUTED_VALUE"""),"")</f>
        <v/>
      </c>
    </row>
    <row r="1789">
      <c r="A1789" s="17"/>
      <c r="B1789" s="23"/>
      <c r="C1789" s="17">
        <f>IFERROR(__xludf.DUMMYFUNCTION("""COMPUTED_VALUE"""),43535.9208781481)</f>
        <v>43535.92088</v>
      </c>
      <c r="D1789" s="23">
        <f>IFERROR(__xludf.DUMMYFUNCTION("""COMPUTED_VALUE"""),1.044)</f>
        <v>1.044</v>
      </c>
      <c r="E1789" s="24">
        <f>IFERROR(__xludf.DUMMYFUNCTION("""COMPUTED_VALUE"""),68.0)</f>
        <v>68</v>
      </c>
      <c r="F1789" s="27" t="str">
        <f>IFERROR(__xludf.DUMMYFUNCTION("""COMPUTED_VALUE"""),"BLACK")</f>
        <v>BLACK</v>
      </c>
      <c r="G1789" s="28" t="str">
        <f>IFERROR(__xludf.DUMMYFUNCTION("""COMPUTED_VALUE"""),"First Times a Charm Cider")</f>
        <v>First Times a Charm Cider</v>
      </c>
      <c r="H1789" s="27" t="str">
        <f>IFERROR(__xludf.DUMMYFUNCTION("""COMPUTED_VALUE"""),"")</f>
        <v/>
      </c>
    </row>
    <row r="1790">
      <c r="A1790" s="17"/>
      <c r="B1790" s="23"/>
      <c r="C1790" s="17">
        <f>IFERROR(__xludf.DUMMYFUNCTION("""COMPUTED_VALUE"""),43535.9104576736)</f>
        <v>43535.91046</v>
      </c>
      <c r="D1790" s="23">
        <f>IFERROR(__xludf.DUMMYFUNCTION("""COMPUTED_VALUE"""),1.044)</f>
        <v>1.044</v>
      </c>
      <c r="E1790" s="24">
        <f>IFERROR(__xludf.DUMMYFUNCTION("""COMPUTED_VALUE"""),68.0)</f>
        <v>68</v>
      </c>
      <c r="F1790" s="27" t="str">
        <f>IFERROR(__xludf.DUMMYFUNCTION("""COMPUTED_VALUE"""),"BLACK")</f>
        <v>BLACK</v>
      </c>
      <c r="G1790" s="28" t="str">
        <f>IFERROR(__xludf.DUMMYFUNCTION("""COMPUTED_VALUE"""),"First Times a Charm Cider")</f>
        <v>First Times a Charm Cider</v>
      </c>
      <c r="H1790" s="27" t="str">
        <f>IFERROR(__xludf.DUMMYFUNCTION("""COMPUTED_VALUE"""),"")</f>
        <v/>
      </c>
    </row>
    <row r="1791">
      <c r="A1791" s="17"/>
      <c r="B1791" s="23"/>
      <c r="C1791" s="17">
        <f>IFERROR(__xludf.DUMMYFUNCTION("""COMPUTED_VALUE"""),43535.900027118)</f>
        <v>43535.90003</v>
      </c>
      <c r="D1791" s="23">
        <f>IFERROR(__xludf.DUMMYFUNCTION("""COMPUTED_VALUE"""),1.044)</f>
        <v>1.044</v>
      </c>
      <c r="E1791" s="24">
        <f>IFERROR(__xludf.DUMMYFUNCTION("""COMPUTED_VALUE"""),68.0)</f>
        <v>68</v>
      </c>
      <c r="F1791" s="27" t="str">
        <f>IFERROR(__xludf.DUMMYFUNCTION("""COMPUTED_VALUE"""),"BLACK")</f>
        <v>BLACK</v>
      </c>
      <c r="G1791" s="28" t="str">
        <f>IFERROR(__xludf.DUMMYFUNCTION("""COMPUTED_VALUE"""),"First Times a Charm Cider")</f>
        <v>First Times a Charm Cider</v>
      </c>
      <c r="H1791" s="27" t="str">
        <f>IFERROR(__xludf.DUMMYFUNCTION("""COMPUTED_VALUE"""),"")</f>
        <v/>
      </c>
    </row>
    <row r="1792">
      <c r="A1792" s="17"/>
      <c r="B1792" s="23"/>
      <c r="C1792" s="17">
        <f>IFERROR(__xludf.DUMMYFUNCTION("""COMPUTED_VALUE"""),43535.8896054629)</f>
        <v>43535.88961</v>
      </c>
      <c r="D1792" s="23">
        <f>IFERROR(__xludf.DUMMYFUNCTION("""COMPUTED_VALUE"""),1.044)</f>
        <v>1.044</v>
      </c>
      <c r="E1792" s="24">
        <f>IFERROR(__xludf.DUMMYFUNCTION("""COMPUTED_VALUE"""),68.0)</f>
        <v>68</v>
      </c>
      <c r="F1792" s="27" t="str">
        <f>IFERROR(__xludf.DUMMYFUNCTION("""COMPUTED_VALUE"""),"BLACK")</f>
        <v>BLACK</v>
      </c>
      <c r="G1792" s="28" t="str">
        <f>IFERROR(__xludf.DUMMYFUNCTION("""COMPUTED_VALUE"""),"First Times a Charm Cider")</f>
        <v>First Times a Charm Cider</v>
      </c>
      <c r="H1792" s="27" t="str">
        <f>IFERROR(__xludf.DUMMYFUNCTION("""COMPUTED_VALUE"""),"")</f>
        <v/>
      </c>
    </row>
    <row r="1793">
      <c r="A1793" s="17"/>
      <c r="B1793" s="23"/>
      <c r="C1793" s="17">
        <f>IFERROR(__xludf.DUMMYFUNCTION("""COMPUTED_VALUE"""),43535.8791735069)</f>
        <v>43535.87917</v>
      </c>
      <c r="D1793" s="23">
        <f>IFERROR(__xludf.DUMMYFUNCTION("""COMPUTED_VALUE"""),1.044)</f>
        <v>1.044</v>
      </c>
      <c r="E1793" s="24">
        <f>IFERROR(__xludf.DUMMYFUNCTION("""COMPUTED_VALUE"""),68.0)</f>
        <v>68</v>
      </c>
      <c r="F1793" s="27" t="str">
        <f>IFERROR(__xludf.DUMMYFUNCTION("""COMPUTED_VALUE"""),"BLACK")</f>
        <v>BLACK</v>
      </c>
      <c r="G1793" s="28" t="str">
        <f>IFERROR(__xludf.DUMMYFUNCTION("""COMPUTED_VALUE"""),"First Times a Charm Cider")</f>
        <v>First Times a Charm Cider</v>
      </c>
      <c r="H1793" s="27" t="str">
        <f>IFERROR(__xludf.DUMMYFUNCTION("""COMPUTED_VALUE"""),"")</f>
        <v/>
      </c>
    </row>
    <row r="1794">
      <c r="A1794" s="17"/>
      <c r="B1794" s="23"/>
      <c r="C1794" s="17">
        <f>IFERROR(__xludf.DUMMYFUNCTION("""COMPUTED_VALUE"""),43535.8687505092)</f>
        <v>43535.86875</v>
      </c>
      <c r="D1794" s="23">
        <f>IFERROR(__xludf.DUMMYFUNCTION("""COMPUTED_VALUE"""),1.044)</f>
        <v>1.044</v>
      </c>
      <c r="E1794" s="24">
        <f>IFERROR(__xludf.DUMMYFUNCTION("""COMPUTED_VALUE"""),68.0)</f>
        <v>68</v>
      </c>
      <c r="F1794" s="27" t="str">
        <f>IFERROR(__xludf.DUMMYFUNCTION("""COMPUTED_VALUE"""),"BLACK")</f>
        <v>BLACK</v>
      </c>
      <c r="G1794" s="28" t="str">
        <f>IFERROR(__xludf.DUMMYFUNCTION("""COMPUTED_VALUE"""),"First Times a Charm Cider")</f>
        <v>First Times a Charm Cider</v>
      </c>
      <c r="H1794" s="27" t="str">
        <f>IFERROR(__xludf.DUMMYFUNCTION("""COMPUTED_VALUE"""),"")</f>
        <v/>
      </c>
    </row>
    <row r="1795">
      <c r="A1795" s="17"/>
      <c r="B1795" s="23"/>
      <c r="C1795" s="17">
        <f>IFERROR(__xludf.DUMMYFUNCTION("""COMPUTED_VALUE"""),43535.8583296527)</f>
        <v>43535.85833</v>
      </c>
      <c r="D1795" s="23">
        <f>IFERROR(__xludf.DUMMYFUNCTION("""COMPUTED_VALUE"""),1.044)</f>
        <v>1.044</v>
      </c>
      <c r="E1795" s="24">
        <f>IFERROR(__xludf.DUMMYFUNCTION("""COMPUTED_VALUE"""),68.0)</f>
        <v>68</v>
      </c>
      <c r="F1795" s="27" t="str">
        <f>IFERROR(__xludf.DUMMYFUNCTION("""COMPUTED_VALUE"""),"BLACK")</f>
        <v>BLACK</v>
      </c>
      <c r="G1795" s="28" t="str">
        <f>IFERROR(__xludf.DUMMYFUNCTION("""COMPUTED_VALUE"""),"First Times a Charm Cider")</f>
        <v>First Times a Charm Cider</v>
      </c>
      <c r="H1795" s="27" t="str">
        <f>IFERROR(__xludf.DUMMYFUNCTION("""COMPUTED_VALUE"""),"")</f>
        <v/>
      </c>
    </row>
    <row r="1796">
      <c r="A1796" s="17"/>
      <c r="B1796" s="23"/>
      <c r="C1796" s="17">
        <f>IFERROR(__xludf.DUMMYFUNCTION("""COMPUTED_VALUE"""),43535.8479096759)</f>
        <v>43535.84791</v>
      </c>
      <c r="D1796" s="23">
        <f>IFERROR(__xludf.DUMMYFUNCTION("""COMPUTED_VALUE"""),1.044)</f>
        <v>1.044</v>
      </c>
      <c r="E1796" s="24">
        <f>IFERROR(__xludf.DUMMYFUNCTION("""COMPUTED_VALUE"""),68.0)</f>
        <v>68</v>
      </c>
      <c r="F1796" s="27" t="str">
        <f>IFERROR(__xludf.DUMMYFUNCTION("""COMPUTED_VALUE"""),"BLACK")</f>
        <v>BLACK</v>
      </c>
      <c r="G1796" s="28" t="str">
        <f>IFERROR(__xludf.DUMMYFUNCTION("""COMPUTED_VALUE"""),"First Times a Charm Cider")</f>
        <v>First Times a Charm Cider</v>
      </c>
      <c r="H1796" s="27" t="str">
        <f>IFERROR(__xludf.DUMMYFUNCTION("""COMPUTED_VALUE"""),"")</f>
        <v/>
      </c>
    </row>
    <row r="1797">
      <c r="A1797" s="17"/>
      <c r="B1797" s="23"/>
      <c r="C1797" s="17">
        <f>IFERROR(__xludf.DUMMYFUNCTION("""COMPUTED_VALUE"""),43535.8374761689)</f>
        <v>43535.83748</v>
      </c>
      <c r="D1797" s="23">
        <f>IFERROR(__xludf.DUMMYFUNCTION("""COMPUTED_VALUE"""),1.044)</f>
        <v>1.044</v>
      </c>
      <c r="E1797" s="24">
        <f>IFERROR(__xludf.DUMMYFUNCTION("""COMPUTED_VALUE"""),68.0)</f>
        <v>68</v>
      </c>
      <c r="F1797" s="27" t="str">
        <f>IFERROR(__xludf.DUMMYFUNCTION("""COMPUTED_VALUE"""),"BLACK")</f>
        <v>BLACK</v>
      </c>
      <c r="G1797" s="28" t="str">
        <f>IFERROR(__xludf.DUMMYFUNCTION("""COMPUTED_VALUE"""),"First Times a Charm Cider")</f>
        <v>First Times a Charm Cider</v>
      </c>
      <c r="H1797" s="27" t="str">
        <f>IFERROR(__xludf.DUMMYFUNCTION("""COMPUTED_VALUE"""),"")</f>
        <v/>
      </c>
    </row>
    <row r="1798">
      <c r="A1798" s="17"/>
      <c r="B1798" s="23"/>
      <c r="C1798" s="17">
        <f>IFERROR(__xludf.DUMMYFUNCTION("""COMPUTED_VALUE"""),43535.8270539583)</f>
        <v>43535.82705</v>
      </c>
      <c r="D1798" s="23">
        <f>IFERROR(__xludf.DUMMYFUNCTION("""COMPUTED_VALUE"""),1.044)</f>
        <v>1.044</v>
      </c>
      <c r="E1798" s="24">
        <f>IFERROR(__xludf.DUMMYFUNCTION("""COMPUTED_VALUE"""),68.0)</f>
        <v>68</v>
      </c>
      <c r="F1798" s="27" t="str">
        <f>IFERROR(__xludf.DUMMYFUNCTION("""COMPUTED_VALUE"""),"BLACK")</f>
        <v>BLACK</v>
      </c>
      <c r="G1798" s="28" t="str">
        <f>IFERROR(__xludf.DUMMYFUNCTION("""COMPUTED_VALUE"""),"First Times a Charm Cider")</f>
        <v>First Times a Charm Cider</v>
      </c>
      <c r="H1798" s="27" t="str">
        <f>IFERROR(__xludf.DUMMYFUNCTION("""COMPUTED_VALUE"""),"")</f>
        <v/>
      </c>
    </row>
    <row r="1799">
      <c r="A1799" s="17"/>
      <c r="B1799" s="23"/>
      <c r="C1799" s="17">
        <f>IFERROR(__xludf.DUMMYFUNCTION("""COMPUTED_VALUE"""),43535.8166323263)</f>
        <v>43535.81663</v>
      </c>
      <c r="D1799" s="23">
        <f>IFERROR(__xludf.DUMMYFUNCTION("""COMPUTED_VALUE"""),1.044)</f>
        <v>1.044</v>
      </c>
      <c r="E1799" s="24">
        <f>IFERROR(__xludf.DUMMYFUNCTION("""COMPUTED_VALUE"""),68.0)</f>
        <v>68</v>
      </c>
      <c r="F1799" s="27" t="str">
        <f>IFERROR(__xludf.DUMMYFUNCTION("""COMPUTED_VALUE"""),"BLACK")</f>
        <v>BLACK</v>
      </c>
      <c r="G1799" s="28" t="str">
        <f>IFERROR(__xludf.DUMMYFUNCTION("""COMPUTED_VALUE"""),"First Times a Charm Cider")</f>
        <v>First Times a Charm Cider</v>
      </c>
      <c r="H1799" s="27" t="str">
        <f>IFERROR(__xludf.DUMMYFUNCTION("""COMPUTED_VALUE"""),"")</f>
        <v/>
      </c>
    </row>
    <row r="1800">
      <c r="A1800" s="17"/>
      <c r="B1800" s="23"/>
      <c r="C1800" s="17">
        <f>IFERROR(__xludf.DUMMYFUNCTION("""COMPUTED_VALUE"""),43535.8062120023)</f>
        <v>43535.80621</v>
      </c>
      <c r="D1800" s="23">
        <f>IFERROR(__xludf.DUMMYFUNCTION("""COMPUTED_VALUE"""),1.044)</f>
        <v>1.044</v>
      </c>
      <c r="E1800" s="24">
        <f>IFERROR(__xludf.DUMMYFUNCTION("""COMPUTED_VALUE"""),68.0)</f>
        <v>68</v>
      </c>
      <c r="F1800" s="27" t="str">
        <f>IFERROR(__xludf.DUMMYFUNCTION("""COMPUTED_VALUE"""),"BLACK")</f>
        <v>BLACK</v>
      </c>
      <c r="G1800" s="28" t="str">
        <f>IFERROR(__xludf.DUMMYFUNCTION("""COMPUTED_VALUE"""),"First Times a Charm Cider")</f>
        <v>First Times a Charm Cider</v>
      </c>
      <c r="H1800" s="27" t="str">
        <f>IFERROR(__xludf.DUMMYFUNCTION("""COMPUTED_VALUE"""),"")</f>
        <v/>
      </c>
    </row>
    <row r="1801">
      <c r="A1801" s="17"/>
      <c r="B1801" s="23"/>
      <c r="C1801" s="17">
        <f>IFERROR(__xludf.DUMMYFUNCTION("""COMPUTED_VALUE"""),43535.7957898842)</f>
        <v>43535.79579</v>
      </c>
      <c r="D1801" s="23">
        <f>IFERROR(__xludf.DUMMYFUNCTION("""COMPUTED_VALUE"""),1.044)</f>
        <v>1.044</v>
      </c>
      <c r="E1801" s="24">
        <f>IFERROR(__xludf.DUMMYFUNCTION("""COMPUTED_VALUE"""),68.0)</f>
        <v>68</v>
      </c>
      <c r="F1801" s="27" t="str">
        <f>IFERROR(__xludf.DUMMYFUNCTION("""COMPUTED_VALUE"""),"BLACK")</f>
        <v>BLACK</v>
      </c>
      <c r="G1801" s="28" t="str">
        <f>IFERROR(__xludf.DUMMYFUNCTION("""COMPUTED_VALUE"""),"First Times a Charm Cider")</f>
        <v>First Times a Charm Cider</v>
      </c>
      <c r="H1801" s="27" t="str">
        <f>IFERROR(__xludf.DUMMYFUNCTION("""COMPUTED_VALUE"""),"")</f>
        <v/>
      </c>
    </row>
    <row r="1802">
      <c r="A1802" s="17"/>
      <c r="B1802" s="23"/>
      <c r="C1802" s="17">
        <f>IFERROR(__xludf.DUMMYFUNCTION("""COMPUTED_VALUE"""),43535.7853697453)</f>
        <v>43535.78537</v>
      </c>
      <c r="D1802" s="23">
        <f>IFERROR(__xludf.DUMMYFUNCTION("""COMPUTED_VALUE"""),1.044)</f>
        <v>1.044</v>
      </c>
      <c r="E1802" s="24">
        <f>IFERROR(__xludf.DUMMYFUNCTION("""COMPUTED_VALUE"""),68.0)</f>
        <v>68</v>
      </c>
      <c r="F1802" s="27" t="str">
        <f>IFERROR(__xludf.DUMMYFUNCTION("""COMPUTED_VALUE"""),"BLACK")</f>
        <v>BLACK</v>
      </c>
      <c r="G1802" s="28" t="str">
        <f>IFERROR(__xludf.DUMMYFUNCTION("""COMPUTED_VALUE"""),"First Times a Charm Cider")</f>
        <v>First Times a Charm Cider</v>
      </c>
      <c r="H1802" s="27" t="str">
        <f>IFERROR(__xludf.DUMMYFUNCTION("""COMPUTED_VALUE"""),"")</f>
        <v/>
      </c>
    </row>
    <row r="1803">
      <c r="A1803" s="17"/>
      <c r="B1803" s="23"/>
      <c r="C1803" s="17">
        <f>IFERROR(__xludf.DUMMYFUNCTION("""COMPUTED_VALUE"""),43535.7749500115)</f>
        <v>43535.77495</v>
      </c>
      <c r="D1803" s="23">
        <f>IFERROR(__xludf.DUMMYFUNCTION("""COMPUTED_VALUE"""),1.044)</f>
        <v>1.044</v>
      </c>
      <c r="E1803" s="24">
        <f>IFERROR(__xludf.DUMMYFUNCTION("""COMPUTED_VALUE"""),68.0)</f>
        <v>68</v>
      </c>
      <c r="F1803" s="27" t="str">
        <f>IFERROR(__xludf.DUMMYFUNCTION("""COMPUTED_VALUE"""),"BLACK")</f>
        <v>BLACK</v>
      </c>
      <c r="G1803" s="28" t="str">
        <f>IFERROR(__xludf.DUMMYFUNCTION("""COMPUTED_VALUE"""),"First Times a Charm Cider")</f>
        <v>First Times a Charm Cider</v>
      </c>
      <c r="H1803" s="27" t="str">
        <f>IFERROR(__xludf.DUMMYFUNCTION("""COMPUTED_VALUE"""),"")</f>
        <v/>
      </c>
    </row>
    <row r="1804">
      <c r="A1804" s="17"/>
      <c r="B1804" s="23"/>
      <c r="C1804" s="17">
        <f>IFERROR(__xludf.DUMMYFUNCTION("""COMPUTED_VALUE"""),43535.7645292939)</f>
        <v>43535.76453</v>
      </c>
      <c r="D1804" s="23">
        <f>IFERROR(__xludf.DUMMYFUNCTION("""COMPUTED_VALUE"""),1.044)</f>
        <v>1.044</v>
      </c>
      <c r="E1804" s="24">
        <f>IFERROR(__xludf.DUMMYFUNCTION("""COMPUTED_VALUE"""),68.0)</f>
        <v>68</v>
      </c>
      <c r="F1804" s="27" t="str">
        <f>IFERROR(__xludf.DUMMYFUNCTION("""COMPUTED_VALUE"""),"BLACK")</f>
        <v>BLACK</v>
      </c>
      <c r="G1804" s="28" t="str">
        <f>IFERROR(__xludf.DUMMYFUNCTION("""COMPUTED_VALUE"""),"First Times a Charm Cider")</f>
        <v>First Times a Charm Cider</v>
      </c>
      <c r="H1804" s="27" t="str">
        <f>IFERROR(__xludf.DUMMYFUNCTION("""COMPUTED_VALUE"""),"")</f>
        <v/>
      </c>
    </row>
    <row r="1805">
      <c r="A1805" s="17"/>
      <c r="B1805" s="23"/>
      <c r="C1805" s="17">
        <f>IFERROR(__xludf.DUMMYFUNCTION("""COMPUTED_VALUE"""),43535.7541070601)</f>
        <v>43535.75411</v>
      </c>
      <c r="D1805" s="23">
        <f>IFERROR(__xludf.DUMMYFUNCTION("""COMPUTED_VALUE"""),1.044)</f>
        <v>1.044</v>
      </c>
      <c r="E1805" s="24">
        <f>IFERROR(__xludf.DUMMYFUNCTION("""COMPUTED_VALUE"""),68.0)</f>
        <v>68</v>
      </c>
      <c r="F1805" s="27" t="str">
        <f>IFERROR(__xludf.DUMMYFUNCTION("""COMPUTED_VALUE"""),"BLACK")</f>
        <v>BLACK</v>
      </c>
      <c r="G1805" s="28" t="str">
        <f>IFERROR(__xludf.DUMMYFUNCTION("""COMPUTED_VALUE"""),"First Times a Charm Cider")</f>
        <v>First Times a Charm Cider</v>
      </c>
      <c r="H1805" s="27" t="str">
        <f>IFERROR(__xludf.DUMMYFUNCTION("""COMPUTED_VALUE"""),"")</f>
        <v/>
      </c>
    </row>
    <row r="1806">
      <c r="A1806" s="17"/>
      <c r="B1806" s="23"/>
      <c r="C1806" s="17">
        <f>IFERROR(__xludf.DUMMYFUNCTION("""COMPUTED_VALUE"""),43535.7436867824)</f>
        <v>43535.74369</v>
      </c>
      <c r="D1806" s="23">
        <f>IFERROR(__xludf.DUMMYFUNCTION("""COMPUTED_VALUE"""),1.044)</f>
        <v>1.044</v>
      </c>
      <c r="E1806" s="24">
        <f>IFERROR(__xludf.DUMMYFUNCTION("""COMPUTED_VALUE"""),68.0)</f>
        <v>68</v>
      </c>
      <c r="F1806" s="27" t="str">
        <f>IFERROR(__xludf.DUMMYFUNCTION("""COMPUTED_VALUE"""),"BLACK")</f>
        <v>BLACK</v>
      </c>
      <c r="G1806" s="28" t="str">
        <f>IFERROR(__xludf.DUMMYFUNCTION("""COMPUTED_VALUE"""),"First Times a Charm Cider")</f>
        <v>First Times a Charm Cider</v>
      </c>
      <c r="H1806" s="27" t="str">
        <f>IFERROR(__xludf.DUMMYFUNCTION("""COMPUTED_VALUE"""),"")</f>
        <v/>
      </c>
    </row>
    <row r="1807">
      <c r="A1807" s="17"/>
      <c r="B1807" s="23"/>
      <c r="C1807" s="17">
        <f>IFERROR(__xludf.DUMMYFUNCTION("""COMPUTED_VALUE"""),43535.7332645717)</f>
        <v>43535.73326</v>
      </c>
      <c r="D1807" s="23">
        <f>IFERROR(__xludf.DUMMYFUNCTION("""COMPUTED_VALUE"""),1.044)</f>
        <v>1.044</v>
      </c>
      <c r="E1807" s="24">
        <f>IFERROR(__xludf.DUMMYFUNCTION("""COMPUTED_VALUE"""),68.0)</f>
        <v>68</v>
      </c>
      <c r="F1807" s="27" t="str">
        <f>IFERROR(__xludf.DUMMYFUNCTION("""COMPUTED_VALUE"""),"BLACK")</f>
        <v>BLACK</v>
      </c>
      <c r="G1807" s="28" t="str">
        <f>IFERROR(__xludf.DUMMYFUNCTION("""COMPUTED_VALUE"""),"First Times a Charm Cider")</f>
        <v>First Times a Charm Cider</v>
      </c>
      <c r="H1807" s="27" t="str">
        <f>IFERROR(__xludf.DUMMYFUNCTION("""COMPUTED_VALUE"""),"")</f>
        <v/>
      </c>
    </row>
    <row r="1808">
      <c r="A1808" s="17"/>
      <c r="B1808" s="23"/>
      <c r="C1808" s="17">
        <f>IFERROR(__xludf.DUMMYFUNCTION("""COMPUTED_VALUE"""),43535.7228452777)</f>
        <v>43535.72285</v>
      </c>
      <c r="D1808" s="23">
        <f>IFERROR(__xludf.DUMMYFUNCTION("""COMPUTED_VALUE"""),1.044)</f>
        <v>1.044</v>
      </c>
      <c r="E1808" s="24">
        <f>IFERROR(__xludf.DUMMYFUNCTION("""COMPUTED_VALUE"""),68.0)</f>
        <v>68</v>
      </c>
      <c r="F1808" s="27" t="str">
        <f>IFERROR(__xludf.DUMMYFUNCTION("""COMPUTED_VALUE"""),"BLACK")</f>
        <v>BLACK</v>
      </c>
      <c r="G1808" s="28" t="str">
        <f>IFERROR(__xludf.DUMMYFUNCTION("""COMPUTED_VALUE"""),"First Times a Charm Cider")</f>
        <v>First Times a Charm Cider</v>
      </c>
      <c r="H1808" s="27" t="str">
        <f>IFERROR(__xludf.DUMMYFUNCTION("""COMPUTED_VALUE"""),"")</f>
        <v/>
      </c>
    </row>
    <row r="1809">
      <c r="A1809" s="17"/>
      <c r="B1809" s="23"/>
      <c r="C1809" s="17">
        <f>IFERROR(__xludf.DUMMYFUNCTION("""COMPUTED_VALUE"""),43535.7124001851)</f>
        <v>43535.7124</v>
      </c>
      <c r="D1809" s="23">
        <f>IFERROR(__xludf.DUMMYFUNCTION("""COMPUTED_VALUE"""),1.044)</f>
        <v>1.044</v>
      </c>
      <c r="E1809" s="24">
        <f>IFERROR(__xludf.DUMMYFUNCTION("""COMPUTED_VALUE"""),68.0)</f>
        <v>68</v>
      </c>
      <c r="F1809" s="27" t="str">
        <f>IFERROR(__xludf.DUMMYFUNCTION("""COMPUTED_VALUE"""),"BLACK")</f>
        <v>BLACK</v>
      </c>
      <c r="G1809" s="28" t="str">
        <f>IFERROR(__xludf.DUMMYFUNCTION("""COMPUTED_VALUE"""),"First Times a Charm Cider")</f>
        <v>First Times a Charm Cider</v>
      </c>
      <c r="H1809" s="27" t="str">
        <f>IFERROR(__xludf.DUMMYFUNCTION("""COMPUTED_VALUE"""),"")</f>
        <v/>
      </c>
    </row>
    <row r="1810">
      <c r="A1810" s="17"/>
      <c r="B1810" s="23"/>
      <c r="C1810" s="17">
        <f>IFERROR(__xludf.DUMMYFUNCTION("""COMPUTED_VALUE"""),43535.7019801967)</f>
        <v>43535.70198</v>
      </c>
      <c r="D1810" s="23">
        <f>IFERROR(__xludf.DUMMYFUNCTION("""COMPUTED_VALUE"""),1.044)</f>
        <v>1.044</v>
      </c>
      <c r="E1810" s="24">
        <f>IFERROR(__xludf.DUMMYFUNCTION("""COMPUTED_VALUE"""),68.0)</f>
        <v>68</v>
      </c>
      <c r="F1810" s="27" t="str">
        <f>IFERROR(__xludf.DUMMYFUNCTION("""COMPUTED_VALUE"""),"BLACK")</f>
        <v>BLACK</v>
      </c>
      <c r="G1810" s="28" t="str">
        <f>IFERROR(__xludf.DUMMYFUNCTION("""COMPUTED_VALUE"""),"First Times a Charm Cider")</f>
        <v>First Times a Charm Cider</v>
      </c>
      <c r="H1810" s="27" t="str">
        <f>IFERROR(__xludf.DUMMYFUNCTION("""COMPUTED_VALUE"""),"")</f>
        <v/>
      </c>
    </row>
    <row r="1811">
      <c r="A1811" s="17"/>
      <c r="B1811" s="23"/>
      <c r="C1811" s="17">
        <f>IFERROR(__xludf.DUMMYFUNCTION("""COMPUTED_VALUE"""),43535.6915242129)</f>
        <v>43535.69152</v>
      </c>
      <c r="D1811" s="23">
        <f>IFERROR(__xludf.DUMMYFUNCTION("""COMPUTED_VALUE"""),1.044)</f>
        <v>1.044</v>
      </c>
      <c r="E1811" s="24">
        <f>IFERROR(__xludf.DUMMYFUNCTION("""COMPUTED_VALUE"""),68.0)</f>
        <v>68</v>
      </c>
      <c r="F1811" s="27" t="str">
        <f>IFERROR(__xludf.DUMMYFUNCTION("""COMPUTED_VALUE"""),"BLACK")</f>
        <v>BLACK</v>
      </c>
      <c r="G1811" s="28" t="str">
        <f>IFERROR(__xludf.DUMMYFUNCTION("""COMPUTED_VALUE"""),"First Times a Charm Cider")</f>
        <v>First Times a Charm Cider</v>
      </c>
      <c r="H1811" s="27" t="str">
        <f>IFERROR(__xludf.DUMMYFUNCTION("""COMPUTED_VALUE"""),"")</f>
        <v/>
      </c>
    </row>
    <row r="1812">
      <c r="A1812" s="17"/>
      <c r="B1812" s="23"/>
      <c r="C1812" s="17">
        <f>IFERROR(__xludf.DUMMYFUNCTION("""COMPUTED_VALUE"""),43535.6811006134)</f>
        <v>43535.6811</v>
      </c>
      <c r="D1812" s="23">
        <f>IFERROR(__xludf.DUMMYFUNCTION("""COMPUTED_VALUE"""),1.044)</f>
        <v>1.044</v>
      </c>
      <c r="E1812" s="24">
        <f>IFERROR(__xludf.DUMMYFUNCTION("""COMPUTED_VALUE"""),68.0)</f>
        <v>68</v>
      </c>
      <c r="F1812" s="27" t="str">
        <f>IFERROR(__xludf.DUMMYFUNCTION("""COMPUTED_VALUE"""),"BLACK")</f>
        <v>BLACK</v>
      </c>
      <c r="G1812" s="28" t="str">
        <f>IFERROR(__xludf.DUMMYFUNCTION("""COMPUTED_VALUE"""),"First Times a Charm Cider")</f>
        <v>First Times a Charm Cider</v>
      </c>
      <c r="H1812" s="27" t="str">
        <f>IFERROR(__xludf.DUMMYFUNCTION("""COMPUTED_VALUE"""),"")</f>
        <v/>
      </c>
    </row>
    <row r="1813">
      <c r="A1813" s="17"/>
      <c r="B1813" s="23"/>
      <c r="C1813" s="17">
        <f>IFERROR(__xludf.DUMMYFUNCTION("""COMPUTED_VALUE"""),43535.6706780671)</f>
        <v>43535.67068</v>
      </c>
      <c r="D1813" s="23">
        <f>IFERROR(__xludf.DUMMYFUNCTION("""COMPUTED_VALUE"""),1.044)</f>
        <v>1.044</v>
      </c>
      <c r="E1813" s="24">
        <f>IFERROR(__xludf.DUMMYFUNCTION("""COMPUTED_VALUE"""),68.0)</f>
        <v>68</v>
      </c>
      <c r="F1813" s="27" t="str">
        <f>IFERROR(__xludf.DUMMYFUNCTION("""COMPUTED_VALUE"""),"BLACK")</f>
        <v>BLACK</v>
      </c>
      <c r="G1813" s="28" t="str">
        <f>IFERROR(__xludf.DUMMYFUNCTION("""COMPUTED_VALUE"""),"First Times a Charm Cider")</f>
        <v>First Times a Charm Cider</v>
      </c>
      <c r="H1813" s="27" t="str">
        <f>IFERROR(__xludf.DUMMYFUNCTION("""COMPUTED_VALUE"""),"")</f>
        <v/>
      </c>
    </row>
    <row r="1814">
      <c r="A1814" s="17"/>
      <c r="B1814" s="23"/>
      <c r="C1814" s="17">
        <f>IFERROR(__xludf.DUMMYFUNCTION("""COMPUTED_VALUE"""),43535.6602462384)</f>
        <v>43535.66025</v>
      </c>
      <c r="D1814" s="23">
        <f>IFERROR(__xludf.DUMMYFUNCTION("""COMPUTED_VALUE"""),1.044)</f>
        <v>1.044</v>
      </c>
      <c r="E1814" s="24">
        <f>IFERROR(__xludf.DUMMYFUNCTION("""COMPUTED_VALUE"""),68.0)</f>
        <v>68</v>
      </c>
      <c r="F1814" s="27" t="str">
        <f>IFERROR(__xludf.DUMMYFUNCTION("""COMPUTED_VALUE"""),"BLACK")</f>
        <v>BLACK</v>
      </c>
      <c r="G1814" s="28" t="str">
        <f>IFERROR(__xludf.DUMMYFUNCTION("""COMPUTED_VALUE"""),"First Times a Charm Cider")</f>
        <v>First Times a Charm Cider</v>
      </c>
      <c r="H1814" s="27" t="str">
        <f>IFERROR(__xludf.DUMMYFUNCTION("""COMPUTED_VALUE"""),"")</f>
        <v/>
      </c>
    </row>
    <row r="1815">
      <c r="A1815" s="17"/>
      <c r="B1815" s="23"/>
      <c r="C1815" s="17">
        <f>IFERROR(__xludf.DUMMYFUNCTION("""COMPUTED_VALUE"""),43535.6498234837)</f>
        <v>43535.64982</v>
      </c>
      <c r="D1815" s="23">
        <f>IFERROR(__xludf.DUMMYFUNCTION("""COMPUTED_VALUE"""),1.044)</f>
        <v>1.044</v>
      </c>
      <c r="E1815" s="24">
        <f>IFERROR(__xludf.DUMMYFUNCTION("""COMPUTED_VALUE"""),68.0)</f>
        <v>68</v>
      </c>
      <c r="F1815" s="27" t="str">
        <f>IFERROR(__xludf.DUMMYFUNCTION("""COMPUTED_VALUE"""),"BLACK")</f>
        <v>BLACK</v>
      </c>
      <c r="G1815" s="28" t="str">
        <f>IFERROR(__xludf.DUMMYFUNCTION("""COMPUTED_VALUE"""),"First Times a Charm Cider")</f>
        <v>First Times a Charm Cider</v>
      </c>
      <c r="H1815" s="27" t="str">
        <f>IFERROR(__xludf.DUMMYFUNCTION("""COMPUTED_VALUE"""),"")</f>
        <v/>
      </c>
    </row>
    <row r="1816">
      <c r="A1816" s="17"/>
      <c r="B1816" s="23"/>
      <c r="C1816" s="17">
        <f>IFERROR(__xludf.DUMMYFUNCTION("""COMPUTED_VALUE"""),43535.6394013657)</f>
        <v>43535.6394</v>
      </c>
      <c r="D1816" s="23">
        <f>IFERROR(__xludf.DUMMYFUNCTION("""COMPUTED_VALUE"""),1.044)</f>
        <v>1.044</v>
      </c>
      <c r="E1816" s="24">
        <f>IFERROR(__xludf.DUMMYFUNCTION("""COMPUTED_VALUE"""),68.0)</f>
        <v>68</v>
      </c>
      <c r="F1816" s="27" t="str">
        <f>IFERROR(__xludf.DUMMYFUNCTION("""COMPUTED_VALUE"""),"BLACK")</f>
        <v>BLACK</v>
      </c>
      <c r="G1816" s="28" t="str">
        <f>IFERROR(__xludf.DUMMYFUNCTION("""COMPUTED_VALUE"""),"First Times a Charm Cider")</f>
        <v>First Times a Charm Cider</v>
      </c>
      <c r="H1816" s="27" t="str">
        <f>IFERROR(__xludf.DUMMYFUNCTION("""COMPUTED_VALUE"""),"")</f>
        <v/>
      </c>
    </row>
    <row r="1817">
      <c r="A1817" s="17"/>
      <c r="B1817" s="23"/>
      <c r="C1817" s="17">
        <f>IFERROR(__xludf.DUMMYFUNCTION("""COMPUTED_VALUE"""),43535.6289799652)</f>
        <v>43535.62898</v>
      </c>
      <c r="D1817" s="23">
        <f>IFERROR(__xludf.DUMMYFUNCTION("""COMPUTED_VALUE"""),1.044)</f>
        <v>1.044</v>
      </c>
      <c r="E1817" s="24">
        <f>IFERROR(__xludf.DUMMYFUNCTION("""COMPUTED_VALUE"""),68.0)</f>
        <v>68</v>
      </c>
      <c r="F1817" s="27" t="str">
        <f>IFERROR(__xludf.DUMMYFUNCTION("""COMPUTED_VALUE"""),"BLACK")</f>
        <v>BLACK</v>
      </c>
      <c r="G1817" s="28" t="str">
        <f>IFERROR(__xludf.DUMMYFUNCTION("""COMPUTED_VALUE"""),"First Times a Charm Cider")</f>
        <v>First Times a Charm Cider</v>
      </c>
      <c r="H1817" s="27" t="str">
        <f>IFERROR(__xludf.DUMMYFUNCTION("""COMPUTED_VALUE"""),"")</f>
        <v/>
      </c>
    </row>
    <row r="1818">
      <c r="A1818" s="17"/>
      <c r="B1818" s="23"/>
      <c r="C1818" s="17">
        <f>IFERROR(__xludf.DUMMYFUNCTION("""COMPUTED_VALUE"""),43535.6185243518)</f>
        <v>43535.61852</v>
      </c>
      <c r="D1818" s="23">
        <f>IFERROR(__xludf.DUMMYFUNCTION("""COMPUTED_VALUE"""),1.044)</f>
        <v>1.044</v>
      </c>
      <c r="E1818" s="24">
        <f>IFERROR(__xludf.DUMMYFUNCTION("""COMPUTED_VALUE"""),68.0)</f>
        <v>68</v>
      </c>
      <c r="F1818" s="27" t="str">
        <f>IFERROR(__xludf.DUMMYFUNCTION("""COMPUTED_VALUE"""),"BLACK")</f>
        <v>BLACK</v>
      </c>
      <c r="G1818" s="28" t="str">
        <f>IFERROR(__xludf.DUMMYFUNCTION("""COMPUTED_VALUE"""),"First Times a Charm Cider")</f>
        <v>First Times a Charm Cider</v>
      </c>
      <c r="H1818" s="27" t="str">
        <f>IFERROR(__xludf.DUMMYFUNCTION("""COMPUTED_VALUE"""),"")</f>
        <v/>
      </c>
    </row>
    <row r="1819">
      <c r="A1819" s="17"/>
      <c r="B1819" s="23"/>
      <c r="C1819" s="17">
        <f>IFERROR(__xludf.DUMMYFUNCTION("""COMPUTED_VALUE"""),43535.6081026273)</f>
        <v>43535.6081</v>
      </c>
      <c r="D1819" s="23">
        <f>IFERROR(__xludf.DUMMYFUNCTION("""COMPUTED_VALUE"""),1.044)</f>
        <v>1.044</v>
      </c>
      <c r="E1819" s="24">
        <f>IFERROR(__xludf.DUMMYFUNCTION("""COMPUTED_VALUE"""),68.0)</f>
        <v>68</v>
      </c>
      <c r="F1819" s="27" t="str">
        <f>IFERROR(__xludf.DUMMYFUNCTION("""COMPUTED_VALUE"""),"BLACK")</f>
        <v>BLACK</v>
      </c>
      <c r="G1819" s="28" t="str">
        <f>IFERROR(__xludf.DUMMYFUNCTION("""COMPUTED_VALUE"""),"First Times a Charm Cider")</f>
        <v>First Times a Charm Cider</v>
      </c>
      <c r="H1819" s="27" t="str">
        <f>IFERROR(__xludf.DUMMYFUNCTION("""COMPUTED_VALUE"""),"")</f>
        <v/>
      </c>
    </row>
    <row r="1820">
      <c r="A1820" s="17"/>
      <c r="B1820" s="23"/>
      <c r="C1820" s="17">
        <f>IFERROR(__xludf.DUMMYFUNCTION("""COMPUTED_VALUE"""),43535.5976827083)</f>
        <v>43535.59768</v>
      </c>
      <c r="D1820" s="23">
        <f>IFERROR(__xludf.DUMMYFUNCTION("""COMPUTED_VALUE"""),1.044)</f>
        <v>1.044</v>
      </c>
      <c r="E1820" s="24">
        <f>IFERROR(__xludf.DUMMYFUNCTION("""COMPUTED_VALUE"""),68.0)</f>
        <v>68</v>
      </c>
      <c r="F1820" s="27" t="str">
        <f>IFERROR(__xludf.DUMMYFUNCTION("""COMPUTED_VALUE"""),"BLACK")</f>
        <v>BLACK</v>
      </c>
      <c r="G1820" s="28" t="str">
        <f>IFERROR(__xludf.DUMMYFUNCTION("""COMPUTED_VALUE"""),"First Times a Charm Cider")</f>
        <v>First Times a Charm Cider</v>
      </c>
      <c r="H1820" s="27" t="str">
        <f>IFERROR(__xludf.DUMMYFUNCTION("""COMPUTED_VALUE"""),"")</f>
        <v/>
      </c>
    </row>
    <row r="1821">
      <c r="A1821" s="17"/>
      <c r="B1821" s="23"/>
      <c r="C1821" s="17">
        <f>IFERROR(__xludf.DUMMYFUNCTION("""COMPUTED_VALUE"""),43535.5872598842)</f>
        <v>43535.58726</v>
      </c>
      <c r="D1821" s="23">
        <f>IFERROR(__xludf.DUMMYFUNCTION("""COMPUTED_VALUE"""),1.044)</f>
        <v>1.044</v>
      </c>
      <c r="E1821" s="24">
        <f>IFERROR(__xludf.DUMMYFUNCTION("""COMPUTED_VALUE"""),68.0)</f>
        <v>68</v>
      </c>
      <c r="F1821" s="27" t="str">
        <f>IFERROR(__xludf.DUMMYFUNCTION("""COMPUTED_VALUE"""),"BLACK")</f>
        <v>BLACK</v>
      </c>
      <c r="G1821" s="28" t="str">
        <f>IFERROR(__xludf.DUMMYFUNCTION("""COMPUTED_VALUE"""),"First Times a Charm Cider")</f>
        <v>First Times a Charm Cider</v>
      </c>
      <c r="H1821" s="27" t="str">
        <f>IFERROR(__xludf.DUMMYFUNCTION("""COMPUTED_VALUE"""),"")</f>
        <v/>
      </c>
    </row>
    <row r="1822">
      <c r="A1822" s="17"/>
      <c r="B1822" s="23"/>
      <c r="C1822" s="17">
        <f>IFERROR(__xludf.DUMMYFUNCTION("""COMPUTED_VALUE"""),43535.5768400231)</f>
        <v>43535.57684</v>
      </c>
      <c r="D1822" s="23">
        <f>IFERROR(__xludf.DUMMYFUNCTION("""COMPUTED_VALUE"""),1.044)</f>
        <v>1.044</v>
      </c>
      <c r="E1822" s="24">
        <f>IFERROR(__xludf.DUMMYFUNCTION("""COMPUTED_VALUE"""),68.0)</f>
        <v>68</v>
      </c>
      <c r="F1822" s="27" t="str">
        <f>IFERROR(__xludf.DUMMYFUNCTION("""COMPUTED_VALUE"""),"BLACK")</f>
        <v>BLACK</v>
      </c>
      <c r="G1822" s="28" t="str">
        <f>IFERROR(__xludf.DUMMYFUNCTION("""COMPUTED_VALUE"""),"First Times a Charm Cider")</f>
        <v>First Times a Charm Cider</v>
      </c>
      <c r="H1822" s="27" t="str">
        <f>IFERROR(__xludf.DUMMYFUNCTION("""COMPUTED_VALUE"""),"")</f>
        <v/>
      </c>
    </row>
    <row r="1823">
      <c r="A1823" s="17"/>
      <c r="B1823" s="23"/>
      <c r="C1823" s="17">
        <f>IFERROR(__xludf.DUMMYFUNCTION("""COMPUTED_VALUE"""),43535.5664189699)</f>
        <v>43535.56642</v>
      </c>
      <c r="D1823" s="23">
        <f>IFERROR(__xludf.DUMMYFUNCTION("""COMPUTED_VALUE"""),1.044)</f>
        <v>1.044</v>
      </c>
      <c r="E1823" s="24">
        <f>IFERROR(__xludf.DUMMYFUNCTION("""COMPUTED_VALUE"""),68.0)</f>
        <v>68</v>
      </c>
      <c r="F1823" s="27" t="str">
        <f>IFERROR(__xludf.DUMMYFUNCTION("""COMPUTED_VALUE"""),"BLACK")</f>
        <v>BLACK</v>
      </c>
      <c r="G1823" s="28" t="str">
        <f>IFERROR(__xludf.DUMMYFUNCTION("""COMPUTED_VALUE"""),"First Times a Charm Cider")</f>
        <v>First Times a Charm Cider</v>
      </c>
      <c r="H1823" s="27" t="str">
        <f>IFERROR(__xludf.DUMMYFUNCTION("""COMPUTED_VALUE"""),"")</f>
        <v/>
      </c>
    </row>
    <row r="1824">
      <c r="A1824" s="17"/>
      <c r="B1824" s="23"/>
      <c r="C1824" s="17">
        <f>IFERROR(__xludf.DUMMYFUNCTION("""COMPUTED_VALUE"""),43535.5559963888)</f>
        <v>43535.556</v>
      </c>
      <c r="D1824" s="23">
        <f>IFERROR(__xludf.DUMMYFUNCTION("""COMPUTED_VALUE"""),1.044)</f>
        <v>1.044</v>
      </c>
      <c r="E1824" s="24">
        <f>IFERROR(__xludf.DUMMYFUNCTION("""COMPUTED_VALUE"""),68.0)</f>
        <v>68</v>
      </c>
      <c r="F1824" s="27" t="str">
        <f>IFERROR(__xludf.DUMMYFUNCTION("""COMPUTED_VALUE"""),"BLACK")</f>
        <v>BLACK</v>
      </c>
      <c r="G1824" s="28" t="str">
        <f>IFERROR(__xludf.DUMMYFUNCTION("""COMPUTED_VALUE"""),"First Times a Charm Cider")</f>
        <v>First Times a Charm Cider</v>
      </c>
      <c r="H1824" s="27" t="str">
        <f>IFERROR(__xludf.DUMMYFUNCTION("""COMPUTED_VALUE"""),"")</f>
        <v/>
      </c>
    </row>
    <row r="1825">
      <c r="A1825" s="17"/>
      <c r="B1825" s="23"/>
      <c r="C1825" s="17">
        <f>IFERROR(__xludf.DUMMYFUNCTION("""COMPUTED_VALUE"""),43535.5455738194)</f>
        <v>43535.54557</v>
      </c>
      <c r="D1825" s="23">
        <f>IFERROR(__xludf.DUMMYFUNCTION("""COMPUTED_VALUE"""),1.044)</f>
        <v>1.044</v>
      </c>
      <c r="E1825" s="24">
        <f>IFERROR(__xludf.DUMMYFUNCTION("""COMPUTED_VALUE"""),68.0)</f>
        <v>68</v>
      </c>
      <c r="F1825" s="27" t="str">
        <f>IFERROR(__xludf.DUMMYFUNCTION("""COMPUTED_VALUE"""),"BLACK")</f>
        <v>BLACK</v>
      </c>
      <c r="G1825" s="28" t="str">
        <f>IFERROR(__xludf.DUMMYFUNCTION("""COMPUTED_VALUE"""),"First Times a Charm Cider")</f>
        <v>First Times a Charm Cider</v>
      </c>
      <c r="H1825" s="27" t="str">
        <f>IFERROR(__xludf.DUMMYFUNCTION("""COMPUTED_VALUE"""),"")</f>
        <v/>
      </c>
    </row>
    <row r="1826">
      <c r="A1826" s="17"/>
      <c r="B1826" s="23"/>
      <c r="C1826" s="17">
        <f>IFERROR(__xludf.DUMMYFUNCTION("""COMPUTED_VALUE"""),43535.5351520601)</f>
        <v>43535.53515</v>
      </c>
      <c r="D1826" s="23">
        <f>IFERROR(__xludf.DUMMYFUNCTION("""COMPUTED_VALUE"""),1.044)</f>
        <v>1.044</v>
      </c>
      <c r="E1826" s="24">
        <f>IFERROR(__xludf.DUMMYFUNCTION("""COMPUTED_VALUE"""),68.0)</f>
        <v>68</v>
      </c>
      <c r="F1826" s="27" t="str">
        <f>IFERROR(__xludf.DUMMYFUNCTION("""COMPUTED_VALUE"""),"BLACK")</f>
        <v>BLACK</v>
      </c>
      <c r="G1826" s="28" t="str">
        <f>IFERROR(__xludf.DUMMYFUNCTION("""COMPUTED_VALUE"""),"First Times a Charm Cider")</f>
        <v>First Times a Charm Cider</v>
      </c>
      <c r="H1826" s="27" t="str">
        <f>IFERROR(__xludf.DUMMYFUNCTION("""COMPUTED_VALUE"""),"")</f>
        <v/>
      </c>
    </row>
    <row r="1827">
      <c r="A1827" s="17"/>
      <c r="B1827" s="23"/>
      <c r="C1827" s="17">
        <f>IFERROR(__xludf.DUMMYFUNCTION("""COMPUTED_VALUE"""),43535.5247287268)</f>
        <v>43535.52473</v>
      </c>
      <c r="D1827" s="23">
        <f>IFERROR(__xludf.DUMMYFUNCTION("""COMPUTED_VALUE"""),1.044)</f>
        <v>1.044</v>
      </c>
      <c r="E1827" s="24">
        <f>IFERROR(__xludf.DUMMYFUNCTION("""COMPUTED_VALUE"""),68.0)</f>
        <v>68</v>
      </c>
      <c r="F1827" s="27" t="str">
        <f>IFERROR(__xludf.DUMMYFUNCTION("""COMPUTED_VALUE"""),"BLACK")</f>
        <v>BLACK</v>
      </c>
      <c r="G1827" s="28" t="str">
        <f>IFERROR(__xludf.DUMMYFUNCTION("""COMPUTED_VALUE"""),"First Times a Charm Cider")</f>
        <v>First Times a Charm Cider</v>
      </c>
      <c r="H1827" s="27" t="str">
        <f>IFERROR(__xludf.DUMMYFUNCTION("""COMPUTED_VALUE"""),"")</f>
        <v/>
      </c>
    </row>
    <row r="1828">
      <c r="A1828" s="17"/>
      <c r="B1828" s="23"/>
      <c r="C1828" s="17">
        <f>IFERROR(__xludf.DUMMYFUNCTION("""COMPUTED_VALUE"""),43535.5142941319)</f>
        <v>43535.51429</v>
      </c>
      <c r="D1828" s="23">
        <f>IFERROR(__xludf.DUMMYFUNCTION("""COMPUTED_VALUE"""),1.044)</f>
        <v>1.044</v>
      </c>
      <c r="E1828" s="24">
        <f>IFERROR(__xludf.DUMMYFUNCTION("""COMPUTED_VALUE"""),68.0)</f>
        <v>68</v>
      </c>
      <c r="F1828" s="27" t="str">
        <f>IFERROR(__xludf.DUMMYFUNCTION("""COMPUTED_VALUE"""),"BLACK")</f>
        <v>BLACK</v>
      </c>
      <c r="G1828" s="28" t="str">
        <f>IFERROR(__xludf.DUMMYFUNCTION("""COMPUTED_VALUE"""),"First Times a Charm Cider")</f>
        <v>First Times a Charm Cider</v>
      </c>
      <c r="H1828" s="27" t="str">
        <f>IFERROR(__xludf.DUMMYFUNCTION("""COMPUTED_VALUE"""),"")</f>
        <v/>
      </c>
    </row>
    <row r="1829">
      <c r="A1829" s="17"/>
      <c r="B1829" s="23"/>
      <c r="C1829" s="17">
        <f>IFERROR(__xludf.DUMMYFUNCTION("""COMPUTED_VALUE"""),43535.5038731018)</f>
        <v>43535.50387</v>
      </c>
      <c r="D1829" s="23">
        <f>IFERROR(__xludf.DUMMYFUNCTION("""COMPUTED_VALUE"""),1.044)</f>
        <v>1.044</v>
      </c>
      <c r="E1829" s="24">
        <f>IFERROR(__xludf.DUMMYFUNCTION("""COMPUTED_VALUE"""),68.0)</f>
        <v>68</v>
      </c>
      <c r="F1829" s="27" t="str">
        <f>IFERROR(__xludf.DUMMYFUNCTION("""COMPUTED_VALUE"""),"BLACK")</f>
        <v>BLACK</v>
      </c>
      <c r="G1829" s="28" t="str">
        <f>IFERROR(__xludf.DUMMYFUNCTION("""COMPUTED_VALUE"""),"First Times a Charm Cider")</f>
        <v>First Times a Charm Cider</v>
      </c>
      <c r="H1829" s="27" t="str">
        <f>IFERROR(__xludf.DUMMYFUNCTION("""COMPUTED_VALUE"""),"")</f>
        <v/>
      </c>
    </row>
    <row r="1830">
      <c r="A1830" s="17"/>
      <c r="B1830" s="23"/>
      <c r="C1830" s="17">
        <f>IFERROR(__xludf.DUMMYFUNCTION("""COMPUTED_VALUE"""),43535.4934292592)</f>
        <v>43535.49343</v>
      </c>
      <c r="D1830" s="23">
        <f>IFERROR(__xludf.DUMMYFUNCTION("""COMPUTED_VALUE"""),1.045)</f>
        <v>1.045</v>
      </c>
      <c r="E1830" s="24">
        <f>IFERROR(__xludf.DUMMYFUNCTION("""COMPUTED_VALUE"""),68.0)</f>
        <v>68</v>
      </c>
      <c r="F1830" s="27" t="str">
        <f>IFERROR(__xludf.DUMMYFUNCTION("""COMPUTED_VALUE"""),"BLACK")</f>
        <v>BLACK</v>
      </c>
      <c r="G1830" s="28" t="str">
        <f>IFERROR(__xludf.DUMMYFUNCTION("""COMPUTED_VALUE"""),"First Times a Charm Cider")</f>
        <v>First Times a Charm Cider</v>
      </c>
      <c r="H1830" s="27" t="str">
        <f>IFERROR(__xludf.DUMMYFUNCTION("""COMPUTED_VALUE"""),"")</f>
        <v/>
      </c>
    </row>
    <row r="1831">
      <c r="A1831" s="17"/>
      <c r="B1831" s="23"/>
      <c r="C1831" s="17">
        <f>IFERROR(__xludf.DUMMYFUNCTION("""COMPUTED_VALUE"""),43535.4830085995)</f>
        <v>43535.48301</v>
      </c>
      <c r="D1831" s="23">
        <f>IFERROR(__xludf.DUMMYFUNCTION("""COMPUTED_VALUE"""),1.044)</f>
        <v>1.044</v>
      </c>
      <c r="E1831" s="24">
        <f>IFERROR(__xludf.DUMMYFUNCTION("""COMPUTED_VALUE"""),68.0)</f>
        <v>68</v>
      </c>
      <c r="F1831" s="27" t="str">
        <f>IFERROR(__xludf.DUMMYFUNCTION("""COMPUTED_VALUE"""),"BLACK")</f>
        <v>BLACK</v>
      </c>
      <c r="G1831" s="28" t="str">
        <f>IFERROR(__xludf.DUMMYFUNCTION("""COMPUTED_VALUE"""),"First Times a Charm Cider")</f>
        <v>First Times a Charm Cider</v>
      </c>
      <c r="H1831" s="27" t="str">
        <f>IFERROR(__xludf.DUMMYFUNCTION("""COMPUTED_VALUE"""),"")</f>
        <v/>
      </c>
    </row>
    <row r="1832">
      <c r="A1832" s="17"/>
      <c r="B1832" s="23"/>
      <c r="C1832" s="17">
        <f>IFERROR(__xludf.DUMMYFUNCTION("""COMPUTED_VALUE"""),43535.4725886805)</f>
        <v>43535.47259</v>
      </c>
      <c r="D1832" s="23">
        <f>IFERROR(__xludf.DUMMYFUNCTION("""COMPUTED_VALUE"""),1.044)</f>
        <v>1.044</v>
      </c>
      <c r="E1832" s="24">
        <f>IFERROR(__xludf.DUMMYFUNCTION("""COMPUTED_VALUE"""),68.0)</f>
        <v>68</v>
      </c>
      <c r="F1832" s="27" t="str">
        <f>IFERROR(__xludf.DUMMYFUNCTION("""COMPUTED_VALUE"""),"BLACK")</f>
        <v>BLACK</v>
      </c>
      <c r="G1832" s="28" t="str">
        <f>IFERROR(__xludf.DUMMYFUNCTION("""COMPUTED_VALUE"""),"First Times a Charm Cider")</f>
        <v>First Times a Charm Cider</v>
      </c>
      <c r="H1832" s="27" t="str">
        <f>IFERROR(__xludf.DUMMYFUNCTION("""COMPUTED_VALUE"""),"")</f>
        <v/>
      </c>
    </row>
    <row r="1833">
      <c r="A1833" s="17"/>
      <c r="B1833" s="23"/>
      <c r="C1833" s="17">
        <f>IFERROR(__xludf.DUMMYFUNCTION("""COMPUTED_VALUE"""),43535.4621676041)</f>
        <v>43535.46217</v>
      </c>
      <c r="D1833" s="23">
        <f>IFERROR(__xludf.DUMMYFUNCTION("""COMPUTED_VALUE"""),1.044)</f>
        <v>1.044</v>
      </c>
      <c r="E1833" s="24">
        <f>IFERROR(__xludf.DUMMYFUNCTION("""COMPUTED_VALUE"""),68.0)</f>
        <v>68</v>
      </c>
      <c r="F1833" s="27" t="str">
        <f>IFERROR(__xludf.DUMMYFUNCTION("""COMPUTED_VALUE"""),"BLACK")</f>
        <v>BLACK</v>
      </c>
      <c r="G1833" s="28" t="str">
        <f>IFERROR(__xludf.DUMMYFUNCTION("""COMPUTED_VALUE"""),"First Times a Charm Cider")</f>
        <v>First Times a Charm Cider</v>
      </c>
      <c r="H1833" s="27" t="str">
        <f>IFERROR(__xludf.DUMMYFUNCTION("""COMPUTED_VALUE"""),"")</f>
        <v/>
      </c>
    </row>
    <row r="1834">
      <c r="A1834" s="17"/>
      <c r="B1834" s="23"/>
      <c r="C1834" s="17">
        <f>IFERROR(__xludf.DUMMYFUNCTION("""COMPUTED_VALUE"""),43535.4517467939)</f>
        <v>43535.45175</v>
      </c>
      <c r="D1834" s="23">
        <f>IFERROR(__xludf.DUMMYFUNCTION("""COMPUTED_VALUE"""),1.044)</f>
        <v>1.044</v>
      </c>
      <c r="E1834" s="24">
        <f>IFERROR(__xludf.DUMMYFUNCTION("""COMPUTED_VALUE"""),68.0)</f>
        <v>68</v>
      </c>
      <c r="F1834" s="27" t="str">
        <f>IFERROR(__xludf.DUMMYFUNCTION("""COMPUTED_VALUE"""),"BLACK")</f>
        <v>BLACK</v>
      </c>
      <c r="G1834" s="28" t="str">
        <f>IFERROR(__xludf.DUMMYFUNCTION("""COMPUTED_VALUE"""),"First Times a Charm Cider")</f>
        <v>First Times a Charm Cider</v>
      </c>
      <c r="H1834" s="27" t="str">
        <f>IFERROR(__xludf.DUMMYFUNCTION("""COMPUTED_VALUE"""),"")</f>
        <v/>
      </c>
    </row>
    <row r="1835">
      <c r="A1835" s="17"/>
      <c r="B1835" s="23"/>
      <c r="C1835" s="17">
        <f>IFERROR(__xludf.DUMMYFUNCTION("""COMPUTED_VALUE"""),43535.4413244675)</f>
        <v>43535.44132</v>
      </c>
      <c r="D1835" s="23">
        <f>IFERROR(__xludf.DUMMYFUNCTION("""COMPUTED_VALUE"""),1.045)</f>
        <v>1.045</v>
      </c>
      <c r="E1835" s="24">
        <f>IFERROR(__xludf.DUMMYFUNCTION("""COMPUTED_VALUE"""),68.0)</f>
        <v>68</v>
      </c>
      <c r="F1835" s="27" t="str">
        <f>IFERROR(__xludf.DUMMYFUNCTION("""COMPUTED_VALUE"""),"BLACK")</f>
        <v>BLACK</v>
      </c>
      <c r="G1835" s="28" t="str">
        <f>IFERROR(__xludf.DUMMYFUNCTION("""COMPUTED_VALUE"""),"First Times a Charm Cider")</f>
        <v>First Times a Charm Cider</v>
      </c>
      <c r="H1835" s="27" t="str">
        <f>IFERROR(__xludf.DUMMYFUNCTION("""COMPUTED_VALUE"""),"")</f>
        <v/>
      </c>
    </row>
    <row r="1836">
      <c r="A1836" s="17"/>
      <c r="B1836" s="23"/>
      <c r="C1836" s="17">
        <f>IFERROR(__xludf.DUMMYFUNCTION("""COMPUTED_VALUE"""),43535.43089125)</f>
        <v>43535.43089</v>
      </c>
      <c r="D1836" s="23">
        <f>IFERROR(__xludf.DUMMYFUNCTION("""COMPUTED_VALUE"""),1.045)</f>
        <v>1.045</v>
      </c>
      <c r="E1836" s="24">
        <f>IFERROR(__xludf.DUMMYFUNCTION("""COMPUTED_VALUE"""),68.0)</f>
        <v>68</v>
      </c>
      <c r="F1836" s="27" t="str">
        <f>IFERROR(__xludf.DUMMYFUNCTION("""COMPUTED_VALUE"""),"BLACK")</f>
        <v>BLACK</v>
      </c>
      <c r="G1836" s="28" t="str">
        <f>IFERROR(__xludf.DUMMYFUNCTION("""COMPUTED_VALUE"""),"First Times a Charm Cider")</f>
        <v>First Times a Charm Cider</v>
      </c>
      <c r="H1836" s="27" t="str">
        <f>IFERROR(__xludf.DUMMYFUNCTION("""COMPUTED_VALUE"""),"")</f>
        <v/>
      </c>
    </row>
    <row r="1837">
      <c r="A1837" s="17"/>
      <c r="B1837" s="23"/>
      <c r="C1837" s="17">
        <f>IFERROR(__xludf.DUMMYFUNCTION("""COMPUTED_VALUE"""),43535.4204701967)</f>
        <v>43535.42047</v>
      </c>
      <c r="D1837" s="23">
        <f>IFERROR(__xludf.DUMMYFUNCTION("""COMPUTED_VALUE"""),1.045)</f>
        <v>1.045</v>
      </c>
      <c r="E1837" s="24">
        <f>IFERROR(__xludf.DUMMYFUNCTION("""COMPUTED_VALUE"""),68.0)</f>
        <v>68</v>
      </c>
      <c r="F1837" s="27" t="str">
        <f>IFERROR(__xludf.DUMMYFUNCTION("""COMPUTED_VALUE"""),"BLACK")</f>
        <v>BLACK</v>
      </c>
      <c r="G1837" s="28" t="str">
        <f>IFERROR(__xludf.DUMMYFUNCTION("""COMPUTED_VALUE"""),"First Times a Charm Cider")</f>
        <v>First Times a Charm Cider</v>
      </c>
      <c r="H1837" s="27" t="str">
        <f>IFERROR(__xludf.DUMMYFUNCTION("""COMPUTED_VALUE"""),"")</f>
        <v/>
      </c>
    </row>
    <row r="1838">
      <c r="A1838" s="17"/>
      <c r="B1838" s="23"/>
      <c r="C1838" s="17">
        <f>IFERROR(__xludf.DUMMYFUNCTION("""COMPUTED_VALUE"""),43535.4100500347)</f>
        <v>43535.41005</v>
      </c>
      <c r="D1838" s="23">
        <f>IFERROR(__xludf.DUMMYFUNCTION("""COMPUTED_VALUE"""),1.045)</f>
        <v>1.045</v>
      </c>
      <c r="E1838" s="24">
        <f>IFERROR(__xludf.DUMMYFUNCTION("""COMPUTED_VALUE"""),68.0)</f>
        <v>68</v>
      </c>
      <c r="F1838" s="27" t="str">
        <f>IFERROR(__xludf.DUMMYFUNCTION("""COMPUTED_VALUE"""),"BLACK")</f>
        <v>BLACK</v>
      </c>
      <c r="G1838" s="28" t="str">
        <f>IFERROR(__xludf.DUMMYFUNCTION("""COMPUTED_VALUE"""),"First Times a Charm Cider")</f>
        <v>First Times a Charm Cider</v>
      </c>
      <c r="H1838" s="27" t="str">
        <f>IFERROR(__xludf.DUMMYFUNCTION("""COMPUTED_VALUE"""),"")</f>
        <v/>
      </c>
    </row>
    <row r="1839">
      <c r="A1839" s="17"/>
      <c r="B1839" s="23"/>
      <c r="C1839" s="17">
        <f>IFERROR(__xludf.DUMMYFUNCTION("""COMPUTED_VALUE"""),43535.399629618)</f>
        <v>43535.39963</v>
      </c>
      <c r="D1839" s="23">
        <f>IFERROR(__xludf.DUMMYFUNCTION("""COMPUTED_VALUE"""),1.045)</f>
        <v>1.045</v>
      </c>
      <c r="E1839" s="24">
        <f>IFERROR(__xludf.DUMMYFUNCTION("""COMPUTED_VALUE"""),68.0)</f>
        <v>68</v>
      </c>
      <c r="F1839" s="27" t="str">
        <f>IFERROR(__xludf.DUMMYFUNCTION("""COMPUTED_VALUE"""),"BLACK")</f>
        <v>BLACK</v>
      </c>
      <c r="G1839" s="28" t="str">
        <f>IFERROR(__xludf.DUMMYFUNCTION("""COMPUTED_VALUE"""),"First Times a Charm Cider")</f>
        <v>First Times a Charm Cider</v>
      </c>
      <c r="H1839" s="27" t="str">
        <f>IFERROR(__xludf.DUMMYFUNCTION("""COMPUTED_VALUE"""),"")</f>
        <v/>
      </c>
    </row>
    <row r="1840">
      <c r="A1840" s="17"/>
      <c r="B1840" s="23"/>
      <c r="C1840" s="17">
        <f>IFERROR(__xludf.DUMMYFUNCTION("""COMPUTED_VALUE"""),43535.3892082291)</f>
        <v>43535.38921</v>
      </c>
      <c r="D1840" s="23">
        <f>IFERROR(__xludf.DUMMYFUNCTION("""COMPUTED_VALUE"""),1.045)</f>
        <v>1.045</v>
      </c>
      <c r="E1840" s="24">
        <f>IFERROR(__xludf.DUMMYFUNCTION("""COMPUTED_VALUE"""),68.0)</f>
        <v>68</v>
      </c>
      <c r="F1840" s="27" t="str">
        <f>IFERROR(__xludf.DUMMYFUNCTION("""COMPUTED_VALUE"""),"BLACK")</f>
        <v>BLACK</v>
      </c>
      <c r="G1840" s="28" t="str">
        <f>IFERROR(__xludf.DUMMYFUNCTION("""COMPUTED_VALUE"""),"First Times a Charm Cider")</f>
        <v>First Times a Charm Cider</v>
      </c>
      <c r="H1840" s="27" t="str">
        <f>IFERROR(__xludf.DUMMYFUNCTION("""COMPUTED_VALUE"""),"")</f>
        <v/>
      </c>
    </row>
    <row r="1841">
      <c r="A1841" s="17"/>
      <c r="B1841" s="23"/>
      <c r="C1841" s="17">
        <f>IFERROR(__xludf.DUMMYFUNCTION("""COMPUTED_VALUE"""),43535.378775)</f>
        <v>43535.37878</v>
      </c>
      <c r="D1841" s="23">
        <f>IFERROR(__xludf.DUMMYFUNCTION("""COMPUTED_VALUE"""),1.045)</f>
        <v>1.045</v>
      </c>
      <c r="E1841" s="24">
        <f>IFERROR(__xludf.DUMMYFUNCTION("""COMPUTED_VALUE"""),68.0)</f>
        <v>68</v>
      </c>
      <c r="F1841" s="27" t="str">
        <f>IFERROR(__xludf.DUMMYFUNCTION("""COMPUTED_VALUE"""),"BLACK")</f>
        <v>BLACK</v>
      </c>
      <c r="G1841" s="28" t="str">
        <f>IFERROR(__xludf.DUMMYFUNCTION("""COMPUTED_VALUE"""),"First Times a Charm Cider")</f>
        <v>First Times a Charm Cider</v>
      </c>
      <c r="H1841" s="27" t="str">
        <f>IFERROR(__xludf.DUMMYFUNCTION("""COMPUTED_VALUE"""),"")</f>
        <v/>
      </c>
    </row>
    <row r="1842">
      <c r="A1842" s="17"/>
      <c r="B1842" s="23"/>
      <c r="C1842" s="17">
        <f>IFERROR(__xludf.DUMMYFUNCTION("""COMPUTED_VALUE"""),43535.3683543981)</f>
        <v>43535.36835</v>
      </c>
      <c r="D1842" s="23">
        <f>IFERROR(__xludf.DUMMYFUNCTION("""COMPUTED_VALUE"""),1.045)</f>
        <v>1.045</v>
      </c>
      <c r="E1842" s="24">
        <f>IFERROR(__xludf.DUMMYFUNCTION("""COMPUTED_VALUE"""),68.0)</f>
        <v>68</v>
      </c>
      <c r="F1842" s="27" t="str">
        <f>IFERROR(__xludf.DUMMYFUNCTION("""COMPUTED_VALUE"""),"BLACK")</f>
        <v>BLACK</v>
      </c>
      <c r="G1842" s="28" t="str">
        <f>IFERROR(__xludf.DUMMYFUNCTION("""COMPUTED_VALUE"""),"First Times a Charm Cider")</f>
        <v>First Times a Charm Cider</v>
      </c>
      <c r="H1842" s="27" t="str">
        <f>IFERROR(__xludf.DUMMYFUNCTION("""COMPUTED_VALUE"""),"")</f>
        <v/>
      </c>
    </row>
    <row r="1843">
      <c r="A1843" s="17"/>
      <c r="B1843" s="23"/>
      <c r="C1843" s="17">
        <f>IFERROR(__xludf.DUMMYFUNCTION("""COMPUTED_VALUE"""),43535.3579335763)</f>
        <v>43535.35793</v>
      </c>
      <c r="D1843" s="23">
        <f>IFERROR(__xludf.DUMMYFUNCTION("""COMPUTED_VALUE"""),1.045)</f>
        <v>1.045</v>
      </c>
      <c r="E1843" s="24">
        <f>IFERROR(__xludf.DUMMYFUNCTION("""COMPUTED_VALUE"""),68.0)</f>
        <v>68</v>
      </c>
      <c r="F1843" s="27" t="str">
        <f>IFERROR(__xludf.DUMMYFUNCTION("""COMPUTED_VALUE"""),"BLACK")</f>
        <v>BLACK</v>
      </c>
      <c r="G1843" s="28" t="str">
        <f>IFERROR(__xludf.DUMMYFUNCTION("""COMPUTED_VALUE"""),"First Times a Charm Cider")</f>
        <v>First Times a Charm Cider</v>
      </c>
      <c r="H1843" s="27" t="str">
        <f>IFERROR(__xludf.DUMMYFUNCTION("""COMPUTED_VALUE"""),"")</f>
        <v/>
      </c>
    </row>
    <row r="1844">
      <c r="A1844" s="17"/>
      <c r="B1844" s="23"/>
      <c r="C1844" s="17">
        <f>IFERROR(__xludf.DUMMYFUNCTION("""COMPUTED_VALUE"""),43535.3475132754)</f>
        <v>43535.34751</v>
      </c>
      <c r="D1844" s="23">
        <f>IFERROR(__xludf.DUMMYFUNCTION("""COMPUTED_VALUE"""),1.045)</f>
        <v>1.045</v>
      </c>
      <c r="E1844" s="24">
        <f>IFERROR(__xludf.DUMMYFUNCTION("""COMPUTED_VALUE"""),68.0)</f>
        <v>68</v>
      </c>
      <c r="F1844" s="27" t="str">
        <f>IFERROR(__xludf.DUMMYFUNCTION("""COMPUTED_VALUE"""),"BLACK")</f>
        <v>BLACK</v>
      </c>
      <c r="G1844" s="28" t="str">
        <f>IFERROR(__xludf.DUMMYFUNCTION("""COMPUTED_VALUE"""),"First Times a Charm Cider")</f>
        <v>First Times a Charm Cider</v>
      </c>
      <c r="H1844" s="27" t="str">
        <f>IFERROR(__xludf.DUMMYFUNCTION("""COMPUTED_VALUE"""),"")</f>
        <v/>
      </c>
    </row>
    <row r="1845">
      <c r="A1845" s="17"/>
      <c r="B1845" s="23"/>
      <c r="C1845" s="17">
        <f>IFERROR(__xludf.DUMMYFUNCTION("""COMPUTED_VALUE"""),43535.3370924884)</f>
        <v>43535.33709</v>
      </c>
      <c r="D1845" s="23">
        <f>IFERROR(__xludf.DUMMYFUNCTION("""COMPUTED_VALUE"""),1.045)</f>
        <v>1.045</v>
      </c>
      <c r="E1845" s="24">
        <f>IFERROR(__xludf.DUMMYFUNCTION("""COMPUTED_VALUE"""),68.0)</f>
        <v>68</v>
      </c>
      <c r="F1845" s="27" t="str">
        <f>IFERROR(__xludf.DUMMYFUNCTION("""COMPUTED_VALUE"""),"BLACK")</f>
        <v>BLACK</v>
      </c>
      <c r="G1845" s="28" t="str">
        <f>IFERROR(__xludf.DUMMYFUNCTION("""COMPUTED_VALUE"""),"First Times a Charm Cider")</f>
        <v>First Times a Charm Cider</v>
      </c>
      <c r="H1845" s="27" t="str">
        <f>IFERROR(__xludf.DUMMYFUNCTION("""COMPUTED_VALUE"""),"")</f>
        <v/>
      </c>
    </row>
    <row r="1846">
      <c r="A1846" s="17"/>
      <c r="B1846" s="23"/>
      <c r="C1846" s="17">
        <f>IFERROR(__xludf.DUMMYFUNCTION("""COMPUTED_VALUE"""),43535.3266602546)</f>
        <v>43535.32666</v>
      </c>
      <c r="D1846" s="23">
        <f>IFERROR(__xludf.DUMMYFUNCTION("""COMPUTED_VALUE"""),1.045)</f>
        <v>1.045</v>
      </c>
      <c r="E1846" s="24">
        <f>IFERROR(__xludf.DUMMYFUNCTION("""COMPUTED_VALUE"""),68.0)</f>
        <v>68</v>
      </c>
      <c r="F1846" s="27" t="str">
        <f>IFERROR(__xludf.DUMMYFUNCTION("""COMPUTED_VALUE"""),"BLACK")</f>
        <v>BLACK</v>
      </c>
      <c r="G1846" s="28" t="str">
        <f>IFERROR(__xludf.DUMMYFUNCTION("""COMPUTED_VALUE"""),"First Times a Charm Cider")</f>
        <v>First Times a Charm Cider</v>
      </c>
      <c r="H1846" s="27" t="str">
        <f>IFERROR(__xludf.DUMMYFUNCTION("""COMPUTED_VALUE"""),"")</f>
        <v/>
      </c>
    </row>
    <row r="1847">
      <c r="A1847" s="17"/>
      <c r="B1847" s="23"/>
      <c r="C1847" s="17">
        <f>IFERROR(__xludf.DUMMYFUNCTION("""COMPUTED_VALUE"""),43535.3162398032)</f>
        <v>43535.31624</v>
      </c>
      <c r="D1847" s="23">
        <f>IFERROR(__xludf.DUMMYFUNCTION("""COMPUTED_VALUE"""),1.045)</f>
        <v>1.045</v>
      </c>
      <c r="E1847" s="24">
        <f>IFERROR(__xludf.DUMMYFUNCTION("""COMPUTED_VALUE"""),68.0)</f>
        <v>68</v>
      </c>
      <c r="F1847" s="27" t="str">
        <f>IFERROR(__xludf.DUMMYFUNCTION("""COMPUTED_VALUE"""),"BLACK")</f>
        <v>BLACK</v>
      </c>
      <c r="G1847" s="28" t="str">
        <f>IFERROR(__xludf.DUMMYFUNCTION("""COMPUTED_VALUE"""),"First Times a Charm Cider")</f>
        <v>First Times a Charm Cider</v>
      </c>
      <c r="H1847" s="27" t="str">
        <f>IFERROR(__xludf.DUMMYFUNCTION("""COMPUTED_VALUE"""),"")</f>
        <v/>
      </c>
    </row>
    <row r="1848">
      <c r="A1848" s="17"/>
      <c r="B1848" s="23"/>
      <c r="C1848" s="17">
        <f>IFERROR(__xludf.DUMMYFUNCTION("""COMPUTED_VALUE"""),43535.3058053472)</f>
        <v>43535.30581</v>
      </c>
      <c r="D1848" s="23">
        <f>IFERROR(__xludf.DUMMYFUNCTION("""COMPUTED_VALUE"""),1.045)</f>
        <v>1.045</v>
      </c>
      <c r="E1848" s="24">
        <f>IFERROR(__xludf.DUMMYFUNCTION("""COMPUTED_VALUE"""),68.0)</f>
        <v>68</v>
      </c>
      <c r="F1848" s="27" t="str">
        <f>IFERROR(__xludf.DUMMYFUNCTION("""COMPUTED_VALUE"""),"BLACK")</f>
        <v>BLACK</v>
      </c>
      <c r="G1848" s="28" t="str">
        <f>IFERROR(__xludf.DUMMYFUNCTION("""COMPUTED_VALUE"""),"First Times a Charm Cider")</f>
        <v>First Times a Charm Cider</v>
      </c>
      <c r="H1848" s="27" t="str">
        <f>IFERROR(__xludf.DUMMYFUNCTION("""COMPUTED_VALUE"""),"")</f>
        <v/>
      </c>
    </row>
    <row r="1849">
      <c r="A1849" s="17"/>
      <c r="B1849" s="23"/>
      <c r="C1849" s="17">
        <f>IFERROR(__xludf.DUMMYFUNCTION("""COMPUTED_VALUE"""),43535.2953835995)</f>
        <v>43535.29538</v>
      </c>
      <c r="D1849" s="23">
        <f>IFERROR(__xludf.DUMMYFUNCTION("""COMPUTED_VALUE"""),1.045)</f>
        <v>1.045</v>
      </c>
      <c r="E1849" s="24">
        <f>IFERROR(__xludf.DUMMYFUNCTION("""COMPUTED_VALUE"""),68.0)</f>
        <v>68</v>
      </c>
      <c r="F1849" s="27" t="str">
        <f>IFERROR(__xludf.DUMMYFUNCTION("""COMPUTED_VALUE"""),"BLACK")</f>
        <v>BLACK</v>
      </c>
      <c r="G1849" s="28" t="str">
        <f>IFERROR(__xludf.DUMMYFUNCTION("""COMPUTED_VALUE"""),"First Times a Charm Cider")</f>
        <v>First Times a Charm Cider</v>
      </c>
      <c r="H1849" s="27" t="str">
        <f>IFERROR(__xludf.DUMMYFUNCTION("""COMPUTED_VALUE"""),"")</f>
        <v/>
      </c>
    </row>
    <row r="1850">
      <c r="A1850" s="17"/>
      <c r="B1850" s="23"/>
      <c r="C1850" s="17">
        <f>IFERROR(__xludf.DUMMYFUNCTION("""COMPUTED_VALUE"""),43535.2849612847)</f>
        <v>43535.28496</v>
      </c>
      <c r="D1850" s="23">
        <f>IFERROR(__xludf.DUMMYFUNCTION("""COMPUTED_VALUE"""),1.045)</f>
        <v>1.045</v>
      </c>
      <c r="E1850" s="24">
        <f>IFERROR(__xludf.DUMMYFUNCTION("""COMPUTED_VALUE"""),68.0)</f>
        <v>68</v>
      </c>
      <c r="F1850" s="27" t="str">
        <f>IFERROR(__xludf.DUMMYFUNCTION("""COMPUTED_VALUE"""),"BLACK")</f>
        <v>BLACK</v>
      </c>
      <c r="G1850" s="28" t="str">
        <f>IFERROR(__xludf.DUMMYFUNCTION("""COMPUTED_VALUE"""),"First Times a Charm Cider")</f>
        <v>First Times a Charm Cider</v>
      </c>
      <c r="H1850" s="27" t="str">
        <f>IFERROR(__xludf.DUMMYFUNCTION("""COMPUTED_VALUE"""),"")</f>
        <v/>
      </c>
    </row>
    <row r="1851">
      <c r="A1851" s="17"/>
      <c r="B1851" s="23"/>
      <c r="C1851" s="17">
        <f>IFERROR(__xludf.DUMMYFUNCTION("""COMPUTED_VALUE"""),43535.2745410879)</f>
        <v>43535.27454</v>
      </c>
      <c r="D1851" s="23">
        <f>IFERROR(__xludf.DUMMYFUNCTION("""COMPUTED_VALUE"""),1.045)</f>
        <v>1.045</v>
      </c>
      <c r="E1851" s="24">
        <f>IFERROR(__xludf.DUMMYFUNCTION("""COMPUTED_VALUE"""),68.0)</f>
        <v>68</v>
      </c>
      <c r="F1851" s="27" t="str">
        <f>IFERROR(__xludf.DUMMYFUNCTION("""COMPUTED_VALUE"""),"BLACK")</f>
        <v>BLACK</v>
      </c>
      <c r="G1851" s="28" t="str">
        <f>IFERROR(__xludf.DUMMYFUNCTION("""COMPUTED_VALUE"""),"First Times a Charm Cider")</f>
        <v>First Times a Charm Cider</v>
      </c>
      <c r="H1851" s="27" t="str">
        <f>IFERROR(__xludf.DUMMYFUNCTION("""COMPUTED_VALUE"""),"")</f>
        <v/>
      </c>
    </row>
    <row r="1852">
      <c r="A1852" s="17"/>
      <c r="B1852" s="23"/>
      <c r="C1852" s="17">
        <f>IFERROR(__xludf.DUMMYFUNCTION("""COMPUTED_VALUE"""),43535.2641210416)</f>
        <v>43535.26412</v>
      </c>
      <c r="D1852" s="23">
        <f>IFERROR(__xludf.DUMMYFUNCTION("""COMPUTED_VALUE"""),1.045)</f>
        <v>1.045</v>
      </c>
      <c r="E1852" s="24">
        <f>IFERROR(__xludf.DUMMYFUNCTION("""COMPUTED_VALUE"""),68.0)</f>
        <v>68</v>
      </c>
      <c r="F1852" s="27" t="str">
        <f>IFERROR(__xludf.DUMMYFUNCTION("""COMPUTED_VALUE"""),"BLACK")</f>
        <v>BLACK</v>
      </c>
      <c r="G1852" s="28" t="str">
        <f>IFERROR(__xludf.DUMMYFUNCTION("""COMPUTED_VALUE"""),"First Times a Charm Cider")</f>
        <v>First Times a Charm Cider</v>
      </c>
      <c r="H1852" s="27" t="str">
        <f>IFERROR(__xludf.DUMMYFUNCTION("""COMPUTED_VALUE"""),"")</f>
        <v/>
      </c>
    </row>
    <row r="1853">
      <c r="A1853" s="17"/>
      <c r="B1853" s="23"/>
      <c r="C1853" s="17">
        <f>IFERROR(__xludf.DUMMYFUNCTION("""COMPUTED_VALUE"""),43535.2537019907)</f>
        <v>43535.2537</v>
      </c>
      <c r="D1853" s="23">
        <f>IFERROR(__xludf.DUMMYFUNCTION("""COMPUTED_VALUE"""),1.045)</f>
        <v>1.045</v>
      </c>
      <c r="E1853" s="24">
        <f>IFERROR(__xludf.DUMMYFUNCTION("""COMPUTED_VALUE"""),68.0)</f>
        <v>68</v>
      </c>
      <c r="F1853" s="27" t="str">
        <f>IFERROR(__xludf.DUMMYFUNCTION("""COMPUTED_VALUE"""),"BLACK")</f>
        <v>BLACK</v>
      </c>
      <c r="G1853" s="28" t="str">
        <f>IFERROR(__xludf.DUMMYFUNCTION("""COMPUTED_VALUE"""),"First Times a Charm Cider")</f>
        <v>First Times a Charm Cider</v>
      </c>
      <c r="H1853" s="27" t="str">
        <f>IFERROR(__xludf.DUMMYFUNCTION("""COMPUTED_VALUE"""),"")</f>
        <v/>
      </c>
    </row>
    <row r="1854">
      <c r="A1854" s="17"/>
      <c r="B1854" s="23"/>
      <c r="C1854" s="17">
        <f>IFERROR(__xludf.DUMMYFUNCTION("""COMPUTED_VALUE"""),43535.2432792129)</f>
        <v>43535.24328</v>
      </c>
      <c r="D1854" s="23">
        <f>IFERROR(__xludf.DUMMYFUNCTION("""COMPUTED_VALUE"""),1.045)</f>
        <v>1.045</v>
      </c>
      <c r="E1854" s="24">
        <f>IFERROR(__xludf.DUMMYFUNCTION("""COMPUTED_VALUE"""),68.0)</f>
        <v>68</v>
      </c>
      <c r="F1854" s="27" t="str">
        <f>IFERROR(__xludf.DUMMYFUNCTION("""COMPUTED_VALUE"""),"BLACK")</f>
        <v>BLACK</v>
      </c>
      <c r="G1854" s="28" t="str">
        <f>IFERROR(__xludf.DUMMYFUNCTION("""COMPUTED_VALUE"""),"First Times a Charm Cider")</f>
        <v>First Times a Charm Cider</v>
      </c>
      <c r="H1854" s="27" t="str">
        <f>IFERROR(__xludf.DUMMYFUNCTION("""COMPUTED_VALUE"""),"")</f>
        <v/>
      </c>
    </row>
    <row r="1855">
      <c r="A1855" s="17"/>
      <c r="B1855" s="23"/>
      <c r="C1855" s="17">
        <f>IFERROR(__xludf.DUMMYFUNCTION("""COMPUTED_VALUE"""),43535.2328588425)</f>
        <v>43535.23286</v>
      </c>
      <c r="D1855" s="23">
        <f>IFERROR(__xludf.DUMMYFUNCTION("""COMPUTED_VALUE"""),1.045)</f>
        <v>1.045</v>
      </c>
      <c r="E1855" s="24">
        <f>IFERROR(__xludf.DUMMYFUNCTION("""COMPUTED_VALUE"""),68.0)</f>
        <v>68</v>
      </c>
      <c r="F1855" s="27" t="str">
        <f>IFERROR(__xludf.DUMMYFUNCTION("""COMPUTED_VALUE"""),"BLACK")</f>
        <v>BLACK</v>
      </c>
      <c r="G1855" s="28" t="str">
        <f>IFERROR(__xludf.DUMMYFUNCTION("""COMPUTED_VALUE"""),"First Times a Charm Cider")</f>
        <v>First Times a Charm Cider</v>
      </c>
      <c r="H1855" s="27" t="str">
        <f>IFERROR(__xludf.DUMMYFUNCTION("""COMPUTED_VALUE"""),"")</f>
        <v/>
      </c>
    </row>
    <row r="1856">
      <c r="A1856" s="17"/>
      <c r="B1856" s="23"/>
      <c r="C1856" s="17">
        <f>IFERROR(__xludf.DUMMYFUNCTION("""COMPUTED_VALUE"""),43535.22242478)</f>
        <v>43535.22242</v>
      </c>
      <c r="D1856" s="23">
        <f>IFERROR(__xludf.DUMMYFUNCTION("""COMPUTED_VALUE"""),1.045)</f>
        <v>1.045</v>
      </c>
      <c r="E1856" s="24">
        <f>IFERROR(__xludf.DUMMYFUNCTION("""COMPUTED_VALUE"""),68.0)</f>
        <v>68</v>
      </c>
      <c r="F1856" s="27" t="str">
        <f>IFERROR(__xludf.DUMMYFUNCTION("""COMPUTED_VALUE"""),"BLACK")</f>
        <v>BLACK</v>
      </c>
      <c r="G1856" s="28" t="str">
        <f>IFERROR(__xludf.DUMMYFUNCTION("""COMPUTED_VALUE"""),"First Times a Charm Cider")</f>
        <v>First Times a Charm Cider</v>
      </c>
      <c r="H1856" s="27" t="str">
        <f>IFERROR(__xludf.DUMMYFUNCTION("""COMPUTED_VALUE"""),"")</f>
        <v/>
      </c>
    </row>
    <row r="1857">
      <c r="A1857" s="17"/>
      <c r="B1857" s="23"/>
      <c r="C1857" s="17">
        <f>IFERROR(__xludf.DUMMYFUNCTION("""COMPUTED_VALUE"""),43535.2120045254)</f>
        <v>43535.212</v>
      </c>
      <c r="D1857" s="23">
        <f>IFERROR(__xludf.DUMMYFUNCTION("""COMPUTED_VALUE"""),1.045)</f>
        <v>1.045</v>
      </c>
      <c r="E1857" s="24">
        <f>IFERROR(__xludf.DUMMYFUNCTION("""COMPUTED_VALUE"""),68.0)</f>
        <v>68</v>
      </c>
      <c r="F1857" s="27" t="str">
        <f>IFERROR(__xludf.DUMMYFUNCTION("""COMPUTED_VALUE"""),"BLACK")</f>
        <v>BLACK</v>
      </c>
      <c r="G1857" s="28" t="str">
        <f>IFERROR(__xludf.DUMMYFUNCTION("""COMPUTED_VALUE"""),"First Times a Charm Cider")</f>
        <v>First Times a Charm Cider</v>
      </c>
      <c r="H1857" s="27" t="str">
        <f>IFERROR(__xludf.DUMMYFUNCTION("""COMPUTED_VALUE"""),"")</f>
        <v/>
      </c>
    </row>
    <row r="1858">
      <c r="A1858" s="17"/>
      <c r="B1858" s="23"/>
      <c r="C1858" s="17">
        <f>IFERROR(__xludf.DUMMYFUNCTION("""COMPUTED_VALUE"""),43535.2015836689)</f>
        <v>43535.20158</v>
      </c>
      <c r="D1858" s="23">
        <f>IFERROR(__xludf.DUMMYFUNCTION("""COMPUTED_VALUE"""),1.045)</f>
        <v>1.045</v>
      </c>
      <c r="E1858" s="24">
        <f>IFERROR(__xludf.DUMMYFUNCTION("""COMPUTED_VALUE"""),68.0)</f>
        <v>68</v>
      </c>
      <c r="F1858" s="27" t="str">
        <f>IFERROR(__xludf.DUMMYFUNCTION("""COMPUTED_VALUE"""),"BLACK")</f>
        <v>BLACK</v>
      </c>
      <c r="G1858" s="28" t="str">
        <f>IFERROR(__xludf.DUMMYFUNCTION("""COMPUTED_VALUE"""),"First Times a Charm Cider")</f>
        <v>First Times a Charm Cider</v>
      </c>
      <c r="H1858" s="27" t="str">
        <f>IFERROR(__xludf.DUMMYFUNCTION("""COMPUTED_VALUE"""),"")</f>
        <v/>
      </c>
    </row>
    <row r="1859">
      <c r="A1859" s="17"/>
      <c r="B1859" s="23"/>
      <c r="C1859" s="17">
        <f>IFERROR(__xludf.DUMMYFUNCTION("""COMPUTED_VALUE"""),43535.1911621643)</f>
        <v>43535.19116</v>
      </c>
      <c r="D1859" s="23">
        <f>IFERROR(__xludf.DUMMYFUNCTION("""COMPUTED_VALUE"""),1.045)</f>
        <v>1.045</v>
      </c>
      <c r="E1859" s="24">
        <f>IFERROR(__xludf.DUMMYFUNCTION("""COMPUTED_VALUE"""),68.0)</f>
        <v>68</v>
      </c>
      <c r="F1859" s="27" t="str">
        <f>IFERROR(__xludf.DUMMYFUNCTION("""COMPUTED_VALUE"""),"BLACK")</f>
        <v>BLACK</v>
      </c>
      <c r="G1859" s="28" t="str">
        <f>IFERROR(__xludf.DUMMYFUNCTION("""COMPUTED_VALUE"""),"First Times a Charm Cider")</f>
        <v>First Times a Charm Cider</v>
      </c>
      <c r="H1859" s="27" t="str">
        <f>IFERROR(__xludf.DUMMYFUNCTION("""COMPUTED_VALUE"""),"")</f>
        <v/>
      </c>
    </row>
    <row r="1860">
      <c r="A1860" s="17"/>
      <c r="B1860" s="23"/>
      <c r="C1860" s="17">
        <f>IFERROR(__xludf.DUMMYFUNCTION("""COMPUTED_VALUE"""),43535.1807409606)</f>
        <v>43535.18074</v>
      </c>
      <c r="D1860" s="23">
        <f>IFERROR(__xludf.DUMMYFUNCTION("""COMPUTED_VALUE"""),1.045)</f>
        <v>1.045</v>
      </c>
      <c r="E1860" s="24">
        <f>IFERROR(__xludf.DUMMYFUNCTION("""COMPUTED_VALUE"""),68.0)</f>
        <v>68</v>
      </c>
      <c r="F1860" s="27" t="str">
        <f>IFERROR(__xludf.DUMMYFUNCTION("""COMPUTED_VALUE"""),"BLACK")</f>
        <v>BLACK</v>
      </c>
      <c r="G1860" s="28" t="str">
        <f>IFERROR(__xludf.DUMMYFUNCTION("""COMPUTED_VALUE"""),"First Times a Charm Cider")</f>
        <v>First Times a Charm Cider</v>
      </c>
      <c r="H1860" s="27" t="str">
        <f>IFERROR(__xludf.DUMMYFUNCTION("""COMPUTED_VALUE"""),"")</f>
        <v/>
      </c>
    </row>
    <row r="1861">
      <c r="A1861" s="17"/>
      <c r="B1861" s="23"/>
      <c r="C1861" s="17">
        <f>IFERROR(__xludf.DUMMYFUNCTION("""COMPUTED_VALUE"""),43535.1703204745)</f>
        <v>43535.17032</v>
      </c>
      <c r="D1861" s="23">
        <f>IFERROR(__xludf.DUMMYFUNCTION("""COMPUTED_VALUE"""),1.045)</f>
        <v>1.045</v>
      </c>
      <c r="E1861" s="24">
        <f>IFERROR(__xludf.DUMMYFUNCTION("""COMPUTED_VALUE"""),68.0)</f>
        <v>68</v>
      </c>
      <c r="F1861" s="27" t="str">
        <f>IFERROR(__xludf.DUMMYFUNCTION("""COMPUTED_VALUE"""),"BLACK")</f>
        <v>BLACK</v>
      </c>
      <c r="G1861" s="28" t="str">
        <f>IFERROR(__xludf.DUMMYFUNCTION("""COMPUTED_VALUE"""),"First Times a Charm Cider")</f>
        <v>First Times a Charm Cider</v>
      </c>
      <c r="H1861" s="27" t="str">
        <f>IFERROR(__xludf.DUMMYFUNCTION("""COMPUTED_VALUE"""),"")</f>
        <v/>
      </c>
    </row>
    <row r="1862">
      <c r="A1862" s="17"/>
      <c r="B1862" s="23"/>
      <c r="C1862" s="17">
        <f>IFERROR(__xludf.DUMMYFUNCTION("""COMPUTED_VALUE"""),43535.1598993981)</f>
        <v>43535.1599</v>
      </c>
      <c r="D1862" s="23">
        <f>IFERROR(__xludf.DUMMYFUNCTION("""COMPUTED_VALUE"""),1.045)</f>
        <v>1.045</v>
      </c>
      <c r="E1862" s="24">
        <f>IFERROR(__xludf.DUMMYFUNCTION("""COMPUTED_VALUE"""),68.0)</f>
        <v>68</v>
      </c>
      <c r="F1862" s="27" t="str">
        <f>IFERROR(__xludf.DUMMYFUNCTION("""COMPUTED_VALUE"""),"BLACK")</f>
        <v>BLACK</v>
      </c>
      <c r="G1862" s="28" t="str">
        <f>IFERROR(__xludf.DUMMYFUNCTION("""COMPUTED_VALUE"""),"First Times a Charm Cider")</f>
        <v>First Times a Charm Cider</v>
      </c>
      <c r="H1862" s="27" t="str">
        <f>IFERROR(__xludf.DUMMYFUNCTION("""COMPUTED_VALUE"""),"")</f>
        <v/>
      </c>
    </row>
    <row r="1863">
      <c r="A1863" s="17"/>
      <c r="B1863" s="23"/>
      <c r="C1863" s="17">
        <f>IFERROR(__xludf.DUMMYFUNCTION("""COMPUTED_VALUE"""),43535.1494776504)</f>
        <v>43535.14948</v>
      </c>
      <c r="D1863" s="23">
        <f>IFERROR(__xludf.DUMMYFUNCTION("""COMPUTED_VALUE"""),1.045)</f>
        <v>1.045</v>
      </c>
      <c r="E1863" s="24">
        <f>IFERROR(__xludf.DUMMYFUNCTION("""COMPUTED_VALUE"""),68.0)</f>
        <v>68</v>
      </c>
      <c r="F1863" s="27" t="str">
        <f>IFERROR(__xludf.DUMMYFUNCTION("""COMPUTED_VALUE"""),"BLACK")</f>
        <v>BLACK</v>
      </c>
      <c r="G1863" s="28" t="str">
        <f>IFERROR(__xludf.DUMMYFUNCTION("""COMPUTED_VALUE"""),"First Times a Charm Cider")</f>
        <v>First Times a Charm Cider</v>
      </c>
      <c r="H1863" s="27" t="str">
        <f>IFERROR(__xludf.DUMMYFUNCTION("""COMPUTED_VALUE"""),"")</f>
        <v/>
      </c>
    </row>
    <row r="1864">
      <c r="A1864" s="17"/>
      <c r="B1864" s="23"/>
      <c r="C1864" s="17">
        <f>IFERROR(__xludf.DUMMYFUNCTION("""COMPUTED_VALUE"""),43535.1390566898)</f>
        <v>43535.13906</v>
      </c>
      <c r="D1864" s="23">
        <f>IFERROR(__xludf.DUMMYFUNCTION("""COMPUTED_VALUE"""),1.045)</f>
        <v>1.045</v>
      </c>
      <c r="E1864" s="24">
        <f>IFERROR(__xludf.DUMMYFUNCTION("""COMPUTED_VALUE"""),68.0)</f>
        <v>68</v>
      </c>
      <c r="F1864" s="27" t="str">
        <f>IFERROR(__xludf.DUMMYFUNCTION("""COMPUTED_VALUE"""),"BLACK")</f>
        <v>BLACK</v>
      </c>
      <c r="G1864" s="28" t="str">
        <f>IFERROR(__xludf.DUMMYFUNCTION("""COMPUTED_VALUE"""),"First Times a Charm Cider")</f>
        <v>First Times a Charm Cider</v>
      </c>
      <c r="H1864" s="27" t="str">
        <f>IFERROR(__xludf.DUMMYFUNCTION("""COMPUTED_VALUE"""),"")</f>
        <v/>
      </c>
    </row>
    <row r="1865">
      <c r="A1865" s="17"/>
      <c r="B1865" s="23"/>
      <c r="C1865" s="17">
        <f>IFERROR(__xludf.DUMMYFUNCTION("""COMPUTED_VALUE"""),43535.128623449)</f>
        <v>43535.12862</v>
      </c>
      <c r="D1865" s="23">
        <f>IFERROR(__xludf.DUMMYFUNCTION("""COMPUTED_VALUE"""),1.045)</f>
        <v>1.045</v>
      </c>
      <c r="E1865" s="24">
        <f>IFERROR(__xludf.DUMMYFUNCTION("""COMPUTED_VALUE"""),68.0)</f>
        <v>68</v>
      </c>
      <c r="F1865" s="27" t="str">
        <f>IFERROR(__xludf.DUMMYFUNCTION("""COMPUTED_VALUE"""),"BLACK")</f>
        <v>BLACK</v>
      </c>
      <c r="G1865" s="28" t="str">
        <f>IFERROR(__xludf.DUMMYFUNCTION("""COMPUTED_VALUE"""),"First Times a Charm Cider")</f>
        <v>First Times a Charm Cider</v>
      </c>
      <c r="H1865" s="27" t="str">
        <f>IFERROR(__xludf.DUMMYFUNCTION("""COMPUTED_VALUE"""),"")</f>
        <v/>
      </c>
    </row>
    <row r="1866">
      <c r="A1866" s="17"/>
      <c r="B1866" s="23"/>
      <c r="C1866" s="17">
        <f>IFERROR(__xludf.DUMMYFUNCTION("""COMPUTED_VALUE"""),43535.1182014351)</f>
        <v>43535.1182</v>
      </c>
      <c r="D1866" s="23">
        <f>IFERROR(__xludf.DUMMYFUNCTION("""COMPUTED_VALUE"""),1.045)</f>
        <v>1.045</v>
      </c>
      <c r="E1866" s="24">
        <f>IFERROR(__xludf.DUMMYFUNCTION("""COMPUTED_VALUE"""),68.0)</f>
        <v>68</v>
      </c>
      <c r="F1866" s="27" t="str">
        <f>IFERROR(__xludf.DUMMYFUNCTION("""COMPUTED_VALUE"""),"BLACK")</f>
        <v>BLACK</v>
      </c>
      <c r="G1866" s="28" t="str">
        <f>IFERROR(__xludf.DUMMYFUNCTION("""COMPUTED_VALUE"""),"First Times a Charm Cider")</f>
        <v>First Times a Charm Cider</v>
      </c>
      <c r="H1866" s="27" t="str">
        <f>IFERROR(__xludf.DUMMYFUNCTION("""COMPUTED_VALUE"""),"")</f>
        <v/>
      </c>
    </row>
    <row r="1867">
      <c r="A1867" s="17"/>
      <c r="B1867" s="23"/>
      <c r="C1867" s="17">
        <f>IFERROR(__xludf.DUMMYFUNCTION("""COMPUTED_VALUE"""),43535.1077814467)</f>
        <v>43535.10778</v>
      </c>
      <c r="D1867" s="23">
        <f>IFERROR(__xludf.DUMMYFUNCTION("""COMPUTED_VALUE"""),1.045)</f>
        <v>1.045</v>
      </c>
      <c r="E1867" s="24">
        <f>IFERROR(__xludf.DUMMYFUNCTION("""COMPUTED_VALUE"""),68.0)</f>
        <v>68</v>
      </c>
      <c r="F1867" s="27" t="str">
        <f>IFERROR(__xludf.DUMMYFUNCTION("""COMPUTED_VALUE"""),"BLACK")</f>
        <v>BLACK</v>
      </c>
      <c r="G1867" s="28" t="str">
        <f>IFERROR(__xludf.DUMMYFUNCTION("""COMPUTED_VALUE"""),"First Times a Charm Cider")</f>
        <v>First Times a Charm Cider</v>
      </c>
      <c r="H1867" s="27" t="str">
        <f>IFERROR(__xludf.DUMMYFUNCTION("""COMPUTED_VALUE"""),"")</f>
        <v/>
      </c>
    </row>
    <row r="1868">
      <c r="A1868" s="17"/>
      <c r="B1868" s="23"/>
      <c r="C1868" s="17">
        <f>IFERROR(__xludf.DUMMYFUNCTION("""COMPUTED_VALUE"""),43535.0973475578)</f>
        <v>43535.09735</v>
      </c>
      <c r="D1868" s="23">
        <f>IFERROR(__xludf.DUMMYFUNCTION("""COMPUTED_VALUE"""),1.045)</f>
        <v>1.045</v>
      </c>
      <c r="E1868" s="24">
        <f>IFERROR(__xludf.DUMMYFUNCTION("""COMPUTED_VALUE"""),68.0)</f>
        <v>68</v>
      </c>
      <c r="F1868" s="27" t="str">
        <f>IFERROR(__xludf.DUMMYFUNCTION("""COMPUTED_VALUE"""),"BLACK")</f>
        <v>BLACK</v>
      </c>
      <c r="G1868" s="28" t="str">
        <f>IFERROR(__xludf.DUMMYFUNCTION("""COMPUTED_VALUE"""),"First Times a Charm Cider")</f>
        <v>First Times a Charm Cider</v>
      </c>
      <c r="H1868" s="27" t="str">
        <f>IFERROR(__xludf.DUMMYFUNCTION("""COMPUTED_VALUE"""),"")</f>
        <v/>
      </c>
    </row>
    <row r="1869">
      <c r="A1869" s="17"/>
      <c r="B1869" s="23"/>
      <c r="C1869" s="17">
        <f>IFERROR(__xludf.DUMMYFUNCTION("""COMPUTED_VALUE"""),43535.0869242939)</f>
        <v>43535.08692</v>
      </c>
      <c r="D1869" s="23">
        <f>IFERROR(__xludf.DUMMYFUNCTION("""COMPUTED_VALUE"""),1.045)</f>
        <v>1.045</v>
      </c>
      <c r="E1869" s="24">
        <f>IFERROR(__xludf.DUMMYFUNCTION("""COMPUTED_VALUE"""),68.0)</f>
        <v>68</v>
      </c>
      <c r="F1869" s="27" t="str">
        <f>IFERROR(__xludf.DUMMYFUNCTION("""COMPUTED_VALUE"""),"BLACK")</f>
        <v>BLACK</v>
      </c>
      <c r="G1869" s="28" t="str">
        <f>IFERROR(__xludf.DUMMYFUNCTION("""COMPUTED_VALUE"""),"First Times a Charm Cider")</f>
        <v>First Times a Charm Cider</v>
      </c>
      <c r="H1869" s="27" t="str">
        <f>IFERROR(__xludf.DUMMYFUNCTION("""COMPUTED_VALUE"""),"")</f>
        <v/>
      </c>
    </row>
    <row r="1870">
      <c r="A1870" s="17"/>
      <c r="B1870" s="23"/>
      <c r="C1870" s="17">
        <f>IFERROR(__xludf.DUMMYFUNCTION("""COMPUTED_VALUE"""),43535.0765033912)</f>
        <v>43535.0765</v>
      </c>
      <c r="D1870" s="23">
        <f>IFERROR(__xludf.DUMMYFUNCTION("""COMPUTED_VALUE"""),1.045)</f>
        <v>1.045</v>
      </c>
      <c r="E1870" s="24">
        <f>IFERROR(__xludf.DUMMYFUNCTION("""COMPUTED_VALUE"""),68.0)</f>
        <v>68</v>
      </c>
      <c r="F1870" s="27" t="str">
        <f>IFERROR(__xludf.DUMMYFUNCTION("""COMPUTED_VALUE"""),"BLACK")</f>
        <v>BLACK</v>
      </c>
      <c r="G1870" s="28" t="str">
        <f>IFERROR(__xludf.DUMMYFUNCTION("""COMPUTED_VALUE"""),"First Times a Charm Cider")</f>
        <v>First Times a Charm Cider</v>
      </c>
      <c r="H1870" s="27" t="str">
        <f>IFERROR(__xludf.DUMMYFUNCTION("""COMPUTED_VALUE"""),"")</f>
        <v/>
      </c>
    </row>
    <row r="1871">
      <c r="A1871" s="17"/>
      <c r="B1871" s="23"/>
      <c r="C1871" s="17">
        <f>IFERROR(__xludf.DUMMYFUNCTION("""COMPUTED_VALUE"""),43535.0660817939)</f>
        <v>43535.06608</v>
      </c>
      <c r="D1871" s="23">
        <f>IFERROR(__xludf.DUMMYFUNCTION("""COMPUTED_VALUE"""),1.045)</f>
        <v>1.045</v>
      </c>
      <c r="E1871" s="24">
        <f>IFERROR(__xludf.DUMMYFUNCTION("""COMPUTED_VALUE"""),68.0)</f>
        <v>68</v>
      </c>
      <c r="F1871" s="27" t="str">
        <f>IFERROR(__xludf.DUMMYFUNCTION("""COMPUTED_VALUE"""),"BLACK")</f>
        <v>BLACK</v>
      </c>
      <c r="G1871" s="28" t="str">
        <f>IFERROR(__xludf.DUMMYFUNCTION("""COMPUTED_VALUE"""),"First Times a Charm Cider")</f>
        <v>First Times a Charm Cider</v>
      </c>
      <c r="H1871" s="27" t="str">
        <f>IFERROR(__xludf.DUMMYFUNCTION("""COMPUTED_VALUE"""),"")</f>
        <v/>
      </c>
    </row>
    <row r="1872">
      <c r="A1872" s="17"/>
      <c r="B1872" s="23"/>
      <c r="C1872" s="17">
        <f>IFERROR(__xludf.DUMMYFUNCTION("""COMPUTED_VALUE"""),43535.0556616435)</f>
        <v>43535.05566</v>
      </c>
      <c r="D1872" s="23">
        <f>IFERROR(__xludf.DUMMYFUNCTION("""COMPUTED_VALUE"""),1.045)</f>
        <v>1.045</v>
      </c>
      <c r="E1872" s="24">
        <f>IFERROR(__xludf.DUMMYFUNCTION("""COMPUTED_VALUE"""),68.0)</f>
        <v>68</v>
      </c>
      <c r="F1872" s="27" t="str">
        <f>IFERROR(__xludf.DUMMYFUNCTION("""COMPUTED_VALUE"""),"BLACK")</f>
        <v>BLACK</v>
      </c>
      <c r="G1872" s="28" t="str">
        <f>IFERROR(__xludf.DUMMYFUNCTION("""COMPUTED_VALUE"""),"First Times a Charm Cider")</f>
        <v>First Times a Charm Cider</v>
      </c>
      <c r="H1872" s="27" t="str">
        <f>IFERROR(__xludf.DUMMYFUNCTION("""COMPUTED_VALUE"""),"")</f>
        <v/>
      </c>
    </row>
    <row r="1873">
      <c r="A1873" s="17"/>
      <c r="B1873" s="23"/>
      <c r="C1873" s="17">
        <f>IFERROR(__xludf.DUMMYFUNCTION("""COMPUTED_VALUE"""),43535.0452409375)</f>
        <v>43535.04524</v>
      </c>
      <c r="D1873" s="23">
        <f>IFERROR(__xludf.DUMMYFUNCTION("""COMPUTED_VALUE"""),1.045)</f>
        <v>1.045</v>
      </c>
      <c r="E1873" s="24">
        <f>IFERROR(__xludf.DUMMYFUNCTION("""COMPUTED_VALUE"""),68.0)</f>
        <v>68</v>
      </c>
      <c r="F1873" s="27" t="str">
        <f>IFERROR(__xludf.DUMMYFUNCTION("""COMPUTED_VALUE"""),"BLACK")</f>
        <v>BLACK</v>
      </c>
      <c r="G1873" s="28" t="str">
        <f>IFERROR(__xludf.DUMMYFUNCTION("""COMPUTED_VALUE"""),"First Times a Charm Cider")</f>
        <v>First Times a Charm Cider</v>
      </c>
      <c r="H1873" s="27" t="str">
        <f>IFERROR(__xludf.DUMMYFUNCTION("""COMPUTED_VALUE"""),"")</f>
        <v/>
      </c>
    </row>
    <row r="1874">
      <c r="A1874" s="17"/>
      <c r="B1874" s="23"/>
      <c r="C1874" s="17">
        <f>IFERROR(__xludf.DUMMYFUNCTION("""COMPUTED_VALUE"""),43535.0348207754)</f>
        <v>43535.03482</v>
      </c>
      <c r="D1874" s="23">
        <f>IFERROR(__xludf.DUMMYFUNCTION("""COMPUTED_VALUE"""),1.045)</f>
        <v>1.045</v>
      </c>
      <c r="E1874" s="24">
        <f>IFERROR(__xludf.DUMMYFUNCTION("""COMPUTED_VALUE"""),68.0)</f>
        <v>68</v>
      </c>
      <c r="F1874" s="27" t="str">
        <f>IFERROR(__xludf.DUMMYFUNCTION("""COMPUTED_VALUE"""),"BLACK")</f>
        <v>BLACK</v>
      </c>
      <c r="G1874" s="28" t="str">
        <f>IFERROR(__xludf.DUMMYFUNCTION("""COMPUTED_VALUE"""),"First Times a Charm Cider")</f>
        <v>First Times a Charm Cider</v>
      </c>
      <c r="H1874" s="27" t="str">
        <f>IFERROR(__xludf.DUMMYFUNCTION("""COMPUTED_VALUE"""),"")</f>
        <v/>
      </c>
    </row>
    <row r="1875">
      <c r="A1875" s="17"/>
      <c r="B1875" s="23"/>
      <c r="C1875" s="17">
        <f>IFERROR(__xludf.DUMMYFUNCTION("""COMPUTED_VALUE"""),43535.0243972916)</f>
        <v>43535.0244</v>
      </c>
      <c r="D1875" s="23">
        <f>IFERROR(__xludf.DUMMYFUNCTION("""COMPUTED_VALUE"""),1.045)</f>
        <v>1.045</v>
      </c>
      <c r="E1875" s="24">
        <f>IFERROR(__xludf.DUMMYFUNCTION("""COMPUTED_VALUE"""),68.0)</f>
        <v>68</v>
      </c>
      <c r="F1875" s="27" t="str">
        <f>IFERROR(__xludf.DUMMYFUNCTION("""COMPUTED_VALUE"""),"BLACK")</f>
        <v>BLACK</v>
      </c>
      <c r="G1875" s="28" t="str">
        <f>IFERROR(__xludf.DUMMYFUNCTION("""COMPUTED_VALUE"""),"First Times a Charm Cider")</f>
        <v>First Times a Charm Cider</v>
      </c>
      <c r="H1875" s="27" t="str">
        <f>IFERROR(__xludf.DUMMYFUNCTION("""COMPUTED_VALUE"""),"")</f>
        <v/>
      </c>
    </row>
    <row r="1876">
      <c r="A1876" s="17"/>
      <c r="B1876" s="23"/>
      <c r="C1876" s="17">
        <f>IFERROR(__xludf.DUMMYFUNCTION("""COMPUTED_VALUE"""),43535.0139769675)</f>
        <v>43535.01398</v>
      </c>
      <c r="D1876" s="23">
        <f>IFERROR(__xludf.DUMMYFUNCTION("""COMPUTED_VALUE"""),1.045)</f>
        <v>1.045</v>
      </c>
      <c r="E1876" s="24">
        <f>IFERROR(__xludf.DUMMYFUNCTION("""COMPUTED_VALUE"""),68.0)</f>
        <v>68</v>
      </c>
      <c r="F1876" s="27" t="str">
        <f>IFERROR(__xludf.DUMMYFUNCTION("""COMPUTED_VALUE"""),"BLACK")</f>
        <v>BLACK</v>
      </c>
      <c r="G1876" s="28" t="str">
        <f>IFERROR(__xludf.DUMMYFUNCTION("""COMPUTED_VALUE"""),"First Times a Charm Cider")</f>
        <v>First Times a Charm Cider</v>
      </c>
      <c r="H1876" s="27" t="str">
        <f>IFERROR(__xludf.DUMMYFUNCTION("""COMPUTED_VALUE"""),"")</f>
        <v/>
      </c>
    </row>
    <row r="1877">
      <c r="A1877" s="17"/>
      <c r="B1877" s="23"/>
      <c r="C1877" s="17">
        <f>IFERROR(__xludf.DUMMYFUNCTION("""COMPUTED_VALUE"""),43535.0035554513)</f>
        <v>43535.00356</v>
      </c>
      <c r="D1877" s="23">
        <f>IFERROR(__xludf.DUMMYFUNCTION("""COMPUTED_VALUE"""),1.045)</f>
        <v>1.045</v>
      </c>
      <c r="E1877" s="24">
        <f>IFERROR(__xludf.DUMMYFUNCTION("""COMPUTED_VALUE"""),68.0)</f>
        <v>68</v>
      </c>
      <c r="F1877" s="27" t="str">
        <f>IFERROR(__xludf.DUMMYFUNCTION("""COMPUTED_VALUE"""),"BLACK")</f>
        <v>BLACK</v>
      </c>
      <c r="G1877" s="28" t="str">
        <f>IFERROR(__xludf.DUMMYFUNCTION("""COMPUTED_VALUE"""),"First Times a Charm Cider")</f>
        <v>First Times a Charm Cider</v>
      </c>
      <c r="H1877" s="27" t="str">
        <f>IFERROR(__xludf.DUMMYFUNCTION("""COMPUTED_VALUE"""),"")</f>
        <v/>
      </c>
    </row>
    <row r="1878">
      <c r="A1878" s="17"/>
      <c r="B1878" s="23"/>
      <c r="C1878" s="17">
        <f>IFERROR(__xludf.DUMMYFUNCTION("""COMPUTED_VALUE"""),43534.993122037)</f>
        <v>43534.99312</v>
      </c>
      <c r="D1878" s="23">
        <f>IFERROR(__xludf.DUMMYFUNCTION("""COMPUTED_VALUE"""),1.046)</f>
        <v>1.046</v>
      </c>
      <c r="E1878" s="24">
        <f>IFERROR(__xludf.DUMMYFUNCTION("""COMPUTED_VALUE"""),68.0)</f>
        <v>68</v>
      </c>
      <c r="F1878" s="27" t="str">
        <f>IFERROR(__xludf.DUMMYFUNCTION("""COMPUTED_VALUE"""),"BLACK")</f>
        <v>BLACK</v>
      </c>
      <c r="G1878" s="28" t="str">
        <f>IFERROR(__xludf.DUMMYFUNCTION("""COMPUTED_VALUE"""),"First Times a Charm Cider")</f>
        <v>First Times a Charm Cider</v>
      </c>
      <c r="H1878" s="27" t="str">
        <f>IFERROR(__xludf.DUMMYFUNCTION("""COMPUTED_VALUE"""),"")</f>
        <v/>
      </c>
    </row>
    <row r="1879">
      <c r="A1879" s="17"/>
      <c r="B1879" s="23"/>
      <c r="C1879" s="17">
        <f>IFERROR(__xludf.DUMMYFUNCTION("""COMPUTED_VALUE"""),43534.9827008101)</f>
        <v>43534.9827</v>
      </c>
      <c r="D1879" s="23">
        <f>IFERROR(__xludf.DUMMYFUNCTION("""COMPUTED_VALUE"""),1.045)</f>
        <v>1.045</v>
      </c>
      <c r="E1879" s="24">
        <f>IFERROR(__xludf.DUMMYFUNCTION("""COMPUTED_VALUE"""),68.0)</f>
        <v>68</v>
      </c>
      <c r="F1879" s="27" t="str">
        <f>IFERROR(__xludf.DUMMYFUNCTION("""COMPUTED_VALUE"""),"BLACK")</f>
        <v>BLACK</v>
      </c>
      <c r="G1879" s="28" t="str">
        <f>IFERROR(__xludf.DUMMYFUNCTION("""COMPUTED_VALUE"""),"First Times a Charm Cider")</f>
        <v>First Times a Charm Cider</v>
      </c>
      <c r="H1879" s="27" t="str">
        <f>IFERROR(__xludf.DUMMYFUNCTION("""COMPUTED_VALUE"""),"")</f>
        <v/>
      </c>
    </row>
    <row r="1880">
      <c r="A1880" s="17"/>
      <c r="B1880" s="23"/>
      <c r="C1880" s="17">
        <f>IFERROR(__xludf.DUMMYFUNCTION("""COMPUTED_VALUE"""),43534.972268449)</f>
        <v>43534.97227</v>
      </c>
      <c r="D1880" s="23">
        <f>IFERROR(__xludf.DUMMYFUNCTION("""COMPUTED_VALUE"""),1.045)</f>
        <v>1.045</v>
      </c>
      <c r="E1880" s="24">
        <f>IFERROR(__xludf.DUMMYFUNCTION("""COMPUTED_VALUE"""),68.0)</f>
        <v>68</v>
      </c>
      <c r="F1880" s="27" t="str">
        <f>IFERROR(__xludf.DUMMYFUNCTION("""COMPUTED_VALUE"""),"BLACK")</f>
        <v>BLACK</v>
      </c>
      <c r="G1880" s="28" t="str">
        <f>IFERROR(__xludf.DUMMYFUNCTION("""COMPUTED_VALUE"""),"First Times a Charm Cider")</f>
        <v>First Times a Charm Cider</v>
      </c>
      <c r="H1880" s="27" t="str">
        <f>IFERROR(__xludf.DUMMYFUNCTION("""COMPUTED_VALUE"""),"")</f>
        <v/>
      </c>
    </row>
    <row r="1881">
      <c r="A1881" s="17"/>
      <c r="B1881" s="23"/>
      <c r="C1881" s="17">
        <f>IFERROR(__xludf.DUMMYFUNCTION("""COMPUTED_VALUE"""),43534.9618473726)</f>
        <v>43534.96185</v>
      </c>
      <c r="D1881" s="23">
        <f>IFERROR(__xludf.DUMMYFUNCTION("""COMPUTED_VALUE"""),1.045)</f>
        <v>1.045</v>
      </c>
      <c r="E1881" s="24">
        <f>IFERROR(__xludf.DUMMYFUNCTION("""COMPUTED_VALUE"""),68.0)</f>
        <v>68</v>
      </c>
      <c r="F1881" s="27" t="str">
        <f>IFERROR(__xludf.DUMMYFUNCTION("""COMPUTED_VALUE"""),"BLACK")</f>
        <v>BLACK</v>
      </c>
      <c r="G1881" s="28" t="str">
        <f>IFERROR(__xludf.DUMMYFUNCTION("""COMPUTED_VALUE"""),"First Times a Charm Cider")</f>
        <v>First Times a Charm Cider</v>
      </c>
      <c r="H1881" s="27" t="str">
        <f>IFERROR(__xludf.DUMMYFUNCTION("""COMPUTED_VALUE"""),"")</f>
        <v/>
      </c>
    </row>
    <row r="1882">
      <c r="A1882" s="17"/>
      <c r="B1882" s="23"/>
      <c r="C1882" s="17">
        <f>IFERROR(__xludf.DUMMYFUNCTION("""COMPUTED_VALUE"""),43534.9514271527)</f>
        <v>43534.95143</v>
      </c>
      <c r="D1882" s="23">
        <f>IFERROR(__xludf.DUMMYFUNCTION("""COMPUTED_VALUE"""),1.045)</f>
        <v>1.045</v>
      </c>
      <c r="E1882" s="24">
        <f>IFERROR(__xludf.DUMMYFUNCTION("""COMPUTED_VALUE"""),68.0)</f>
        <v>68</v>
      </c>
      <c r="F1882" s="27" t="str">
        <f>IFERROR(__xludf.DUMMYFUNCTION("""COMPUTED_VALUE"""),"BLACK")</f>
        <v>BLACK</v>
      </c>
      <c r="G1882" s="28" t="str">
        <f>IFERROR(__xludf.DUMMYFUNCTION("""COMPUTED_VALUE"""),"First Times a Charm Cider")</f>
        <v>First Times a Charm Cider</v>
      </c>
      <c r="H1882" s="27" t="str">
        <f>IFERROR(__xludf.DUMMYFUNCTION("""COMPUTED_VALUE"""),"")</f>
        <v/>
      </c>
    </row>
    <row r="1883">
      <c r="A1883" s="17"/>
      <c r="B1883" s="23"/>
      <c r="C1883" s="17">
        <f>IFERROR(__xludf.DUMMYFUNCTION("""COMPUTED_VALUE"""),43534.9410061226)</f>
        <v>43534.94101</v>
      </c>
      <c r="D1883" s="23">
        <f>IFERROR(__xludf.DUMMYFUNCTION("""COMPUTED_VALUE"""),1.046)</f>
        <v>1.046</v>
      </c>
      <c r="E1883" s="24">
        <f>IFERROR(__xludf.DUMMYFUNCTION("""COMPUTED_VALUE"""),68.0)</f>
        <v>68</v>
      </c>
      <c r="F1883" s="27" t="str">
        <f>IFERROR(__xludf.DUMMYFUNCTION("""COMPUTED_VALUE"""),"BLACK")</f>
        <v>BLACK</v>
      </c>
      <c r="G1883" s="28" t="str">
        <f>IFERROR(__xludf.DUMMYFUNCTION("""COMPUTED_VALUE"""),"First Times a Charm Cider")</f>
        <v>First Times a Charm Cider</v>
      </c>
      <c r="H1883" s="27" t="str">
        <f>IFERROR(__xludf.DUMMYFUNCTION("""COMPUTED_VALUE"""),"")</f>
        <v/>
      </c>
    </row>
    <row r="1884">
      <c r="A1884" s="17"/>
      <c r="B1884" s="23"/>
      <c r="C1884" s="17">
        <f>IFERROR(__xludf.DUMMYFUNCTION("""COMPUTED_VALUE"""),43534.9305628703)</f>
        <v>43534.93056</v>
      </c>
      <c r="D1884" s="23">
        <f>IFERROR(__xludf.DUMMYFUNCTION("""COMPUTED_VALUE"""),1.046)</f>
        <v>1.046</v>
      </c>
      <c r="E1884" s="24">
        <f>IFERROR(__xludf.DUMMYFUNCTION("""COMPUTED_VALUE"""),68.0)</f>
        <v>68</v>
      </c>
      <c r="F1884" s="27" t="str">
        <f>IFERROR(__xludf.DUMMYFUNCTION("""COMPUTED_VALUE"""),"BLACK")</f>
        <v>BLACK</v>
      </c>
      <c r="G1884" s="28" t="str">
        <f>IFERROR(__xludf.DUMMYFUNCTION("""COMPUTED_VALUE"""),"First Times a Charm Cider")</f>
        <v>First Times a Charm Cider</v>
      </c>
      <c r="H1884" s="27" t="str">
        <f>IFERROR(__xludf.DUMMYFUNCTION("""COMPUTED_VALUE"""),"")</f>
        <v/>
      </c>
    </row>
    <row r="1885">
      <c r="A1885" s="17"/>
      <c r="B1885" s="23"/>
      <c r="C1885" s="17">
        <f>IFERROR(__xludf.DUMMYFUNCTION("""COMPUTED_VALUE"""),43534.9201314699)</f>
        <v>43534.92013</v>
      </c>
      <c r="D1885" s="23">
        <f>IFERROR(__xludf.DUMMYFUNCTION("""COMPUTED_VALUE"""),1.046)</f>
        <v>1.046</v>
      </c>
      <c r="E1885" s="24">
        <f>IFERROR(__xludf.DUMMYFUNCTION("""COMPUTED_VALUE"""),68.0)</f>
        <v>68</v>
      </c>
      <c r="F1885" s="27" t="str">
        <f>IFERROR(__xludf.DUMMYFUNCTION("""COMPUTED_VALUE"""),"BLACK")</f>
        <v>BLACK</v>
      </c>
      <c r="G1885" s="28" t="str">
        <f>IFERROR(__xludf.DUMMYFUNCTION("""COMPUTED_VALUE"""),"First Times a Charm Cider")</f>
        <v>First Times a Charm Cider</v>
      </c>
      <c r="H1885" s="27" t="str">
        <f>IFERROR(__xludf.DUMMYFUNCTION("""COMPUTED_VALUE"""),"")</f>
        <v/>
      </c>
    </row>
    <row r="1886">
      <c r="A1886" s="17"/>
      <c r="B1886" s="23"/>
      <c r="C1886" s="17">
        <f>IFERROR(__xludf.DUMMYFUNCTION("""COMPUTED_VALUE"""),43534.9096882523)</f>
        <v>43534.90969</v>
      </c>
      <c r="D1886" s="23">
        <f>IFERROR(__xludf.DUMMYFUNCTION("""COMPUTED_VALUE"""),1.046)</f>
        <v>1.046</v>
      </c>
      <c r="E1886" s="24">
        <f>IFERROR(__xludf.DUMMYFUNCTION("""COMPUTED_VALUE"""),68.0)</f>
        <v>68</v>
      </c>
      <c r="F1886" s="27" t="str">
        <f>IFERROR(__xludf.DUMMYFUNCTION("""COMPUTED_VALUE"""),"BLACK")</f>
        <v>BLACK</v>
      </c>
      <c r="G1886" s="28" t="str">
        <f>IFERROR(__xludf.DUMMYFUNCTION("""COMPUTED_VALUE"""),"First Times a Charm Cider")</f>
        <v>First Times a Charm Cider</v>
      </c>
      <c r="H1886" s="27" t="str">
        <f>IFERROR(__xludf.DUMMYFUNCTION("""COMPUTED_VALUE"""),"")</f>
        <v/>
      </c>
    </row>
    <row r="1887">
      <c r="A1887" s="17"/>
      <c r="B1887" s="23"/>
      <c r="C1887" s="17">
        <f>IFERROR(__xludf.DUMMYFUNCTION("""COMPUTED_VALUE"""),43534.8992573032)</f>
        <v>43534.89926</v>
      </c>
      <c r="D1887" s="23">
        <f>IFERROR(__xludf.DUMMYFUNCTION("""COMPUTED_VALUE"""),1.046)</f>
        <v>1.046</v>
      </c>
      <c r="E1887" s="24">
        <f>IFERROR(__xludf.DUMMYFUNCTION("""COMPUTED_VALUE"""),68.0)</f>
        <v>68</v>
      </c>
      <c r="F1887" s="27" t="str">
        <f>IFERROR(__xludf.DUMMYFUNCTION("""COMPUTED_VALUE"""),"BLACK")</f>
        <v>BLACK</v>
      </c>
      <c r="G1887" s="28" t="str">
        <f>IFERROR(__xludf.DUMMYFUNCTION("""COMPUTED_VALUE"""),"First Times a Charm Cider")</f>
        <v>First Times a Charm Cider</v>
      </c>
      <c r="H1887" s="27" t="str">
        <f>IFERROR(__xludf.DUMMYFUNCTION("""COMPUTED_VALUE"""),"")</f>
        <v/>
      </c>
    </row>
    <row r="1888">
      <c r="A1888" s="17"/>
      <c r="B1888" s="23"/>
      <c r="C1888" s="17">
        <f>IFERROR(__xludf.DUMMYFUNCTION("""COMPUTED_VALUE"""),43534.8888244328)</f>
        <v>43534.88882</v>
      </c>
      <c r="D1888" s="23">
        <f>IFERROR(__xludf.DUMMYFUNCTION("""COMPUTED_VALUE"""),1.046)</f>
        <v>1.046</v>
      </c>
      <c r="E1888" s="24">
        <f>IFERROR(__xludf.DUMMYFUNCTION("""COMPUTED_VALUE"""),68.0)</f>
        <v>68</v>
      </c>
      <c r="F1888" s="27" t="str">
        <f>IFERROR(__xludf.DUMMYFUNCTION("""COMPUTED_VALUE"""),"BLACK")</f>
        <v>BLACK</v>
      </c>
      <c r="G1888" s="28" t="str">
        <f>IFERROR(__xludf.DUMMYFUNCTION("""COMPUTED_VALUE"""),"First Times a Charm Cider")</f>
        <v>First Times a Charm Cider</v>
      </c>
      <c r="H1888" s="27" t="str">
        <f>IFERROR(__xludf.DUMMYFUNCTION("""COMPUTED_VALUE"""),"")</f>
        <v/>
      </c>
    </row>
    <row r="1889">
      <c r="A1889" s="17"/>
      <c r="B1889" s="23"/>
      <c r="C1889" s="17">
        <f>IFERROR(__xludf.DUMMYFUNCTION("""COMPUTED_VALUE"""),43534.8784047569)</f>
        <v>43534.8784</v>
      </c>
      <c r="D1889" s="23">
        <f>IFERROR(__xludf.DUMMYFUNCTION("""COMPUTED_VALUE"""),1.046)</f>
        <v>1.046</v>
      </c>
      <c r="E1889" s="24">
        <f>IFERROR(__xludf.DUMMYFUNCTION("""COMPUTED_VALUE"""),68.0)</f>
        <v>68</v>
      </c>
      <c r="F1889" s="27" t="str">
        <f>IFERROR(__xludf.DUMMYFUNCTION("""COMPUTED_VALUE"""),"BLACK")</f>
        <v>BLACK</v>
      </c>
      <c r="G1889" s="28" t="str">
        <f>IFERROR(__xludf.DUMMYFUNCTION("""COMPUTED_VALUE"""),"First Times a Charm Cider")</f>
        <v>First Times a Charm Cider</v>
      </c>
      <c r="H1889" s="27" t="str">
        <f>IFERROR(__xludf.DUMMYFUNCTION("""COMPUTED_VALUE"""),"")</f>
        <v/>
      </c>
    </row>
    <row r="1890">
      <c r="A1890" s="17"/>
      <c r="B1890" s="23"/>
      <c r="C1890" s="17">
        <f>IFERROR(__xludf.DUMMYFUNCTION("""COMPUTED_VALUE"""),43534.867982581)</f>
        <v>43534.86798</v>
      </c>
      <c r="D1890" s="23">
        <f>IFERROR(__xludf.DUMMYFUNCTION("""COMPUTED_VALUE"""),1.046)</f>
        <v>1.046</v>
      </c>
      <c r="E1890" s="24">
        <f>IFERROR(__xludf.DUMMYFUNCTION("""COMPUTED_VALUE"""),68.0)</f>
        <v>68</v>
      </c>
      <c r="F1890" s="27" t="str">
        <f>IFERROR(__xludf.DUMMYFUNCTION("""COMPUTED_VALUE"""),"BLACK")</f>
        <v>BLACK</v>
      </c>
      <c r="G1890" s="28" t="str">
        <f>IFERROR(__xludf.DUMMYFUNCTION("""COMPUTED_VALUE"""),"First Times a Charm Cider")</f>
        <v>First Times a Charm Cider</v>
      </c>
      <c r="H1890" s="27" t="str">
        <f>IFERROR(__xludf.DUMMYFUNCTION("""COMPUTED_VALUE"""),"")</f>
        <v/>
      </c>
    </row>
    <row r="1891">
      <c r="A1891" s="17"/>
      <c r="B1891" s="23"/>
      <c r="C1891" s="17">
        <f>IFERROR(__xludf.DUMMYFUNCTION("""COMPUTED_VALUE"""),43534.8575612384)</f>
        <v>43534.85756</v>
      </c>
      <c r="D1891" s="23">
        <f>IFERROR(__xludf.DUMMYFUNCTION("""COMPUTED_VALUE"""),1.045)</f>
        <v>1.045</v>
      </c>
      <c r="E1891" s="24">
        <f>IFERROR(__xludf.DUMMYFUNCTION("""COMPUTED_VALUE"""),68.0)</f>
        <v>68</v>
      </c>
      <c r="F1891" s="27" t="str">
        <f>IFERROR(__xludf.DUMMYFUNCTION("""COMPUTED_VALUE"""),"BLACK")</f>
        <v>BLACK</v>
      </c>
      <c r="G1891" s="28" t="str">
        <f>IFERROR(__xludf.DUMMYFUNCTION("""COMPUTED_VALUE"""),"First Times a Charm Cider")</f>
        <v>First Times a Charm Cider</v>
      </c>
      <c r="H1891" s="27" t="str">
        <f>IFERROR(__xludf.DUMMYFUNCTION("""COMPUTED_VALUE"""),"")</f>
        <v/>
      </c>
    </row>
    <row r="1892">
      <c r="A1892" s="17"/>
      <c r="B1892" s="23"/>
      <c r="C1892" s="17">
        <f>IFERROR(__xludf.DUMMYFUNCTION("""COMPUTED_VALUE"""),43534.8471413078)</f>
        <v>43534.84714</v>
      </c>
      <c r="D1892" s="23">
        <f>IFERROR(__xludf.DUMMYFUNCTION("""COMPUTED_VALUE"""),1.046)</f>
        <v>1.046</v>
      </c>
      <c r="E1892" s="24">
        <f>IFERROR(__xludf.DUMMYFUNCTION("""COMPUTED_VALUE"""),68.0)</f>
        <v>68</v>
      </c>
      <c r="F1892" s="27" t="str">
        <f>IFERROR(__xludf.DUMMYFUNCTION("""COMPUTED_VALUE"""),"BLACK")</f>
        <v>BLACK</v>
      </c>
      <c r="G1892" s="28" t="str">
        <f>IFERROR(__xludf.DUMMYFUNCTION("""COMPUTED_VALUE"""),"First Times a Charm Cider")</f>
        <v>First Times a Charm Cider</v>
      </c>
      <c r="H1892" s="27" t="str">
        <f>IFERROR(__xludf.DUMMYFUNCTION("""COMPUTED_VALUE"""),"")</f>
        <v/>
      </c>
    </row>
    <row r="1893">
      <c r="A1893" s="17"/>
      <c r="B1893" s="23"/>
      <c r="C1893" s="17">
        <f>IFERROR(__xludf.DUMMYFUNCTION("""COMPUTED_VALUE"""),43534.8367101273)</f>
        <v>43534.83671</v>
      </c>
      <c r="D1893" s="23">
        <f>IFERROR(__xludf.DUMMYFUNCTION("""COMPUTED_VALUE"""),1.046)</f>
        <v>1.046</v>
      </c>
      <c r="E1893" s="24">
        <f>IFERROR(__xludf.DUMMYFUNCTION("""COMPUTED_VALUE"""),68.0)</f>
        <v>68</v>
      </c>
      <c r="F1893" s="27" t="str">
        <f>IFERROR(__xludf.DUMMYFUNCTION("""COMPUTED_VALUE"""),"BLACK")</f>
        <v>BLACK</v>
      </c>
      <c r="G1893" s="28" t="str">
        <f>IFERROR(__xludf.DUMMYFUNCTION("""COMPUTED_VALUE"""),"First Times a Charm Cider")</f>
        <v>First Times a Charm Cider</v>
      </c>
      <c r="H1893" s="27" t="str">
        <f>IFERROR(__xludf.DUMMYFUNCTION("""COMPUTED_VALUE"""),"")</f>
        <v/>
      </c>
    </row>
    <row r="1894">
      <c r="A1894" s="17"/>
      <c r="B1894" s="23"/>
      <c r="C1894" s="17">
        <f>IFERROR(__xludf.DUMMYFUNCTION("""COMPUTED_VALUE"""),43534.826290081)</f>
        <v>43534.82629</v>
      </c>
      <c r="D1894" s="23">
        <f>IFERROR(__xludf.DUMMYFUNCTION("""COMPUTED_VALUE"""),1.046)</f>
        <v>1.046</v>
      </c>
      <c r="E1894" s="24">
        <f>IFERROR(__xludf.DUMMYFUNCTION("""COMPUTED_VALUE"""),68.0)</f>
        <v>68</v>
      </c>
      <c r="F1894" s="27" t="str">
        <f>IFERROR(__xludf.DUMMYFUNCTION("""COMPUTED_VALUE"""),"BLACK")</f>
        <v>BLACK</v>
      </c>
      <c r="G1894" s="28" t="str">
        <f>IFERROR(__xludf.DUMMYFUNCTION("""COMPUTED_VALUE"""),"First Times a Charm Cider")</f>
        <v>First Times a Charm Cider</v>
      </c>
      <c r="H1894" s="27" t="str">
        <f>IFERROR(__xludf.DUMMYFUNCTION("""COMPUTED_VALUE"""),"")</f>
        <v/>
      </c>
    </row>
    <row r="1895">
      <c r="A1895" s="17"/>
      <c r="B1895" s="23"/>
      <c r="C1895" s="17">
        <f>IFERROR(__xludf.DUMMYFUNCTION("""COMPUTED_VALUE"""),43534.8158570717)</f>
        <v>43534.81586</v>
      </c>
      <c r="D1895" s="23">
        <f>IFERROR(__xludf.DUMMYFUNCTION("""COMPUTED_VALUE"""),1.046)</f>
        <v>1.046</v>
      </c>
      <c r="E1895" s="24">
        <f>IFERROR(__xludf.DUMMYFUNCTION("""COMPUTED_VALUE"""),68.0)</f>
        <v>68</v>
      </c>
      <c r="F1895" s="27" t="str">
        <f>IFERROR(__xludf.DUMMYFUNCTION("""COMPUTED_VALUE"""),"BLACK")</f>
        <v>BLACK</v>
      </c>
      <c r="G1895" s="28" t="str">
        <f>IFERROR(__xludf.DUMMYFUNCTION("""COMPUTED_VALUE"""),"First Times a Charm Cider")</f>
        <v>First Times a Charm Cider</v>
      </c>
      <c r="H1895" s="27" t="str">
        <f>IFERROR(__xludf.DUMMYFUNCTION("""COMPUTED_VALUE"""),"")</f>
        <v/>
      </c>
    </row>
    <row r="1896">
      <c r="A1896" s="17"/>
      <c r="B1896" s="23"/>
      <c r="C1896" s="17">
        <f>IFERROR(__xludf.DUMMYFUNCTION("""COMPUTED_VALUE"""),43534.8054356365)</f>
        <v>43534.80544</v>
      </c>
      <c r="D1896" s="23">
        <f>IFERROR(__xludf.DUMMYFUNCTION("""COMPUTED_VALUE"""),1.046)</f>
        <v>1.046</v>
      </c>
      <c r="E1896" s="24">
        <f>IFERROR(__xludf.DUMMYFUNCTION("""COMPUTED_VALUE"""),68.0)</f>
        <v>68</v>
      </c>
      <c r="F1896" s="27" t="str">
        <f>IFERROR(__xludf.DUMMYFUNCTION("""COMPUTED_VALUE"""),"BLACK")</f>
        <v>BLACK</v>
      </c>
      <c r="G1896" s="28" t="str">
        <f>IFERROR(__xludf.DUMMYFUNCTION("""COMPUTED_VALUE"""),"First Times a Charm Cider")</f>
        <v>First Times a Charm Cider</v>
      </c>
      <c r="H1896" s="27" t="str">
        <f>IFERROR(__xludf.DUMMYFUNCTION("""COMPUTED_VALUE"""),"")</f>
        <v/>
      </c>
    </row>
    <row r="1897">
      <c r="A1897" s="17"/>
      <c r="B1897" s="23"/>
      <c r="C1897" s="17">
        <f>IFERROR(__xludf.DUMMYFUNCTION("""COMPUTED_VALUE"""),43534.7950145717)</f>
        <v>43534.79501</v>
      </c>
      <c r="D1897" s="23">
        <f>IFERROR(__xludf.DUMMYFUNCTION("""COMPUTED_VALUE"""),1.046)</f>
        <v>1.046</v>
      </c>
      <c r="E1897" s="24">
        <f>IFERROR(__xludf.DUMMYFUNCTION("""COMPUTED_VALUE"""),68.0)</f>
        <v>68</v>
      </c>
      <c r="F1897" s="27" t="str">
        <f>IFERROR(__xludf.DUMMYFUNCTION("""COMPUTED_VALUE"""),"BLACK")</f>
        <v>BLACK</v>
      </c>
      <c r="G1897" s="28" t="str">
        <f>IFERROR(__xludf.DUMMYFUNCTION("""COMPUTED_VALUE"""),"First Times a Charm Cider")</f>
        <v>First Times a Charm Cider</v>
      </c>
      <c r="H1897" s="27" t="str">
        <f>IFERROR(__xludf.DUMMYFUNCTION("""COMPUTED_VALUE"""),"")</f>
        <v/>
      </c>
    </row>
    <row r="1898">
      <c r="A1898" s="17"/>
      <c r="B1898" s="23"/>
      <c r="C1898" s="17">
        <f>IFERROR(__xludf.DUMMYFUNCTION("""COMPUTED_VALUE"""),43534.7845931134)</f>
        <v>43534.78459</v>
      </c>
      <c r="D1898" s="23">
        <f>IFERROR(__xludf.DUMMYFUNCTION("""COMPUTED_VALUE"""),1.046)</f>
        <v>1.046</v>
      </c>
      <c r="E1898" s="24">
        <f>IFERROR(__xludf.DUMMYFUNCTION("""COMPUTED_VALUE"""),68.0)</f>
        <v>68</v>
      </c>
      <c r="F1898" s="27" t="str">
        <f>IFERROR(__xludf.DUMMYFUNCTION("""COMPUTED_VALUE"""),"BLACK")</f>
        <v>BLACK</v>
      </c>
      <c r="G1898" s="28" t="str">
        <f>IFERROR(__xludf.DUMMYFUNCTION("""COMPUTED_VALUE"""),"First Times a Charm Cider")</f>
        <v>First Times a Charm Cider</v>
      </c>
      <c r="H1898" s="27" t="str">
        <f>IFERROR(__xludf.DUMMYFUNCTION("""COMPUTED_VALUE"""),"")</f>
        <v/>
      </c>
    </row>
    <row r="1899">
      <c r="A1899" s="17"/>
      <c r="B1899" s="23"/>
      <c r="C1899" s="17">
        <f>IFERROR(__xludf.DUMMYFUNCTION("""COMPUTED_VALUE"""),43534.7741714583)</f>
        <v>43534.77417</v>
      </c>
      <c r="D1899" s="23">
        <f>IFERROR(__xludf.DUMMYFUNCTION("""COMPUTED_VALUE"""),1.046)</f>
        <v>1.046</v>
      </c>
      <c r="E1899" s="24">
        <f>IFERROR(__xludf.DUMMYFUNCTION("""COMPUTED_VALUE"""),68.0)</f>
        <v>68</v>
      </c>
      <c r="F1899" s="27" t="str">
        <f>IFERROR(__xludf.DUMMYFUNCTION("""COMPUTED_VALUE"""),"BLACK")</f>
        <v>BLACK</v>
      </c>
      <c r="G1899" s="28" t="str">
        <f>IFERROR(__xludf.DUMMYFUNCTION("""COMPUTED_VALUE"""),"First Times a Charm Cider")</f>
        <v>First Times a Charm Cider</v>
      </c>
      <c r="H1899" s="27" t="str">
        <f>IFERROR(__xludf.DUMMYFUNCTION("""COMPUTED_VALUE"""),"")</f>
        <v/>
      </c>
    </row>
    <row r="1900">
      <c r="A1900" s="17"/>
      <c r="B1900" s="23"/>
      <c r="C1900" s="17">
        <f>IFERROR(__xludf.DUMMYFUNCTION("""COMPUTED_VALUE"""),43534.7637509375)</f>
        <v>43534.76375</v>
      </c>
      <c r="D1900" s="23">
        <f>IFERROR(__xludf.DUMMYFUNCTION("""COMPUTED_VALUE"""),1.046)</f>
        <v>1.046</v>
      </c>
      <c r="E1900" s="24">
        <f>IFERROR(__xludf.DUMMYFUNCTION("""COMPUTED_VALUE"""),68.0)</f>
        <v>68</v>
      </c>
      <c r="F1900" s="27" t="str">
        <f>IFERROR(__xludf.DUMMYFUNCTION("""COMPUTED_VALUE"""),"BLACK")</f>
        <v>BLACK</v>
      </c>
      <c r="G1900" s="28" t="str">
        <f>IFERROR(__xludf.DUMMYFUNCTION("""COMPUTED_VALUE"""),"First Times a Charm Cider")</f>
        <v>First Times a Charm Cider</v>
      </c>
      <c r="H1900" s="27" t="str">
        <f>IFERROR(__xludf.DUMMYFUNCTION("""COMPUTED_VALUE"""),"")</f>
        <v/>
      </c>
    </row>
    <row r="1901">
      <c r="A1901" s="17"/>
      <c r="B1901" s="23"/>
      <c r="C1901" s="17">
        <f>IFERROR(__xludf.DUMMYFUNCTION("""COMPUTED_VALUE"""),43534.7533298148)</f>
        <v>43534.75333</v>
      </c>
      <c r="D1901" s="23">
        <f>IFERROR(__xludf.DUMMYFUNCTION("""COMPUTED_VALUE"""),1.046)</f>
        <v>1.046</v>
      </c>
      <c r="E1901" s="24">
        <f>IFERROR(__xludf.DUMMYFUNCTION("""COMPUTED_VALUE"""),68.0)</f>
        <v>68</v>
      </c>
      <c r="F1901" s="27" t="str">
        <f>IFERROR(__xludf.DUMMYFUNCTION("""COMPUTED_VALUE"""),"BLACK")</f>
        <v>BLACK</v>
      </c>
      <c r="G1901" s="28" t="str">
        <f>IFERROR(__xludf.DUMMYFUNCTION("""COMPUTED_VALUE"""),"First Times a Charm Cider")</f>
        <v>First Times a Charm Cider</v>
      </c>
      <c r="H1901" s="27" t="str">
        <f>IFERROR(__xludf.DUMMYFUNCTION("""COMPUTED_VALUE"""),"")</f>
        <v/>
      </c>
    </row>
    <row r="1902">
      <c r="A1902" s="17"/>
      <c r="B1902" s="23"/>
      <c r="C1902" s="17">
        <f>IFERROR(__xludf.DUMMYFUNCTION("""COMPUTED_VALUE"""),43534.7429083564)</f>
        <v>43534.74291</v>
      </c>
      <c r="D1902" s="23">
        <f>IFERROR(__xludf.DUMMYFUNCTION("""COMPUTED_VALUE"""),1.046)</f>
        <v>1.046</v>
      </c>
      <c r="E1902" s="24">
        <f>IFERROR(__xludf.DUMMYFUNCTION("""COMPUTED_VALUE"""),68.0)</f>
        <v>68</v>
      </c>
      <c r="F1902" s="27" t="str">
        <f>IFERROR(__xludf.DUMMYFUNCTION("""COMPUTED_VALUE"""),"BLACK")</f>
        <v>BLACK</v>
      </c>
      <c r="G1902" s="28" t="str">
        <f>IFERROR(__xludf.DUMMYFUNCTION("""COMPUTED_VALUE"""),"First Times a Charm Cider")</f>
        <v>First Times a Charm Cider</v>
      </c>
      <c r="H1902" s="27" t="str">
        <f>IFERROR(__xludf.DUMMYFUNCTION("""COMPUTED_VALUE"""),"")</f>
        <v/>
      </c>
    </row>
    <row r="1903">
      <c r="A1903" s="17"/>
      <c r="B1903" s="23"/>
      <c r="C1903" s="17">
        <f>IFERROR(__xludf.DUMMYFUNCTION("""COMPUTED_VALUE"""),43534.7324871296)</f>
        <v>43534.73249</v>
      </c>
      <c r="D1903" s="23">
        <f>IFERROR(__xludf.DUMMYFUNCTION("""COMPUTED_VALUE"""),1.046)</f>
        <v>1.046</v>
      </c>
      <c r="E1903" s="24">
        <f>IFERROR(__xludf.DUMMYFUNCTION("""COMPUTED_VALUE"""),68.0)</f>
        <v>68</v>
      </c>
      <c r="F1903" s="27" t="str">
        <f>IFERROR(__xludf.DUMMYFUNCTION("""COMPUTED_VALUE"""),"BLACK")</f>
        <v>BLACK</v>
      </c>
      <c r="G1903" s="28" t="str">
        <f>IFERROR(__xludf.DUMMYFUNCTION("""COMPUTED_VALUE"""),"First Times a Charm Cider")</f>
        <v>First Times a Charm Cider</v>
      </c>
      <c r="H1903" s="27" t="str">
        <f>IFERROR(__xludf.DUMMYFUNCTION("""COMPUTED_VALUE"""),"")</f>
        <v/>
      </c>
    </row>
    <row r="1904">
      <c r="A1904" s="17"/>
      <c r="B1904" s="23"/>
      <c r="C1904" s="17">
        <f>IFERROR(__xludf.DUMMYFUNCTION("""COMPUTED_VALUE"""),43534.7220651736)</f>
        <v>43534.72207</v>
      </c>
      <c r="D1904" s="23">
        <f>IFERROR(__xludf.DUMMYFUNCTION("""COMPUTED_VALUE"""),1.046)</f>
        <v>1.046</v>
      </c>
      <c r="E1904" s="24">
        <f>IFERROR(__xludf.DUMMYFUNCTION("""COMPUTED_VALUE"""),68.0)</f>
        <v>68</v>
      </c>
      <c r="F1904" s="27" t="str">
        <f>IFERROR(__xludf.DUMMYFUNCTION("""COMPUTED_VALUE"""),"BLACK")</f>
        <v>BLACK</v>
      </c>
      <c r="G1904" s="28" t="str">
        <f>IFERROR(__xludf.DUMMYFUNCTION("""COMPUTED_VALUE"""),"First Times a Charm Cider")</f>
        <v>First Times a Charm Cider</v>
      </c>
      <c r="H1904" s="27" t="str">
        <f>IFERROR(__xludf.DUMMYFUNCTION("""COMPUTED_VALUE"""),"")</f>
        <v/>
      </c>
    </row>
    <row r="1905">
      <c r="A1905" s="17"/>
      <c r="B1905" s="23"/>
      <c r="C1905" s="17">
        <f>IFERROR(__xludf.DUMMYFUNCTION("""COMPUTED_VALUE"""),43534.7116438888)</f>
        <v>43534.71164</v>
      </c>
      <c r="D1905" s="23">
        <f>IFERROR(__xludf.DUMMYFUNCTION("""COMPUTED_VALUE"""),1.046)</f>
        <v>1.046</v>
      </c>
      <c r="E1905" s="24">
        <f>IFERROR(__xludf.DUMMYFUNCTION("""COMPUTED_VALUE"""),68.0)</f>
        <v>68</v>
      </c>
      <c r="F1905" s="27" t="str">
        <f>IFERROR(__xludf.DUMMYFUNCTION("""COMPUTED_VALUE"""),"BLACK")</f>
        <v>BLACK</v>
      </c>
      <c r="G1905" s="28" t="str">
        <f>IFERROR(__xludf.DUMMYFUNCTION("""COMPUTED_VALUE"""),"First Times a Charm Cider")</f>
        <v>First Times a Charm Cider</v>
      </c>
      <c r="H1905" s="27" t="str">
        <f>IFERROR(__xludf.DUMMYFUNCTION("""COMPUTED_VALUE"""),"")</f>
        <v/>
      </c>
    </row>
    <row r="1906">
      <c r="A1906" s="17"/>
      <c r="B1906" s="23"/>
      <c r="C1906" s="17">
        <f>IFERROR(__xludf.DUMMYFUNCTION("""COMPUTED_VALUE"""),43534.7012115972)</f>
        <v>43534.70121</v>
      </c>
      <c r="D1906" s="23">
        <f>IFERROR(__xludf.DUMMYFUNCTION("""COMPUTED_VALUE"""),1.046)</f>
        <v>1.046</v>
      </c>
      <c r="E1906" s="24">
        <f>IFERROR(__xludf.DUMMYFUNCTION("""COMPUTED_VALUE"""),68.0)</f>
        <v>68</v>
      </c>
      <c r="F1906" s="27" t="str">
        <f>IFERROR(__xludf.DUMMYFUNCTION("""COMPUTED_VALUE"""),"BLACK")</f>
        <v>BLACK</v>
      </c>
      <c r="G1906" s="28" t="str">
        <f>IFERROR(__xludf.DUMMYFUNCTION("""COMPUTED_VALUE"""),"First Times a Charm Cider")</f>
        <v>First Times a Charm Cider</v>
      </c>
      <c r="H1906" s="27" t="str">
        <f>IFERROR(__xludf.DUMMYFUNCTION("""COMPUTED_VALUE"""),"")</f>
        <v/>
      </c>
    </row>
    <row r="1907">
      <c r="A1907" s="17"/>
      <c r="B1907" s="23"/>
      <c r="C1907" s="17">
        <f>IFERROR(__xludf.DUMMYFUNCTION("""COMPUTED_VALUE"""),43534.6907786921)</f>
        <v>43534.69078</v>
      </c>
      <c r="D1907" s="23">
        <f>IFERROR(__xludf.DUMMYFUNCTION("""COMPUTED_VALUE"""),1.046)</f>
        <v>1.046</v>
      </c>
      <c r="E1907" s="24">
        <f>IFERROR(__xludf.DUMMYFUNCTION("""COMPUTED_VALUE"""),68.0)</f>
        <v>68</v>
      </c>
      <c r="F1907" s="27" t="str">
        <f>IFERROR(__xludf.DUMMYFUNCTION("""COMPUTED_VALUE"""),"BLACK")</f>
        <v>BLACK</v>
      </c>
      <c r="G1907" s="28" t="str">
        <f>IFERROR(__xludf.DUMMYFUNCTION("""COMPUTED_VALUE"""),"First Times a Charm Cider")</f>
        <v>First Times a Charm Cider</v>
      </c>
      <c r="H1907" s="27" t="str">
        <f>IFERROR(__xludf.DUMMYFUNCTION("""COMPUTED_VALUE"""),"")</f>
        <v/>
      </c>
    </row>
    <row r="1908">
      <c r="A1908" s="17"/>
      <c r="B1908" s="23"/>
      <c r="C1908" s="17">
        <f>IFERROR(__xludf.DUMMYFUNCTION("""COMPUTED_VALUE"""),43534.6803587152)</f>
        <v>43534.68036</v>
      </c>
      <c r="D1908" s="23">
        <f>IFERROR(__xludf.DUMMYFUNCTION("""COMPUTED_VALUE"""),1.046)</f>
        <v>1.046</v>
      </c>
      <c r="E1908" s="24">
        <f>IFERROR(__xludf.DUMMYFUNCTION("""COMPUTED_VALUE"""),68.0)</f>
        <v>68</v>
      </c>
      <c r="F1908" s="27" t="str">
        <f>IFERROR(__xludf.DUMMYFUNCTION("""COMPUTED_VALUE"""),"BLACK")</f>
        <v>BLACK</v>
      </c>
      <c r="G1908" s="28" t="str">
        <f>IFERROR(__xludf.DUMMYFUNCTION("""COMPUTED_VALUE"""),"First Times a Charm Cider")</f>
        <v>First Times a Charm Cider</v>
      </c>
      <c r="H1908" s="27" t="str">
        <f>IFERROR(__xludf.DUMMYFUNCTION("""COMPUTED_VALUE"""),"")</f>
        <v/>
      </c>
    </row>
    <row r="1909">
      <c r="A1909" s="17"/>
      <c r="B1909" s="23"/>
      <c r="C1909" s="17">
        <f>IFERROR(__xludf.DUMMYFUNCTION("""COMPUTED_VALUE"""),43534.6699139236)</f>
        <v>43534.66991</v>
      </c>
      <c r="D1909" s="23">
        <f>IFERROR(__xludf.DUMMYFUNCTION("""COMPUTED_VALUE"""),1.046)</f>
        <v>1.046</v>
      </c>
      <c r="E1909" s="24">
        <f>IFERROR(__xludf.DUMMYFUNCTION("""COMPUTED_VALUE"""),68.0)</f>
        <v>68</v>
      </c>
      <c r="F1909" s="27" t="str">
        <f>IFERROR(__xludf.DUMMYFUNCTION("""COMPUTED_VALUE"""),"BLACK")</f>
        <v>BLACK</v>
      </c>
      <c r="G1909" s="28" t="str">
        <f>IFERROR(__xludf.DUMMYFUNCTION("""COMPUTED_VALUE"""),"First Times a Charm Cider")</f>
        <v>First Times a Charm Cider</v>
      </c>
      <c r="H1909" s="27" t="str">
        <f>IFERROR(__xludf.DUMMYFUNCTION("""COMPUTED_VALUE"""),"")</f>
        <v/>
      </c>
    </row>
    <row r="1910">
      <c r="A1910" s="17"/>
      <c r="B1910" s="23"/>
      <c r="C1910" s="17">
        <f>IFERROR(__xludf.DUMMYFUNCTION("""COMPUTED_VALUE"""),43534.6594917708)</f>
        <v>43534.65949</v>
      </c>
      <c r="D1910" s="23">
        <f>IFERROR(__xludf.DUMMYFUNCTION("""COMPUTED_VALUE"""),1.046)</f>
        <v>1.046</v>
      </c>
      <c r="E1910" s="24">
        <f>IFERROR(__xludf.DUMMYFUNCTION("""COMPUTED_VALUE"""),68.0)</f>
        <v>68</v>
      </c>
      <c r="F1910" s="27" t="str">
        <f>IFERROR(__xludf.DUMMYFUNCTION("""COMPUTED_VALUE"""),"BLACK")</f>
        <v>BLACK</v>
      </c>
      <c r="G1910" s="28" t="str">
        <f>IFERROR(__xludf.DUMMYFUNCTION("""COMPUTED_VALUE"""),"First Times a Charm Cider")</f>
        <v>First Times a Charm Cider</v>
      </c>
      <c r="H1910" s="27" t="str">
        <f>IFERROR(__xludf.DUMMYFUNCTION("""COMPUTED_VALUE"""),"")</f>
        <v/>
      </c>
    </row>
    <row r="1911">
      <c r="A1911" s="17"/>
      <c r="B1911" s="23"/>
      <c r="C1911" s="17">
        <f>IFERROR(__xludf.DUMMYFUNCTION("""COMPUTED_VALUE"""),43534.6490353009)</f>
        <v>43534.64904</v>
      </c>
      <c r="D1911" s="23">
        <f>IFERROR(__xludf.DUMMYFUNCTION("""COMPUTED_VALUE"""),1.046)</f>
        <v>1.046</v>
      </c>
      <c r="E1911" s="24">
        <f>IFERROR(__xludf.DUMMYFUNCTION("""COMPUTED_VALUE"""),68.0)</f>
        <v>68</v>
      </c>
      <c r="F1911" s="27" t="str">
        <f>IFERROR(__xludf.DUMMYFUNCTION("""COMPUTED_VALUE"""),"BLACK")</f>
        <v>BLACK</v>
      </c>
      <c r="G1911" s="28" t="str">
        <f>IFERROR(__xludf.DUMMYFUNCTION("""COMPUTED_VALUE"""),"First Times a Charm Cider")</f>
        <v>First Times a Charm Cider</v>
      </c>
      <c r="H1911" s="27" t="str">
        <f>IFERROR(__xludf.DUMMYFUNCTION("""COMPUTED_VALUE"""),"")</f>
        <v/>
      </c>
    </row>
    <row r="1912">
      <c r="A1912" s="17"/>
      <c r="B1912" s="23"/>
      <c r="C1912" s="17">
        <f>IFERROR(__xludf.DUMMYFUNCTION("""COMPUTED_VALUE"""),43534.6386143981)</f>
        <v>43534.63861</v>
      </c>
      <c r="D1912" s="23">
        <f>IFERROR(__xludf.DUMMYFUNCTION("""COMPUTED_VALUE"""),1.046)</f>
        <v>1.046</v>
      </c>
      <c r="E1912" s="24">
        <f>IFERROR(__xludf.DUMMYFUNCTION("""COMPUTED_VALUE"""),68.0)</f>
        <v>68</v>
      </c>
      <c r="F1912" s="27" t="str">
        <f>IFERROR(__xludf.DUMMYFUNCTION("""COMPUTED_VALUE"""),"BLACK")</f>
        <v>BLACK</v>
      </c>
      <c r="G1912" s="28" t="str">
        <f>IFERROR(__xludf.DUMMYFUNCTION("""COMPUTED_VALUE"""),"First Times a Charm Cider")</f>
        <v>First Times a Charm Cider</v>
      </c>
      <c r="H1912" s="27" t="str">
        <f>IFERROR(__xludf.DUMMYFUNCTION("""COMPUTED_VALUE"""),"")</f>
        <v/>
      </c>
    </row>
    <row r="1913">
      <c r="A1913" s="17"/>
      <c r="B1913" s="23"/>
      <c r="C1913" s="17">
        <f>IFERROR(__xludf.DUMMYFUNCTION("""COMPUTED_VALUE"""),43534.6281940509)</f>
        <v>43534.62819</v>
      </c>
      <c r="D1913" s="23">
        <f>IFERROR(__xludf.DUMMYFUNCTION("""COMPUTED_VALUE"""),1.046)</f>
        <v>1.046</v>
      </c>
      <c r="E1913" s="24">
        <f>IFERROR(__xludf.DUMMYFUNCTION("""COMPUTED_VALUE"""),68.0)</f>
        <v>68</v>
      </c>
      <c r="F1913" s="27" t="str">
        <f>IFERROR(__xludf.DUMMYFUNCTION("""COMPUTED_VALUE"""),"BLACK")</f>
        <v>BLACK</v>
      </c>
      <c r="G1913" s="28" t="str">
        <f>IFERROR(__xludf.DUMMYFUNCTION("""COMPUTED_VALUE"""),"First Times a Charm Cider")</f>
        <v>First Times a Charm Cider</v>
      </c>
      <c r="H1913" s="27" t="str">
        <f>IFERROR(__xludf.DUMMYFUNCTION("""COMPUTED_VALUE"""),"")</f>
        <v/>
      </c>
    </row>
    <row r="1914">
      <c r="A1914" s="17"/>
      <c r="B1914" s="23"/>
      <c r="C1914" s="17">
        <f>IFERROR(__xludf.DUMMYFUNCTION("""COMPUTED_VALUE"""),43534.6177380439)</f>
        <v>43534.61774</v>
      </c>
      <c r="D1914" s="23">
        <f>IFERROR(__xludf.DUMMYFUNCTION("""COMPUTED_VALUE"""),1.046)</f>
        <v>1.046</v>
      </c>
      <c r="E1914" s="24">
        <f>IFERROR(__xludf.DUMMYFUNCTION("""COMPUTED_VALUE"""),68.0)</f>
        <v>68</v>
      </c>
      <c r="F1914" s="27" t="str">
        <f>IFERROR(__xludf.DUMMYFUNCTION("""COMPUTED_VALUE"""),"BLACK")</f>
        <v>BLACK</v>
      </c>
      <c r="G1914" s="28" t="str">
        <f>IFERROR(__xludf.DUMMYFUNCTION("""COMPUTED_VALUE"""),"First Times a Charm Cider")</f>
        <v>First Times a Charm Cider</v>
      </c>
      <c r="H1914" s="27" t="str">
        <f>IFERROR(__xludf.DUMMYFUNCTION("""COMPUTED_VALUE"""),"")</f>
        <v/>
      </c>
    </row>
    <row r="1915">
      <c r="A1915" s="17"/>
      <c r="B1915" s="23"/>
      <c r="C1915" s="17">
        <f>IFERROR(__xludf.DUMMYFUNCTION("""COMPUTED_VALUE"""),43534.6073177777)</f>
        <v>43534.60732</v>
      </c>
      <c r="D1915" s="23">
        <f>IFERROR(__xludf.DUMMYFUNCTION("""COMPUTED_VALUE"""),1.046)</f>
        <v>1.046</v>
      </c>
      <c r="E1915" s="24">
        <f>IFERROR(__xludf.DUMMYFUNCTION("""COMPUTED_VALUE"""),68.0)</f>
        <v>68</v>
      </c>
      <c r="F1915" s="27" t="str">
        <f>IFERROR(__xludf.DUMMYFUNCTION("""COMPUTED_VALUE"""),"BLACK")</f>
        <v>BLACK</v>
      </c>
      <c r="G1915" s="28" t="str">
        <f>IFERROR(__xludf.DUMMYFUNCTION("""COMPUTED_VALUE"""),"First Times a Charm Cider")</f>
        <v>First Times a Charm Cider</v>
      </c>
      <c r="H1915" s="27" t="str">
        <f>IFERROR(__xludf.DUMMYFUNCTION("""COMPUTED_VALUE"""),"")</f>
        <v/>
      </c>
    </row>
    <row r="1916">
      <c r="A1916" s="17"/>
      <c r="B1916" s="23"/>
      <c r="C1916" s="17">
        <f>IFERROR(__xludf.DUMMYFUNCTION("""COMPUTED_VALUE"""),43534.5968983449)</f>
        <v>43534.5969</v>
      </c>
      <c r="D1916" s="23">
        <f>IFERROR(__xludf.DUMMYFUNCTION("""COMPUTED_VALUE"""),1.046)</f>
        <v>1.046</v>
      </c>
      <c r="E1916" s="24">
        <f>IFERROR(__xludf.DUMMYFUNCTION("""COMPUTED_VALUE"""),68.0)</f>
        <v>68</v>
      </c>
      <c r="F1916" s="27" t="str">
        <f>IFERROR(__xludf.DUMMYFUNCTION("""COMPUTED_VALUE"""),"BLACK")</f>
        <v>BLACK</v>
      </c>
      <c r="G1916" s="28" t="str">
        <f>IFERROR(__xludf.DUMMYFUNCTION("""COMPUTED_VALUE"""),"First Times a Charm Cider")</f>
        <v>First Times a Charm Cider</v>
      </c>
      <c r="H1916" s="27" t="str">
        <f>IFERROR(__xludf.DUMMYFUNCTION("""COMPUTED_VALUE"""),"")</f>
        <v/>
      </c>
    </row>
    <row r="1917">
      <c r="A1917" s="17"/>
      <c r="B1917" s="23"/>
      <c r="C1917" s="17">
        <f>IFERROR(__xludf.DUMMYFUNCTION("""COMPUTED_VALUE"""),43534.586465949)</f>
        <v>43534.58647</v>
      </c>
      <c r="D1917" s="23">
        <f>IFERROR(__xludf.DUMMYFUNCTION("""COMPUTED_VALUE"""),1.046)</f>
        <v>1.046</v>
      </c>
      <c r="E1917" s="24">
        <f>IFERROR(__xludf.DUMMYFUNCTION("""COMPUTED_VALUE"""),68.0)</f>
        <v>68</v>
      </c>
      <c r="F1917" s="27" t="str">
        <f>IFERROR(__xludf.DUMMYFUNCTION("""COMPUTED_VALUE"""),"BLACK")</f>
        <v>BLACK</v>
      </c>
      <c r="G1917" s="28" t="str">
        <f>IFERROR(__xludf.DUMMYFUNCTION("""COMPUTED_VALUE"""),"First Times a Charm Cider")</f>
        <v>First Times a Charm Cider</v>
      </c>
      <c r="H1917" s="27" t="str">
        <f>IFERROR(__xludf.DUMMYFUNCTION("""COMPUTED_VALUE"""),"")</f>
        <v/>
      </c>
    </row>
    <row r="1918">
      <c r="A1918" s="17"/>
      <c r="B1918" s="23"/>
      <c r="C1918" s="17">
        <f>IFERROR(__xludf.DUMMYFUNCTION("""COMPUTED_VALUE"""),43534.5760199884)</f>
        <v>43534.57602</v>
      </c>
      <c r="D1918" s="23">
        <f>IFERROR(__xludf.DUMMYFUNCTION("""COMPUTED_VALUE"""),1.046)</f>
        <v>1.046</v>
      </c>
      <c r="E1918" s="24">
        <f>IFERROR(__xludf.DUMMYFUNCTION("""COMPUTED_VALUE"""),68.0)</f>
        <v>68</v>
      </c>
      <c r="F1918" s="27" t="str">
        <f>IFERROR(__xludf.DUMMYFUNCTION("""COMPUTED_VALUE"""),"BLACK")</f>
        <v>BLACK</v>
      </c>
      <c r="G1918" s="28" t="str">
        <f>IFERROR(__xludf.DUMMYFUNCTION("""COMPUTED_VALUE"""),"First Times a Charm Cider")</f>
        <v>First Times a Charm Cider</v>
      </c>
      <c r="H1918" s="27" t="str">
        <f>IFERROR(__xludf.DUMMYFUNCTION("""COMPUTED_VALUE"""),"")</f>
        <v/>
      </c>
    </row>
    <row r="1919">
      <c r="A1919" s="17"/>
      <c r="B1919" s="23"/>
      <c r="C1919" s="17">
        <f>IFERROR(__xludf.DUMMYFUNCTION("""COMPUTED_VALUE"""),43534.5655986111)</f>
        <v>43534.5656</v>
      </c>
      <c r="D1919" s="23">
        <f>IFERROR(__xludf.DUMMYFUNCTION("""COMPUTED_VALUE"""),1.046)</f>
        <v>1.046</v>
      </c>
      <c r="E1919" s="24">
        <f>IFERROR(__xludf.DUMMYFUNCTION("""COMPUTED_VALUE"""),68.0)</f>
        <v>68</v>
      </c>
      <c r="F1919" s="27" t="str">
        <f>IFERROR(__xludf.DUMMYFUNCTION("""COMPUTED_VALUE"""),"BLACK")</f>
        <v>BLACK</v>
      </c>
      <c r="G1919" s="28" t="str">
        <f>IFERROR(__xludf.DUMMYFUNCTION("""COMPUTED_VALUE"""),"First Times a Charm Cider")</f>
        <v>First Times a Charm Cider</v>
      </c>
      <c r="H1919" s="27" t="str">
        <f>IFERROR(__xludf.DUMMYFUNCTION("""COMPUTED_VALUE"""),"")</f>
        <v/>
      </c>
    </row>
    <row r="1920">
      <c r="A1920" s="17"/>
      <c r="B1920" s="23"/>
      <c r="C1920" s="17">
        <f>IFERROR(__xludf.DUMMYFUNCTION("""COMPUTED_VALUE"""),43534.5551665972)</f>
        <v>43534.55517</v>
      </c>
      <c r="D1920" s="23">
        <f>IFERROR(__xludf.DUMMYFUNCTION("""COMPUTED_VALUE"""),1.046)</f>
        <v>1.046</v>
      </c>
      <c r="E1920" s="24">
        <f>IFERROR(__xludf.DUMMYFUNCTION("""COMPUTED_VALUE"""),68.0)</f>
        <v>68</v>
      </c>
      <c r="F1920" s="27" t="str">
        <f>IFERROR(__xludf.DUMMYFUNCTION("""COMPUTED_VALUE"""),"BLACK")</f>
        <v>BLACK</v>
      </c>
      <c r="G1920" s="28" t="str">
        <f>IFERROR(__xludf.DUMMYFUNCTION("""COMPUTED_VALUE"""),"First Times a Charm Cider")</f>
        <v>First Times a Charm Cider</v>
      </c>
      <c r="H1920" s="27" t="str">
        <f>IFERROR(__xludf.DUMMYFUNCTION("""COMPUTED_VALUE"""),"")</f>
        <v/>
      </c>
    </row>
    <row r="1921">
      <c r="A1921" s="17"/>
      <c r="B1921" s="23"/>
      <c r="C1921" s="17">
        <f>IFERROR(__xludf.DUMMYFUNCTION("""COMPUTED_VALUE"""),43534.5447338773)</f>
        <v>43534.54473</v>
      </c>
      <c r="D1921" s="23">
        <f>IFERROR(__xludf.DUMMYFUNCTION("""COMPUTED_VALUE"""),1.046)</f>
        <v>1.046</v>
      </c>
      <c r="E1921" s="24">
        <f>IFERROR(__xludf.DUMMYFUNCTION("""COMPUTED_VALUE"""),68.0)</f>
        <v>68</v>
      </c>
      <c r="F1921" s="27" t="str">
        <f>IFERROR(__xludf.DUMMYFUNCTION("""COMPUTED_VALUE"""),"BLACK")</f>
        <v>BLACK</v>
      </c>
      <c r="G1921" s="28" t="str">
        <f>IFERROR(__xludf.DUMMYFUNCTION("""COMPUTED_VALUE"""),"First Times a Charm Cider")</f>
        <v>First Times a Charm Cider</v>
      </c>
      <c r="H1921" s="27" t="str">
        <f>IFERROR(__xludf.DUMMYFUNCTION("""COMPUTED_VALUE"""),"")</f>
        <v/>
      </c>
    </row>
    <row r="1922">
      <c r="A1922" s="17"/>
      <c r="B1922" s="23"/>
      <c r="C1922" s="17">
        <f>IFERROR(__xludf.DUMMYFUNCTION("""COMPUTED_VALUE"""),43534.5343133912)</f>
        <v>43534.53431</v>
      </c>
      <c r="D1922" s="23">
        <f>IFERROR(__xludf.DUMMYFUNCTION("""COMPUTED_VALUE"""),1.046)</f>
        <v>1.046</v>
      </c>
      <c r="E1922" s="24">
        <f>IFERROR(__xludf.DUMMYFUNCTION("""COMPUTED_VALUE"""),68.0)</f>
        <v>68</v>
      </c>
      <c r="F1922" s="27" t="str">
        <f>IFERROR(__xludf.DUMMYFUNCTION("""COMPUTED_VALUE"""),"BLACK")</f>
        <v>BLACK</v>
      </c>
      <c r="G1922" s="28" t="str">
        <f>IFERROR(__xludf.DUMMYFUNCTION("""COMPUTED_VALUE"""),"First Times a Charm Cider")</f>
        <v>First Times a Charm Cider</v>
      </c>
      <c r="H1922" s="27" t="str">
        <f>IFERROR(__xludf.DUMMYFUNCTION("""COMPUTED_VALUE"""),"")</f>
        <v/>
      </c>
    </row>
    <row r="1923">
      <c r="A1923" s="17"/>
      <c r="B1923" s="23"/>
      <c r="C1923" s="17">
        <f>IFERROR(__xludf.DUMMYFUNCTION("""COMPUTED_VALUE"""),43534.5238684722)</f>
        <v>43534.52387</v>
      </c>
      <c r="D1923" s="23">
        <f>IFERROR(__xludf.DUMMYFUNCTION("""COMPUTED_VALUE"""),1.046)</f>
        <v>1.046</v>
      </c>
      <c r="E1923" s="24">
        <f>IFERROR(__xludf.DUMMYFUNCTION("""COMPUTED_VALUE"""),68.0)</f>
        <v>68</v>
      </c>
      <c r="F1923" s="27" t="str">
        <f>IFERROR(__xludf.DUMMYFUNCTION("""COMPUTED_VALUE"""),"BLACK")</f>
        <v>BLACK</v>
      </c>
      <c r="G1923" s="28" t="str">
        <f>IFERROR(__xludf.DUMMYFUNCTION("""COMPUTED_VALUE"""),"First Times a Charm Cider")</f>
        <v>First Times a Charm Cider</v>
      </c>
      <c r="H1923" s="27" t="str">
        <f>IFERROR(__xludf.DUMMYFUNCTION("""COMPUTED_VALUE"""),"")</f>
        <v/>
      </c>
    </row>
    <row r="1924">
      <c r="A1924" s="17"/>
      <c r="B1924" s="23"/>
      <c r="C1924" s="17">
        <f>IFERROR(__xludf.DUMMYFUNCTION("""COMPUTED_VALUE"""),43534.5134481712)</f>
        <v>43534.51345</v>
      </c>
      <c r="D1924" s="23">
        <f>IFERROR(__xludf.DUMMYFUNCTION("""COMPUTED_VALUE"""),1.046)</f>
        <v>1.046</v>
      </c>
      <c r="E1924" s="24">
        <f>IFERROR(__xludf.DUMMYFUNCTION("""COMPUTED_VALUE"""),68.0)</f>
        <v>68</v>
      </c>
      <c r="F1924" s="27" t="str">
        <f>IFERROR(__xludf.DUMMYFUNCTION("""COMPUTED_VALUE"""),"BLACK")</f>
        <v>BLACK</v>
      </c>
      <c r="G1924" s="28" t="str">
        <f>IFERROR(__xludf.DUMMYFUNCTION("""COMPUTED_VALUE"""),"First Times a Charm Cider")</f>
        <v>First Times a Charm Cider</v>
      </c>
      <c r="H1924" s="27" t="str">
        <f>IFERROR(__xludf.DUMMYFUNCTION("""COMPUTED_VALUE"""),"")</f>
        <v/>
      </c>
    </row>
    <row r="1925">
      <c r="A1925" s="17"/>
      <c r="B1925" s="23"/>
      <c r="C1925" s="17">
        <f>IFERROR(__xludf.DUMMYFUNCTION("""COMPUTED_VALUE"""),43534.5030138078)</f>
        <v>43534.50301</v>
      </c>
      <c r="D1925" s="23">
        <f>IFERROR(__xludf.DUMMYFUNCTION("""COMPUTED_VALUE"""),1.046)</f>
        <v>1.046</v>
      </c>
      <c r="E1925" s="24">
        <f>IFERROR(__xludf.DUMMYFUNCTION("""COMPUTED_VALUE"""),68.0)</f>
        <v>68</v>
      </c>
      <c r="F1925" s="27" t="str">
        <f>IFERROR(__xludf.DUMMYFUNCTION("""COMPUTED_VALUE"""),"BLACK")</f>
        <v>BLACK</v>
      </c>
      <c r="G1925" s="28" t="str">
        <f>IFERROR(__xludf.DUMMYFUNCTION("""COMPUTED_VALUE"""),"First Times a Charm Cider")</f>
        <v>First Times a Charm Cider</v>
      </c>
      <c r="H1925" s="27" t="str">
        <f>IFERROR(__xludf.DUMMYFUNCTION("""COMPUTED_VALUE"""),"")</f>
        <v/>
      </c>
    </row>
    <row r="1926">
      <c r="A1926" s="17"/>
      <c r="B1926" s="23"/>
      <c r="C1926" s="17">
        <f>IFERROR(__xludf.DUMMYFUNCTION("""COMPUTED_VALUE"""),43534.492593993)</f>
        <v>43534.49259</v>
      </c>
      <c r="D1926" s="23">
        <f>IFERROR(__xludf.DUMMYFUNCTION("""COMPUTED_VALUE"""),1.047)</f>
        <v>1.047</v>
      </c>
      <c r="E1926" s="24">
        <f>IFERROR(__xludf.DUMMYFUNCTION("""COMPUTED_VALUE"""),68.0)</f>
        <v>68</v>
      </c>
      <c r="F1926" s="27" t="str">
        <f>IFERROR(__xludf.DUMMYFUNCTION("""COMPUTED_VALUE"""),"BLACK")</f>
        <v>BLACK</v>
      </c>
      <c r="G1926" s="28" t="str">
        <f>IFERROR(__xludf.DUMMYFUNCTION("""COMPUTED_VALUE"""),"First Times a Charm Cider")</f>
        <v>First Times a Charm Cider</v>
      </c>
      <c r="H1926" s="27" t="str">
        <f>IFERROR(__xludf.DUMMYFUNCTION("""COMPUTED_VALUE"""),"")</f>
        <v/>
      </c>
    </row>
    <row r="1927">
      <c r="A1927" s="17"/>
      <c r="B1927" s="23"/>
      <c r="C1927" s="17">
        <f>IFERROR(__xludf.DUMMYFUNCTION("""COMPUTED_VALUE"""),43534.4821387731)</f>
        <v>43534.48214</v>
      </c>
      <c r="D1927" s="23">
        <f>IFERROR(__xludf.DUMMYFUNCTION("""COMPUTED_VALUE"""),1.047)</f>
        <v>1.047</v>
      </c>
      <c r="E1927" s="24">
        <f>IFERROR(__xludf.DUMMYFUNCTION("""COMPUTED_VALUE"""),68.0)</f>
        <v>68</v>
      </c>
      <c r="F1927" s="27" t="str">
        <f>IFERROR(__xludf.DUMMYFUNCTION("""COMPUTED_VALUE"""),"BLACK")</f>
        <v>BLACK</v>
      </c>
      <c r="G1927" s="28" t="str">
        <f>IFERROR(__xludf.DUMMYFUNCTION("""COMPUTED_VALUE"""),"First Times a Charm Cider")</f>
        <v>First Times a Charm Cider</v>
      </c>
      <c r="H1927" s="27" t="str">
        <f>IFERROR(__xludf.DUMMYFUNCTION("""COMPUTED_VALUE"""),"")</f>
        <v/>
      </c>
    </row>
    <row r="1928">
      <c r="A1928" s="17"/>
      <c r="B1928" s="23"/>
      <c r="C1928" s="17">
        <f>IFERROR(__xludf.DUMMYFUNCTION("""COMPUTED_VALUE"""),43534.47172)</f>
        <v>43534.47172</v>
      </c>
      <c r="D1928" s="23">
        <f>IFERROR(__xludf.DUMMYFUNCTION("""COMPUTED_VALUE"""),1.047)</f>
        <v>1.047</v>
      </c>
      <c r="E1928" s="24">
        <f>IFERROR(__xludf.DUMMYFUNCTION("""COMPUTED_VALUE"""),68.0)</f>
        <v>68</v>
      </c>
      <c r="F1928" s="27" t="str">
        <f>IFERROR(__xludf.DUMMYFUNCTION("""COMPUTED_VALUE"""),"BLACK")</f>
        <v>BLACK</v>
      </c>
      <c r="G1928" s="28" t="str">
        <f>IFERROR(__xludf.DUMMYFUNCTION("""COMPUTED_VALUE"""),"First Times a Charm Cider")</f>
        <v>First Times a Charm Cider</v>
      </c>
      <c r="H1928" s="27" t="str">
        <f>IFERROR(__xludf.DUMMYFUNCTION("""COMPUTED_VALUE"""),"")</f>
        <v/>
      </c>
    </row>
    <row r="1929">
      <c r="A1929" s="17"/>
      <c r="B1929" s="23"/>
      <c r="C1929" s="17">
        <f>IFERROR(__xludf.DUMMYFUNCTION("""COMPUTED_VALUE"""),43534.4612992245)</f>
        <v>43534.4613</v>
      </c>
      <c r="D1929" s="23">
        <f>IFERROR(__xludf.DUMMYFUNCTION("""COMPUTED_VALUE"""),1.047)</f>
        <v>1.047</v>
      </c>
      <c r="E1929" s="24">
        <f>IFERROR(__xludf.DUMMYFUNCTION("""COMPUTED_VALUE"""),68.0)</f>
        <v>68</v>
      </c>
      <c r="F1929" s="27" t="str">
        <f>IFERROR(__xludf.DUMMYFUNCTION("""COMPUTED_VALUE"""),"BLACK")</f>
        <v>BLACK</v>
      </c>
      <c r="G1929" s="28" t="str">
        <f>IFERROR(__xludf.DUMMYFUNCTION("""COMPUTED_VALUE"""),"First Times a Charm Cider")</f>
        <v>First Times a Charm Cider</v>
      </c>
      <c r="H1929" s="27" t="str">
        <f>IFERROR(__xludf.DUMMYFUNCTION("""COMPUTED_VALUE"""),"")</f>
        <v/>
      </c>
    </row>
    <row r="1930">
      <c r="A1930" s="17"/>
      <c r="B1930" s="23"/>
      <c r="C1930" s="17">
        <f>IFERROR(__xludf.DUMMYFUNCTION("""COMPUTED_VALUE"""),43534.4508667245)</f>
        <v>43534.45087</v>
      </c>
      <c r="D1930" s="23">
        <f>IFERROR(__xludf.DUMMYFUNCTION("""COMPUTED_VALUE"""),1.047)</f>
        <v>1.047</v>
      </c>
      <c r="E1930" s="24">
        <f>IFERROR(__xludf.DUMMYFUNCTION("""COMPUTED_VALUE"""),68.0)</f>
        <v>68</v>
      </c>
      <c r="F1930" s="27" t="str">
        <f>IFERROR(__xludf.DUMMYFUNCTION("""COMPUTED_VALUE"""),"BLACK")</f>
        <v>BLACK</v>
      </c>
      <c r="G1930" s="28" t="str">
        <f>IFERROR(__xludf.DUMMYFUNCTION("""COMPUTED_VALUE"""),"First Times a Charm Cider")</f>
        <v>First Times a Charm Cider</v>
      </c>
      <c r="H1930" s="27" t="str">
        <f>IFERROR(__xludf.DUMMYFUNCTION("""COMPUTED_VALUE"""),"")</f>
        <v/>
      </c>
    </row>
    <row r="1931">
      <c r="A1931" s="17"/>
      <c r="B1931" s="23"/>
      <c r="C1931" s="17">
        <f>IFERROR(__xludf.DUMMYFUNCTION("""COMPUTED_VALUE"""),43534.4404332291)</f>
        <v>43534.44043</v>
      </c>
      <c r="D1931" s="23">
        <f>IFERROR(__xludf.DUMMYFUNCTION("""COMPUTED_VALUE"""),1.047)</f>
        <v>1.047</v>
      </c>
      <c r="E1931" s="24">
        <f>IFERROR(__xludf.DUMMYFUNCTION("""COMPUTED_VALUE"""),68.0)</f>
        <v>68</v>
      </c>
      <c r="F1931" s="27" t="str">
        <f>IFERROR(__xludf.DUMMYFUNCTION("""COMPUTED_VALUE"""),"BLACK")</f>
        <v>BLACK</v>
      </c>
      <c r="G1931" s="28" t="str">
        <f>IFERROR(__xludf.DUMMYFUNCTION("""COMPUTED_VALUE"""),"First Times a Charm Cider")</f>
        <v>First Times a Charm Cider</v>
      </c>
      <c r="H1931" s="27" t="str">
        <f>IFERROR(__xludf.DUMMYFUNCTION("""COMPUTED_VALUE"""),"")</f>
        <v/>
      </c>
    </row>
    <row r="1932">
      <c r="A1932" s="17"/>
      <c r="B1932" s="23"/>
      <c r="C1932" s="17">
        <f>IFERROR(__xludf.DUMMYFUNCTION("""COMPUTED_VALUE"""),43534.4300006018)</f>
        <v>43534.43</v>
      </c>
      <c r="D1932" s="23">
        <f>IFERROR(__xludf.DUMMYFUNCTION("""COMPUTED_VALUE"""),1.047)</f>
        <v>1.047</v>
      </c>
      <c r="E1932" s="24">
        <f>IFERROR(__xludf.DUMMYFUNCTION("""COMPUTED_VALUE"""),68.0)</f>
        <v>68</v>
      </c>
      <c r="F1932" s="27" t="str">
        <f>IFERROR(__xludf.DUMMYFUNCTION("""COMPUTED_VALUE"""),"BLACK")</f>
        <v>BLACK</v>
      </c>
      <c r="G1932" s="28" t="str">
        <f>IFERROR(__xludf.DUMMYFUNCTION("""COMPUTED_VALUE"""),"First Times a Charm Cider")</f>
        <v>First Times a Charm Cider</v>
      </c>
      <c r="H1932" s="27" t="str">
        <f>IFERROR(__xludf.DUMMYFUNCTION("""COMPUTED_VALUE"""),"")</f>
        <v/>
      </c>
    </row>
    <row r="1933">
      <c r="A1933" s="17"/>
      <c r="B1933" s="23"/>
      <c r="C1933" s="17">
        <f>IFERROR(__xludf.DUMMYFUNCTION("""COMPUTED_VALUE"""),43534.4195561342)</f>
        <v>43534.41956</v>
      </c>
      <c r="D1933" s="23">
        <f>IFERROR(__xludf.DUMMYFUNCTION("""COMPUTED_VALUE"""),1.047)</f>
        <v>1.047</v>
      </c>
      <c r="E1933" s="24">
        <f>IFERROR(__xludf.DUMMYFUNCTION("""COMPUTED_VALUE"""),68.0)</f>
        <v>68</v>
      </c>
      <c r="F1933" s="27" t="str">
        <f>IFERROR(__xludf.DUMMYFUNCTION("""COMPUTED_VALUE"""),"BLACK")</f>
        <v>BLACK</v>
      </c>
      <c r="G1933" s="28" t="str">
        <f>IFERROR(__xludf.DUMMYFUNCTION("""COMPUTED_VALUE"""),"First Times a Charm Cider")</f>
        <v>First Times a Charm Cider</v>
      </c>
      <c r="H1933" s="27" t="str">
        <f>IFERROR(__xludf.DUMMYFUNCTION("""COMPUTED_VALUE"""),"")</f>
        <v/>
      </c>
    </row>
    <row r="1934">
      <c r="A1934" s="17"/>
      <c r="B1934" s="23"/>
      <c r="C1934" s="17">
        <f>IFERROR(__xludf.DUMMYFUNCTION("""COMPUTED_VALUE"""),43534.4091345254)</f>
        <v>43534.40913</v>
      </c>
      <c r="D1934" s="23">
        <f>IFERROR(__xludf.DUMMYFUNCTION("""COMPUTED_VALUE"""),1.047)</f>
        <v>1.047</v>
      </c>
      <c r="E1934" s="24">
        <f>IFERROR(__xludf.DUMMYFUNCTION("""COMPUTED_VALUE"""),68.0)</f>
        <v>68</v>
      </c>
      <c r="F1934" s="27" t="str">
        <f>IFERROR(__xludf.DUMMYFUNCTION("""COMPUTED_VALUE"""),"BLACK")</f>
        <v>BLACK</v>
      </c>
      <c r="G1934" s="28" t="str">
        <f>IFERROR(__xludf.DUMMYFUNCTION("""COMPUTED_VALUE"""),"First Times a Charm Cider")</f>
        <v>First Times a Charm Cider</v>
      </c>
      <c r="H1934" s="27" t="str">
        <f>IFERROR(__xludf.DUMMYFUNCTION("""COMPUTED_VALUE"""),"")</f>
        <v/>
      </c>
    </row>
    <row r="1935">
      <c r="A1935" s="17"/>
      <c r="B1935" s="23"/>
      <c r="C1935" s="17">
        <f>IFERROR(__xludf.DUMMYFUNCTION("""COMPUTED_VALUE"""),43534.3987118865)</f>
        <v>43534.39871</v>
      </c>
      <c r="D1935" s="23">
        <f>IFERROR(__xludf.DUMMYFUNCTION("""COMPUTED_VALUE"""),1.047)</f>
        <v>1.047</v>
      </c>
      <c r="E1935" s="24">
        <f>IFERROR(__xludf.DUMMYFUNCTION("""COMPUTED_VALUE"""),68.0)</f>
        <v>68</v>
      </c>
      <c r="F1935" s="27" t="str">
        <f>IFERROR(__xludf.DUMMYFUNCTION("""COMPUTED_VALUE"""),"BLACK")</f>
        <v>BLACK</v>
      </c>
      <c r="G1935" s="28" t="str">
        <f>IFERROR(__xludf.DUMMYFUNCTION("""COMPUTED_VALUE"""),"First Times a Charm Cider")</f>
        <v>First Times a Charm Cider</v>
      </c>
      <c r="H1935" s="27" t="str">
        <f>IFERROR(__xludf.DUMMYFUNCTION("""COMPUTED_VALUE"""),"")</f>
        <v/>
      </c>
    </row>
    <row r="1936">
      <c r="A1936" s="17"/>
      <c r="B1936" s="23"/>
      <c r="C1936" s="17">
        <f>IFERROR(__xludf.DUMMYFUNCTION("""COMPUTED_VALUE"""),43534.388198993)</f>
        <v>43534.3882</v>
      </c>
      <c r="D1936" s="23">
        <f>IFERROR(__xludf.DUMMYFUNCTION("""COMPUTED_VALUE"""),1.047)</f>
        <v>1.047</v>
      </c>
      <c r="E1936" s="24">
        <f>IFERROR(__xludf.DUMMYFUNCTION("""COMPUTED_VALUE"""),68.0)</f>
        <v>68</v>
      </c>
      <c r="F1936" s="27" t="str">
        <f>IFERROR(__xludf.DUMMYFUNCTION("""COMPUTED_VALUE"""),"BLACK")</f>
        <v>BLACK</v>
      </c>
      <c r="G1936" s="28" t="str">
        <f>IFERROR(__xludf.DUMMYFUNCTION("""COMPUTED_VALUE"""),"First Times a Charm Cider")</f>
        <v>First Times a Charm Cider</v>
      </c>
      <c r="H1936" s="27" t="str">
        <f>IFERROR(__xludf.DUMMYFUNCTION("""COMPUTED_VALUE"""),"")</f>
        <v/>
      </c>
    </row>
    <row r="1937">
      <c r="A1937" s="17"/>
      <c r="B1937" s="23"/>
      <c r="C1937" s="17">
        <f>IFERROR(__xludf.DUMMYFUNCTION("""COMPUTED_VALUE"""),43534.3777800347)</f>
        <v>43534.37778</v>
      </c>
      <c r="D1937" s="23">
        <f>IFERROR(__xludf.DUMMYFUNCTION("""COMPUTED_VALUE"""),1.047)</f>
        <v>1.047</v>
      </c>
      <c r="E1937" s="24">
        <f>IFERROR(__xludf.DUMMYFUNCTION("""COMPUTED_VALUE"""),68.0)</f>
        <v>68</v>
      </c>
      <c r="F1937" s="27" t="str">
        <f>IFERROR(__xludf.DUMMYFUNCTION("""COMPUTED_VALUE"""),"BLACK")</f>
        <v>BLACK</v>
      </c>
      <c r="G1937" s="28" t="str">
        <f>IFERROR(__xludf.DUMMYFUNCTION("""COMPUTED_VALUE"""),"First Times a Charm Cider")</f>
        <v>First Times a Charm Cider</v>
      </c>
      <c r="H1937" s="27" t="str">
        <f>IFERROR(__xludf.DUMMYFUNCTION("""COMPUTED_VALUE"""),"")</f>
        <v/>
      </c>
    </row>
    <row r="1938">
      <c r="A1938" s="17"/>
      <c r="B1938" s="23"/>
      <c r="C1938" s="17">
        <f>IFERROR(__xludf.DUMMYFUNCTION("""COMPUTED_VALUE"""),43534.3673463888)</f>
        <v>43534.36735</v>
      </c>
      <c r="D1938" s="23">
        <f>IFERROR(__xludf.DUMMYFUNCTION("""COMPUTED_VALUE"""),1.047)</f>
        <v>1.047</v>
      </c>
      <c r="E1938" s="24">
        <f>IFERROR(__xludf.DUMMYFUNCTION("""COMPUTED_VALUE"""),68.0)</f>
        <v>68</v>
      </c>
      <c r="F1938" s="27" t="str">
        <f>IFERROR(__xludf.DUMMYFUNCTION("""COMPUTED_VALUE"""),"BLACK")</f>
        <v>BLACK</v>
      </c>
      <c r="G1938" s="28" t="str">
        <f>IFERROR(__xludf.DUMMYFUNCTION("""COMPUTED_VALUE"""),"First Times a Charm Cider")</f>
        <v>First Times a Charm Cider</v>
      </c>
      <c r="H1938" s="27" t="str">
        <f>IFERROR(__xludf.DUMMYFUNCTION("""COMPUTED_VALUE"""),"")</f>
        <v/>
      </c>
    </row>
    <row r="1939">
      <c r="A1939" s="17"/>
      <c r="B1939" s="23"/>
      <c r="C1939" s="17">
        <f>IFERROR(__xludf.DUMMYFUNCTION("""COMPUTED_VALUE"""),43534.3569129976)</f>
        <v>43534.35691</v>
      </c>
      <c r="D1939" s="23">
        <f>IFERROR(__xludf.DUMMYFUNCTION("""COMPUTED_VALUE"""),1.047)</f>
        <v>1.047</v>
      </c>
      <c r="E1939" s="24">
        <f>IFERROR(__xludf.DUMMYFUNCTION("""COMPUTED_VALUE"""),68.0)</f>
        <v>68</v>
      </c>
      <c r="F1939" s="27" t="str">
        <f>IFERROR(__xludf.DUMMYFUNCTION("""COMPUTED_VALUE"""),"BLACK")</f>
        <v>BLACK</v>
      </c>
      <c r="G1939" s="28" t="str">
        <f>IFERROR(__xludf.DUMMYFUNCTION("""COMPUTED_VALUE"""),"First Times a Charm Cider")</f>
        <v>First Times a Charm Cider</v>
      </c>
      <c r="H1939" s="27" t="str">
        <f>IFERROR(__xludf.DUMMYFUNCTION("""COMPUTED_VALUE"""),"")</f>
        <v/>
      </c>
    </row>
    <row r="1940">
      <c r="A1940" s="17"/>
      <c r="B1940" s="23"/>
      <c r="C1940" s="17">
        <f>IFERROR(__xludf.DUMMYFUNCTION("""COMPUTED_VALUE"""),43534.3464919675)</f>
        <v>43534.34649</v>
      </c>
      <c r="D1940" s="23">
        <f>IFERROR(__xludf.DUMMYFUNCTION("""COMPUTED_VALUE"""),1.047)</f>
        <v>1.047</v>
      </c>
      <c r="E1940" s="24">
        <f>IFERROR(__xludf.DUMMYFUNCTION("""COMPUTED_VALUE"""),68.0)</f>
        <v>68</v>
      </c>
      <c r="F1940" s="27" t="str">
        <f>IFERROR(__xludf.DUMMYFUNCTION("""COMPUTED_VALUE"""),"BLACK")</f>
        <v>BLACK</v>
      </c>
      <c r="G1940" s="28" t="str">
        <f>IFERROR(__xludf.DUMMYFUNCTION("""COMPUTED_VALUE"""),"First Times a Charm Cider")</f>
        <v>First Times a Charm Cider</v>
      </c>
      <c r="H1940" s="27" t="str">
        <f>IFERROR(__xludf.DUMMYFUNCTION("""COMPUTED_VALUE"""),"")</f>
        <v/>
      </c>
    </row>
    <row r="1941">
      <c r="A1941" s="17"/>
      <c r="B1941" s="23"/>
      <c r="C1941" s="17">
        <f>IFERROR(__xludf.DUMMYFUNCTION("""COMPUTED_VALUE"""),43534.3360717592)</f>
        <v>43534.33607</v>
      </c>
      <c r="D1941" s="23">
        <f>IFERROR(__xludf.DUMMYFUNCTION("""COMPUTED_VALUE"""),1.047)</f>
        <v>1.047</v>
      </c>
      <c r="E1941" s="24">
        <f>IFERROR(__xludf.DUMMYFUNCTION("""COMPUTED_VALUE"""),68.0)</f>
        <v>68</v>
      </c>
      <c r="F1941" s="27" t="str">
        <f>IFERROR(__xludf.DUMMYFUNCTION("""COMPUTED_VALUE"""),"BLACK")</f>
        <v>BLACK</v>
      </c>
      <c r="G1941" s="28" t="str">
        <f>IFERROR(__xludf.DUMMYFUNCTION("""COMPUTED_VALUE"""),"First Times a Charm Cider")</f>
        <v>First Times a Charm Cider</v>
      </c>
      <c r="H1941" s="27" t="str">
        <f>IFERROR(__xludf.DUMMYFUNCTION("""COMPUTED_VALUE"""),"")</f>
        <v/>
      </c>
    </row>
    <row r="1942">
      <c r="A1942" s="17"/>
      <c r="B1942" s="23"/>
      <c r="C1942" s="17">
        <f>IFERROR(__xludf.DUMMYFUNCTION("""COMPUTED_VALUE"""),43534.3256522916)</f>
        <v>43534.32565</v>
      </c>
      <c r="D1942" s="23">
        <f>IFERROR(__xludf.DUMMYFUNCTION("""COMPUTED_VALUE"""),1.047)</f>
        <v>1.047</v>
      </c>
      <c r="E1942" s="24">
        <f>IFERROR(__xludf.DUMMYFUNCTION("""COMPUTED_VALUE"""),68.0)</f>
        <v>68</v>
      </c>
      <c r="F1942" s="27" t="str">
        <f>IFERROR(__xludf.DUMMYFUNCTION("""COMPUTED_VALUE"""),"BLACK")</f>
        <v>BLACK</v>
      </c>
      <c r="G1942" s="28" t="str">
        <f>IFERROR(__xludf.DUMMYFUNCTION("""COMPUTED_VALUE"""),"First Times a Charm Cider")</f>
        <v>First Times a Charm Cider</v>
      </c>
      <c r="H1942" s="27" t="str">
        <f>IFERROR(__xludf.DUMMYFUNCTION("""COMPUTED_VALUE"""),"")</f>
        <v/>
      </c>
    </row>
    <row r="1943">
      <c r="A1943" s="17"/>
      <c r="B1943" s="23"/>
      <c r="C1943" s="17">
        <f>IFERROR(__xludf.DUMMYFUNCTION("""COMPUTED_VALUE"""),43534.3152312037)</f>
        <v>43534.31523</v>
      </c>
      <c r="D1943" s="23">
        <f>IFERROR(__xludf.DUMMYFUNCTION("""COMPUTED_VALUE"""),1.047)</f>
        <v>1.047</v>
      </c>
      <c r="E1943" s="24">
        <f>IFERROR(__xludf.DUMMYFUNCTION("""COMPUTED_VALUE"""),68.0)</f>
        <v>68</v>
      </c>
      <c r="F1943" s="27" t="str">
        <f>IFERROR(__xludf.DUMMYFUNCTION("""COMPUTED_VALUE"""),"BLACK")</f>
        <v>BLACK</v>
      </c>
      <c r="G1943" s="28" t="str">
        <f>IFERROR(__xludf.DUMMYFUNCTION("""COMPUTED_VALUE"""),"First Times a Charm Cider")</f>
        <v>First Times a Charm Cider</v>
      </c>
      <c r="H1943" s="27" t="str">
        <f>IFERROR(__xludf.DUMMYFUNCTION("""COMPUTED_VALUE"""),"")</f>
        <v/>
      </c>
    </row>
    <row r="1944">
      <c r="A1944" s="17"/>
      <c r="B1944" s="23"/>
      <c r="C1944" s="17">
        <f>IFERROR(__xludf.DUMMYFUNCTION("""COMPUTED_VALUE"""),43534.3048107407)</f>
        <v>43534.30481</v>
      </c>
      <c r="D1944" s="23">
        <f>IFERROR(__xludf.DUMMYFUNCTION("""COMPUTED_VALUE"""),1.047)</f>
        <v>1.047</v>
      </c>
      <c r="E1944" s="24">
        <f>IFERROR(__xludf.DUMMYFUNCTION("""COMPUTED_VALUE"""),68.0)</f>
        <v>68</v>
      </c>
      <c r="F1944" s="27" t="str">
        <f>IFERROR(__xludf.DUMMYFUNCTION("""COMPUTED_VALUE"""),"BLACK")</f>
        <v>BLACK</v>
      </c>
      <c r="G1944" s="28" t="str">
        <f>IFERROR(__xludf.DUMMYFUNCTION("""COMPUTED_VALUE"""),"First Times a Charm Cider")</f>
        <v>First Times a Charm Cider</v>
      </c>
      <c r="H1944" s="27" t="str">
        <f>IFERROR(__xludf.DUMMYFUNCTION("""COMPUTED_VALUE"""),"")</f>
        <v/>
      </c>
    </row>
    <row r="1945">
      <c r="A1945" s="17"/>
      <c r="B1945" s="23"/>
      <c r="C1945" s="17">
        <f>IFERROR(__xludf.DUMMYFUNCTION("""COMPUTED_VALUE"""),43534.2943897106)</f>
        <v>43534.29439</v>
      </c>
      <c r="D1945" s="23">
        <f>IFERROR(__xludf.DUMMYFUNCTION("""COMPUTED_VALUE"""),1.047)</f>
        <v>1.047</v>
      </c>
      <c r="E1945" s="24">
        <f>IFERROR(__xludf.DUMMYFUNCTION("""COMPUTED_VALUE"""),68.0)</f>
        <v>68</v>
      </c>
      <c r="F1945" s="27" t="str">
        <f>IFERROR(__xludf.DUMMYFUNCTION("""COMPUTED_VALUE"""),"BLACK")</f>
        <v>BLACK</v>
      </c>
      <c r="G1945" s="28" t="str">
        <f>IFERROR(__xludf.DUMMYFUNCTION("""COMPUTED_VALUE"""),"First Times a Charm Cider")</f>
        <v>First Times a Charm Cider</v>
      </c>
      <c r="H1945" s="27" t="str">
        <f>IFERROR(__xludf.DUMMYFUNCTION("""COMPUTED_VALUE"""),"")</f>
        <v/>
      </c>
    </row>
    <row r="1946">
      <c r="A1946" s="17"/>
      <c r="B1946" s="23"/>
      <c r="C1946" s="17">
        <f>IFERROR(__xludf.DUMMYFUNCTION("""COMPUTED_VALUE"""),43534.2839687615)</f>
        <v>43534.28397</v>
      </c>
      <c r="D1946" s="23">
        <f>IFERROR(__xludf.DUMMYFUNCTION("""COMPUTED_VALUE"""),1.047)</f>
        <v>1.047</v>
      </c>
      <c r="E1946" s="24">
        <f>IFERROR(__xludf.DUMMYFUNCTION("""COMPUTED_VALUE"""),68.0)</f>
        <v>68</v>
      </c>
      <c r="F1946" s="27" t="str">
        <f>IFERROR(__xludf.DUMMYFUNCTION("""COMPUTED_VALUE"""),"BLACK")</f>
        <v>BLACK</v>
      </c>
      <c r="G1946" s="28" t="str">
        <f>IFERROR(__xludf.DUMMYFUNCTION("""COMPUTED_VALUE"""),"First Times a Charm Cider")</f>
        <v>First Times a Charm Cider</v>
      </c>
      <c r="H1946" s="27" t="str">
        <f>IFERROR(__xludf.DUMMYFUNCTION("""COMPUTED_VALUE"""),"")</f>
        <v/>
      </c>
    </row>
    <row r="1947">
      <c r="A1947" s="17"/>
      <c r="B1947" s="23"/>
      <c r="C1947" s="17">
        <f>IFERROR(__xludf.DUMMYFUNCTION("""COMPUTED_VALUE"""),43534.273546655)</f>
        <v>43534.27355</v>
      </c>
      <c r="D1947" s="23">
        <f>IFERROR(__xludf.DUMMYFUNCTION("""COMPUTED_VALUE"""),1.047)</f>
        <v>1.047</v>
      </c>
      <c r="E1947" s="24">
        <f>IFERROR(__xludf.DUMMYFUNCTION("""COMPUTED_VALUE"""),68.0)</f>
        <v>68</v>
      </c>
      <c r="F1947" s="27" t="str">
        <f>IFERROR(__xludf.DUMMYFUNCTION("""COMPUTED_VALUE"""),"BLACK")</f>
        <v>BLACK</v>
      </c>
      <c r="G1947" s="28" t="str">
        <f>IFERROR(__xludf.DUMMYFUNCTION("""COMPUTED_VALUE"""),"First Times a Charm Cider")</f>
        <v>First Times a Charm Cider</v>
      </c>
      <c r="H1947" s="27" t="str">
        <f>IFERROR(__xludf.DUMMYFUNCTION("""COMPUTED_VALUE"""),"")</f>
        <v/>
      </c>
    </row>
    <row r="1948">
      <c r="A1948" s="17"/>
      <c r="B1948" s="23"/>
      <c r="C1948" s="17">
        <f>IFERROR(__xludf.DUMMYFUNCTION("""COMPUTED_VALUE"""),43534.2631259606)</f>
        <v>43534.26313</v>
      </c>
      <c r="D1948" s="23">
        <f>IFERROR(__xludf.DUMMYFUNCTION("""COMPUTED_VALUE"""),1.047)</f>
        <v>1.047</v>
      </c>
      <c r="E1948" s="24">
        <f>IFERROR(__xludf.DUMMYFUNCTION("""COMPUTED_VALUE"""),68.0)</f>
        <v>68</v>
      </c>
      <c r="F1948" s="27" t="str">
        <f>IFERROR(__xludf.DUMMYFUNCTION("""COMPUTED_VALUE"""),"BLACK")</f>
        <v>BLACK</v>
      </c>
      <c r="G1948" s="28" t="str">
        <f>IFERROR(__xludf.DUMMYFUNCTION("""COMPUTED_VALUE"""),"First Times a Charm Cider")</f>
        <v>First Times a Charm Cider</v>
      </c>
      <c r="H1948" s="27" t="str">
        <f>IFERROR(__xludf.DUMMYFUNCTION("""COMPUTED_VALUE"""),"")</f>
        <v/>
      </c>
    </row>
    <row r="1949">
      <c r="A1949" s="17"/>
      <c r="B1949" s="23"/>
      <c r="C1949" s="17">
        <f>IFERROR(__xludf.DUMMYFUNCTION("""COMPUTED_VALUE"""),43534.2527041898)</f>
        <v>43534.2527</v>
      </c>
      <c r="D1949" s="23">
        <f>IFERROR(__xludf.DUMMYFUNCTION("""COMPUTED_VALUE"""),1.047)</f>
        <v>1.047</v>
      </c>
      <c r="E1949" s="24">
        <f>IFERROR(__xludf.DUMMYFUNCTION("""COMPUTED_VALUE"""),68.0)</f>
        <v>68</v>
      </c>
      <c r="F1949" s="27" t="str">
        <f>IFERROR(__xludf.DUMMYFUNCTION("""COMPUTED_VALUE"""),"BLACK")</f>
        <v>BLACK</v>
      </c>
      <c r="G1949" s="28" t="str">
        <f>IFERROR(__xludf.DUMMYFUNCTION("""COMPUTED_VALUE"""),"First Times a Charm Cider")</f>
        <v>First Times a Charm Cider</v>
      </c>
      <c r="H1949" s="27" t="str">
        <f>IFERROR(__xludf.DUMMYFUNCTION("""COMPUTED_VALUE"""),"")</f>
        <v/>
      </c>
    </row>
    <row r="1950">
      <c r="A1950" s="17"/>
      <c r="B1950" s="23"/>
      <c r="C1950" s="17">
        <f>IFERROR(__xludf.DUMMYFUNCTION("""COMPUTED_VALUE"""),43534.2422721875)</f>
        <v>43534.24227</v>
      </c>
      <c r="D1950" s="23">
        <f>IFERROR(__xludf.DUMMYFUNCTION("""COMPUTED_VALUE"""),1.047)</f>
        <v>1.047</v>
      </c>
      <c r="E1950" s="24">
        <f>IFERROR(__xludf.DUMMYFUNCTION("""COMPUTED_VALUE"""),68.0)</f>
        <v>68</v>
      </c>
      <c r="F1950" s="27" t="str">
        <f>IFERROR(__xludf.DUMMYFUNCTION("""COMPUTED_VALUE"""),"BLACK")</f>
        <v>BLACK</v>
      </c>
      <c r="G1950" s="28" t="str">
        <f>IFERROR(__xludf.DUMMYFUNCTION("""COMPUTED_VALUE"""),"First Times a Charm Cider")</f>
        <v>First Times a Charm Cider</v>
      </c>
      <c r="H1950" s="27" t="str">
        <f>IFERROR(__xludf.DUMMYFUNCTION("""COMPUTED_VALUE"""),"")</f>
        <v/>
      </c>
    </row>
    <row r="1951">
      <c r="A1951" s="17"/>
      <c r="B1951" s="23"/>
      <c r="C1951" s="17">
        <f>IFERROR(__xludf.DUMMYFUNCTION("""COMPUTED_VALUE"""),43534.2318518518)</f>
        <v>43534.23185</v>
      </c>
      <c r="D1951" s="23">
        <f>IFERROR(__xludf.DUMMYFUNCTION("""COMPUTED_VALUE"""),1.047)</f>
        <v>1.047</v>
      </c>
      <c r="E1951" s="24">
        <f>IFERROR(__xludf.DUMMYFUNCTION("""COMPUTED_VALUE"""),68.0)</f>
        <v>68</v>
      </c>
      <c r="F1951" s="27" t="str">
        <f>IFERROR(__xludf.DUMMYFUNCTION("""COMPUTED_VALUE"""),"BLACK")</f>
        <v>BLACK</v>
      </c>
      <c r="G1951" s="28" t="str">
        <f>IFERROR(__xludf.DUMMYFUNCTION("""COMPUTED_VALUE"""),"First Times a Charm Cider")</f>
        <v>First Times a Charm Cider</v>
      </c>
      <c r="H1951" s="27" t="str">
        <f>IFERROR(__xludf.DUMMYFUNCTION("""COMPUTED_VALUE"""),"")</f>
        <v/>
      </c>
    </row>
    <row r="1952">
      <c r="A1952" s="17"/>
      <c r="B1952" s="23"/>
      <c r="C1952" s="17">
        <f>IFERROR(__xludf.DUMMYFUNCTION("""COMPUTED_VALUE"""),43534.2213361111)</f>
        <v>43534.22134</v>
      </c>
      <c r="D1952" s="23">
        <f>IFERROR(__xludf.DUMMYFUNCTION("""COMPUTED_VALUE"""),1.047)</f>
        <v>1.047</v>
      </c>
      <c r="E1952" s="24">
        <f>IFERROR(__xludf.DUMMYFUNCTION("""COMPUTED_VALUE"""),68.0)</f>
        <v>68</v>
      </c>
      <c r="F1952" s="27" t="str">
        <f>IFERROR(__xludf.DUMMYFUNCTION("""COMPUTED_VALUE"""),"BLACK")</f>
        <v>BLACK</v>
      </c>
      <c r="G1952" s="28" t="str">
        <f>IFERROR(__xludf.DUMMYFUNCTION("""COMPUTED_VALUE"""),"First Times a Charm Cider")</f>
        <v>First Times a Charm Cider</v>
      </c>
      <c r="H1952" s="27" t="str">
        <f>IFERROR(__xludf.DUMMYFUNCTION("""COMPUTED_VALUE"""),"")</f>
        <v/>
      </c>
    </row>
    <row r="1953">
      <c r="A1953" s="17"/>
      <c r="B1953" s="23"/>
      <c r="C1953" s="17">
        <f>IFERROR(__xludf.DUMMYFUNCTION("""COMPUTED_VALUE"""),43534.2108896412)</f>
        <v>43534.21089</v>
      </c>
      <c r="D1953" s="23">
        <f>IFERROR(__xludf.DUMMYFUNCTION("""COMPUTED_VALUE"""),1.047)</f>
        <v>1.047</v>
      </c>
      <c r="E1953" s="24">
        <f>IFERROR(__xludf.DUMMYFUNCTION("""COMPUTED_VALUE"""),68.0)</f>
        <v>68</v>
      </c>
      <c r="F1953" s="27" t="str">
        <f>IFERROR(__xludf.DUMMYFUNCTION("""COMPUTED_VALUE"""),"BLACK")</f>
        <v>BLACK</v>
      </c>
      <c r="G1953" s="28" t="str">
        <f>IFERROR(__xludf.DUMMYFUNCTION("""COMPUTED_VALUE"""),"First Times a Charm Cider")</f>
        <v>First Times a Charm Cider</v>
      </c>
      <c r="H1953" s="27" t="str">
        <f>IFERROR(__xludf.DUMMYFUNCTION("""COMPUTED_VALUE"""),"")</f>
        <v/>
      </c>
    </row>
    <row r="1954">
      <c r="A1954" s="17"/>
      <c r="B1954" s="23"/>
      <c r="C1954" s="17">
        <f>IFERROR(__xludf.DUMMYFUNCTION("""COMPUTED_VALUE"""),43534.2004568981)</f>
        <v>43534.20046</v>
      </c>
      <c r="D1954" s="23">
        <f>IFERROR(__xludf.DUMMYFUNCTION("""COMPUTED_VALUE"""),1.047)</f>
        <v>1.047</v>
      </c>
      <c r="E1954" s="24">
        <f>IFERROR(__xludf.DUMMYFUNCTION("""COMPUTED_VALUE"""),68.0)</f>
        <v>68</v>
      </c>
      <c r="F1954" s="27" t="str">
        <f>IFERROR(__xludf.DUMMYFUNCTION("""COMPUTED_VALUE"""),"BLACK")</f>
        <v>BLACK</v>
      </c>
      <c r="G1954" s="28" t="str">
        <f>IFERROR(__xludf.DUMMYFUNCTION("""COMPUTED_VALUE"""),"First Times a Charm Cider")</f>
        <v>First Times a Charm Cider</v>
      </c>
      <c r="H1954" s="27" t="str">
        <f>IFERROR(__xludf.DUMMYFUNCTION("""COMPUTED_VALUE"""),"")</f>
        <v/>
      </c>
    </row>
    <row r="1955">
      <c r="A1955" s="17"/>
      <c r="B1955" s="23"/>
      <c r="C1955" s="17">
        <f>IFERROR(__xludf.DUMMYFUNCTION("""COMPUTED_VALUE"""),43534.1900245717)</f>
        <v>43534.19002</v>
      </c>
      <c r="D1955" s="23">
        <f>IFERROR(__xludf.DUMMYFUNCTION("""COMPUTED_VALUE"""),1.047)</f>
        <v>1.047</v>
      </c>
      <c r="E1955" s="24">
        <f>IFERROR(__xludf.DUMMYFUNCTION("""COMPUTED_VALUE"""),68.0)</f>
        <v>68</v>
      </c>
      <c r="F1955" s="27" t="str">
        <f>IFERROR(__xludf.DUMMYFUNCTION("""COMPUTED_VALUE"""),"BLACK")</f>
        <v>BLACK</v>
      </c>
      <c r="G1955" s="28" t="str">
        <f>IFERROR(__xludf.DUMMYFUNCTION("""COMPUTED_VALUE"""),"First Times a Charm Cider")</f>
        <v>First Times a Charm Cider</v>
      </c>
      <c r="H1955" s="27" t="str">
        <f>IFERROR(__xludf.DUMMYFUNCTION("""COMPUTED_VALUE"""),"")</f>
        <v/>
      </c>
    </row>
    <row r="1956">
      <c r="A1956" s="17"/>
      <c r="B1956" s="23"/>
      <c r="C1956" s="17">
        <f>IFERROR(__xludf.DUMMYFUNCTION("""COMPUTED_VALUE"""),43534.1795576851)</f>
        <v>43534.17956</v>
      </c>
      <c r="D1956" s="23">
        <f>IFERROR(__xludf.DUMMYFUNCTION("""COMPUTED_VALUE"""),1.047)</f>
        <v>1.047</v>
      </c>
      <c r="E1956" s="24">
        <f>IFERROR(__xludf.DUMMYFUNCTION("""COMPUTED_VALUE"""),68.0)</f>
        <v>68</v>
      </c>
      <c r="F1956" s="27" t="str">
        <f>IFERROR(__xludf.DUMMYFUNCTION("""COMPUTED_VALUE"""),"BLACK")</f>
        <v>BLACK</v>
      </c>
      <c r="G1956" s="28" t="str">
        <f>IFERROR(__xludf.DUMMYFUNCTION("""COMPUTED_VALUE"""),"First Times a Charm Cider")</f>
        <v>First Times a Charm Cider</v>
      </c>
      <c r="H1956" s="27" t="str">
        <f>IFERROR(__xludf.DUMMYFUNCTION("""COMPUTED_VALUE"""),"")</f>
        <v/>
      </c>
    </row>
    <row r="1957">
      <c r="A1957" s="17"/>
      <c r="B1957" s="23"/>
      <c r="C1957" s="17">
        <f>IFERROR(__xludf.DUMMYFUNCTION("""COMPUTED_VALUE"""),43534.1691376388)</f>
        <v>43534.16914</v>
      </c>
      <c r="D1957" s="23">
        <f>IFERROR(__xludf.DUMMYFUNCTION("""COMPUTED_VALUE"""),1.047)</f>
        <v>1.047</v>
      </c>
      <c r="E1957" s="24">
        <f>IFERROR(__xludf.DUMMYFUNCTION("""COMPUTED_VALUE"""),68.0)</f>
        <v>68</v>
      </c>
      <c r="F1957" s="27" t="str">
        <f>IFERROR(__xludf.DUMMYFUNCTION("""COMPUTED_VALUE"""),"BLACK")</f>
        <v>BLACK</v>
      </c>
      <c r="G1957" s="28" t="str">
        <f>IFERROR(__xludf.DUMMYFUNCTION("""COMPUTED_VALUE"""),"First Times a Charm Cider")</f>
        <v>First Times a Charm Cider</v>
      </c>
      <c r="H1957" s="27" t="str">
        <f>IFERROR(__xludf.DUMMYFUNCTION("""COMPUTED_VALUE"""),"")</f>
        <v/>
      </c>
    </row>
    <row r="1958">
      <c r="A1958" s="17"/>
      <c r="B1958" s="23"/>
      <c r="C1958" s="17">
        <f>IFERROR(__xludf.DUMMYFUNCTION("""COMPUTED_VALUE"""),43534.1587071759)</f>
        <v>43534.15871</v>
      </c>
      <c r="D1958" s="23">
        <f>IFERROR(__xludf.DUMMYFUNCTION("""COMPUTED_VALUE"""),1.047)</f>
        <v>1.047</v>
      </c>
      <c r="E1958" s="24">
        <f>IFERROR(__xludf.DUMMYFUNCTION("""COMPUTED_VALUE"""),68.0)</f>
        <v>68</v>
      </c>
      <c r="F1958" s="27" t="str">
        <f>IFERROR(__xludf.DUMMYFUNCTION("""COMPUTED_VALUE"""),"BLACK")</f>
        <v>BLACK</v>
      </c>
      <c r="G1958" s="28" t="str">
        <f>IFERROR(__xludf.DUMMYFUNCTION("""COMPUTED_VALUE"""),"First Times a Charm Cider")</f>
        <v>First Times a Charm Cider</v>
      </c>
      <c r="H1958" s="27" t="str">
        <f>IFERROR(__xludf.DUMMYFUNCTION("""COMPUTED_VALUE"""),"")</f>
        <v/>
      </c>
    </row>
    <row r="1959">
      <c r="A1959" s="17"/>
      <c r="B1959" s="23"/>
      <c r="C1959" s="17">
        <f>IFERROR(__xludf.DUMMYFUNCTION("""COMPUTED_VALUE"""),43534.148285081)</f>
        <v>43534.14829</v>
      </c>
      <c r="D1959" s="23">
        <f>IFERROR(__xludf.DUMMYFUNCTION("""COMPUTED_VALUE"""),1.047)</f>
        <v>1.047</v>
      </c>
      <c r="E1959" s="24">
        <f>IFERROR(__xludf.DUMMYFUNCTION("""COMPUTED_VALUE"""),68.0)</f>
        <v>68</v>
      </c>
      <c r="F1959" s="27" t="str">
        <f>IFERROR(__xludf.DUMMYFUNCTION("""COMPUTED_VALUE"""),"BLACK")</f>
        <v>BLACK</v>
      </c>
      <c r="G1959" s="28" t="str">
        <f>IFERROR(__xludf.DUMMYFUNCTION("""COMPUTED_VALUE"""),"First Times a Charm Cider")</f>
        <v>First Times a Charm Cider</v>
      </c>
      <c r="H1959" s="27" t="str">
        <f>IFERROR(__xludf.DUMMYFUNCTION("""COMPUTED_VALUE"""),"")</f>
        <v/>
      </c>
    </row>
    <row r="1960">
      <c r="A1960" s="17"/>
      <c r="B1960" s="23"/>
      <c r="C1960" s="17">
        <f>IFERROR(__xludf.DUMMYFUNCTION("""COMPUTED_VALUE"""),43534.1378631944)</f>
        <v>43534.13786</v>
      </c>
      <c r="D1960" s="23">
        <f>IFERROR(__xludf.DUMMYFUNCTION("""COMPUTED_VALUE"""),1.047)</f>
        <v>1.047</v>
      </c>
      <c r="E1960" s="24">
        <f>IFERROR(__xludf.DUMMYFUNCTION("""COMPUTED_VALUE"""),68.0)</f>
        <v>68</v>
      </c>
      <c r="F1960" s="27" t="str">
        <f>IFERROR(__xludf.DUMMYFUNCTION("""COMPUTED_VALUE"""),"BLACK")</f>
        <v>BLACK</v>
      </c>
      <c r="G1960" s="28" t="str">
        <f>IFERROR(__xludf.DUMMYFUNCTION("""COMPUTED_VALUE"""),"First Times a Charm Cider")</f>
        <v>First Times a Charm Cider</v>
      </c>
      <c r="H1960" s="27" t="str">
        <f>IFERROR(__xludf.DUMMYFUNCTION("""COMPUTED_VALUE"""),"")</f>
        <v/>
      </c>
    </row>
    <row r="1961">
      <c r="A1961" s="17"/>
      <c r="B1961" s="23"/>
      <c r="C1961" s="17">
        <f>IFERROR(__xludf.DUMMYFUNCTION("""COMPUTED_VALUE"""),43534.127440868)</f>
        <v>43534.12744</v>
      </c>
      <c r="D1961" s="23">
        <f>IFERROR(__xludf.DUMMYFUNCTION("""COMPUTED_VALUE"""),1.047)</f>
        <v>1.047</v>
      </c>
      <c r="E1961" s="24">
        <f>IFERROR(__xludf.DUMMYFUNCTION("""COMPUTED_VALUE"""),68.0)</f>
        <v>68</v>
      </c>
      <c r="F1961" s="27" t="str">
        <f>IFERROR(__xludf.DUMMYFUNCTION("""COMPUTED_VALUE"""),"BLACK")</f>
        <v>BLACK</v>
      </c>
      <c r="G1961" s="28" t="str">
        <f>IFERROR(__xludf.DUMMYFUNCTION("""COMPUTED_VALUE"""),"First Times a Charm Cider")</f>
        <v>First Times a Charm Cider</v>
      </c>
      <c r="H1961" s="27" t="str">
        <f>IFERROR(__xludf.DUMMYFUNCTION("""COMPUTED_VALUE"""),"")</f>
        <v/>
      </c>
    </row>
    <row r="1962">
      <c r="A1962" s="17"/>
      <c r="B1962" s="23"/>
      <c r="C1962" s="17">
        <f>IFERROR(__xludf.DUMMYFUNCTION("""COMPUTED_VALUE"""),43534.1169954282)</f>
        <v>43534.117</v>
      </c>
      <c r="D1962" s="23">
        <f>IFERROR(__xludf.DUMMYFUNCTION("""COMPUTED_VALUE"""),1.047)</f>
        <v>1.047</v>
      </c>
      <c r="E1962" s="24">
        <f>IFERROR(__xludf.DUMMYFUNCTION("""COMPUTED_VALUE"""),68.0)</f>
        <v>68</v>
      </c>
      <c r="F1962" s="27" t="str">
        <f>IFERROR(__xludf.DUMMYFUNCTION("""COMPUTED_VALUE"""),"BLACK")</f>
        <v>BLACK</v>
      </c>
      <c r="G1962" s="28" t="str">
        <f>IFERROR(__xludf.DUMMYFUNCTION("""COMPUTED_VALUE"""),"First Times a Charm Cider")</f>
        <v>First Times a Charm Cider</v>
      </c>
      <c r="H1962" s="27" t="str">
        <f>IFERROR(__xludf.DUMMYFUNCTION("""COMPUTED_VALUE"""),"")</f>
        <v/>
      </c>
    </row>
    <row r="1963">
      <c r="A1963" s="17"/>
      <c r="B1963" s="23"/>
      <c r="C1963" s="17">
        <f>IFERROR(__xludf.DUMMYFUNCTION("""COMPUTED_VALUE"""),43534.1065626504)</f>
        <v>43534.10656</v>
      </c>
      <c r="D1963" s="23">
        <f>IFERROR(__xludf.DUMMYFUNCTION("""COMPUTED_VALUE"""),1.047)</f>
        <v>1.047</v>
      </c>
      <c r="E1963" s="24">
        <f>IFERROR(__xludf.DUMMYFUNCTION("""COMPUTED_VALUE"""),68.0)</f>
        <v>68</v>
      </c>
      <c r="F1963" s="27" t="str">
        <f>IFERROR(__xludf.DUMMYFUNCTION("""COMPUTED_VALUE"""),"BLACK")</f>
        <v>BLACK</v>
      </c>
      <c r="G1963" s="28" t="str">
        <f>IFERROR(__xludf.DUMMYFUNCTION("""COMPUTED_VALUE"""),"First Times a Charm Cider")</f>
        <v>First Times a Charm Cider</v>
      </c>
      <c r="H1963" s="27" t="str">
        <f>IFERROR(__xludf.DUMMYFUNCTION("""COMPUTED_VALUE"""),"")</f>
        <v/>
      </c>
    </row>
    <row r="1964">
      <c r="A1964" s="17"/>
      <c r="B1964" s="23"/>
      <c r="C1964" s="17">
        <f>IFERROR(__xludf.DUMMYFUNCTION("""COMPUTED_VALUE"""),43534.0961420486)</f>
        <v>43534.09614</v>
      </c>
      <c r="D1964" s="23">
        <f>IFERROR(__xludf.DUMMYFUNCTION("""COMPUTED_VALUE"""),1.047)</f>
        <v>1.047</v>
      </c>
      <c r="E1964" s="24">
        <f>IFERROR(__xludf.DUMMYFUNCTION("""COMPUTED_VALUE"""),68.0)</f>
        <v>68</v>
      </c>
      <c r="F1964" s="27" t="str">
        <f>IFERROR(__xludf.DUMMYFUNCTION("""COMPUTED_VALUE"""),"BLACK")</f>
        <v>BLACK</v>
      </c>
      <c r="G1964" s="28" t="str">
        <f>IFERROR(__xludf.DUMMYFUNCTION("""COMPUTED_VALUE"""),"First Times a Charm Cider")</f>
        <v>First Times a Charm Cider</v>
      </c>
      <c r="H1964" s="27" t="str">
        <f>IFERROR(__xludf.DUMMYFUNCTION("""COMPUTED_VALUE"""),"")</f>
        <v/>
      </c>
    </row>
    <row r="1965">
      <c r="A1965" s="17"/>
      <c r="B1965" s="23"/>
      <c r="C1965" s="17">
        <f>IFERROR(__xludf.DUMMYFUNCTION("""COMPUTED_VALUE"""),43534.0857083564)</f>
        <v>43534.08571</v>
      </c>
      <c r="D1965" s="23">
        <f>IFERROR(__xludf.DUMMYFUNCTION("""COMPUTED_VALUE"""),1.047)</f>
        <v>1.047</v>
      </c>
      <c r="E1965" s="24">
        <f>IFERROR(__xludf.DUMMYFUNCTION("""COMPUTED_VALUE"""),68.0)</f>
        <v>68</v>
      </c>
      <c r="F1965" s="27" t="str">
        <f>IFERROR(__xludf.DUMMYFUNCTION("""COMPUTED_VALUE"""),"BLACK")</f>
        <v>BLACK</v>
      </c>
      <c r="G1965" s="28" t="str">
        <f>IFERROR(__xludf.DUMMYFUNCTION("""COMPUTED_VALUE"""),"First Times a Charm Cider")</f>
        <v>First Times a Charm Cider</v>
      </c>
      <c r="H1965" s="27" t="str">
        <f>IFERROR(__xludf.DUMMYFUNCTION("""COMPUTED_VALUE"""),"")</f>
        <v/>
      </c>
    </row>
    <row r="1966">
      <c r="A1966" s="17"/>
      <c r="B1966" s="23"/>
      <c r="C1966" s="17">
        <f>IFERROR(__xludf.DUMMYFUNCTION("""COMPUTED_VALUE"""),43534.0752857986)</f>
        <v>43534.07529</v>
      </c>
      <c r="D1966" s="23">
        <f>IFERROR(__xludf.DUMMYFUNCTION("""COMPUTED_VALUE"""),1.047)</f>
        <v>1.047</v>
      </c>
      <c r="E1966" s="24">
        <f>IFERROR(__xludf.DUMMYFUNCTION("""COMPUTED_VALUE"""),68.0)</f>
        <v>68</v>
      </c>
      <c r="F1966" s="27" t="str">
        <f>IFERROR(__xludf.DUMMYFUNCTION("""COMPUTED_VALUE"""),"BLACK")</f>
        <v>BLACK</v>
      </c>
      <c r="G1966" s="28" t="str">
        <f>IFERROR(__xludf.DUMMYFUNCTION("""COMPUTED_VALUE"""),"First Times a Charm Cider")</f>
        <v>First Times a Charm Cider</v>
      </c>
      <c r="H1966" s="27" t="str">
        <f>IFERROR(__xludf.DUMMYFUNCTION("""COMPUTED_VALUE"""),"")</f>
        <v/>
      </c>
    </row>
    <row r="1967">
      <c r="A1967" s="17"/>
      <c r="B1967" s="23"/>
      <c r="C1967" s="17">
        <f>IFERROR(__xludf.DUMMYFUNCTION("""COMPUTED_VALUE"""),43534.0648641088)</f>
        <v>43534.06486</v>
      </c>
      <c r="D1967" s="23">
        <f>IFERROR(__xludf.DUMMYFUNCTION("""COMPUTED_VALUE"""),1.047)</f>
        <v>1.047</v>
      </c>
      <c r="E1967" s="24">
        <f>IFERROR(__xludf.DUMMYFUNCTION("""COMPUTED_VALUE"""),68.0)</f>
        <v>68</v>
      </c>
      <c r="F1967" s="27" t="str">
        <f>IFERROR(__xludf.DUMMYFUNCTION("""COMPUTED_VALUE"""),"BLACK")</f>
        <v>BLACK</v>
      </c>
      <c r="G1967" s="28" t="str">
        <f>IFERROR(__xludf.DUMMYFUNCTION("""COMPUTED_VALUE"""),"First Times a Charm Cider")</f>
        <v>First Times a Charm Cider</v>
      </c>
      <c r="H1967" s="27" t="str">
        <f>IFERROR(__xludf.DUMMYFUNCTION("""COMPUTED_VALUE"""),"")</f>
        <v/>
      </c>
    </row>
    <row r="1968">
      <c r="A1968" s="17"/>
      <c r="B1968" s="23"/>
      <c r="C1968" s="17">
        <f>IFERROR(__xludf.DUMMYFUNCTION("""COMPUTED_VALUE"""),43534.0543379166)</f>
        <v>43534.05434</v>
      </c>
      <c r="D1968" s="23">
        <f>IFERROR(__xludf.DUMMYFUNCTION("""COMPUTED_VALUE"""),1.047)</f>
        <v>1.047</v>
      </c>
      <c r="E1968" s="24">
        <f>IFERROR(__xludf.DUMMYFUNCTION("""COMPUTED_VALUE"""),68.0)</f>
        <v>68</v>
      </c>
      <c r="F1968" s="27" t="str">
        <f>IFERROR(__xludf.DUMMYFUNCTION("""COMPUTED_VALUE"""),"BLACK")</f>
        <v>BLACK</v>
      </c>
      <c r="G1968" s="28" t="str">
        <f>IFERROR(__xludf.DUMMYFUNCTION("""COMPUTED_VALUE"""),"First Times a Charm Cider")</f>
        <v>First Times a Charm Cider</v>
      </c>
      <c r="H1968" s="27" t="str">
        <f>IFERROR(__xludf.DUMMYFUNCTION("""COMPUTED_VALUE"""),"")</f>
        <v/>
      </c>
    </row>
    <row r="1969">
      <c r="A1969" s="17"/>
      <c r="B1969" s="23"/>
      <c r="C1969" s="17">
        <f>IFERROR(__xludf.DUMMYFUNCTION("""COMPUTED_VALUE"""),43534.0439181944)</f>
        <v>43534.04392</v>
      </c>
      <c r="D1969" s="23">
        <f>IFERROR(__xludf.DUMMYFUNCTION("""COMPUTED_VALUE"""),1.047)</f>
        <v>1.047</v>
      </c>
      <c r="E1969" s="24">
        <f>IFERROR(__xludf.DUMMYFUNCTION("""COMPUTED_VALUE"""),68.0)</f>
        <v>68</v>
      </c>
      <c r="F1969" s="27" t="str">
        <f>IFERROR(__xludf.DUMMYFUNCTION("""COMPUTED_VALUE"""),"BLACK")</f>
        <v>BLACK</v>
      </c>
      <c r="G1969" s="28" t="str">
        <f>IFERROR(__xludf.DUMMYFUNCTION("""COMPUTED_VALUE"""),"First Times a Charm Cider")</f>
        <v>First Times a Charm Cider</v>
      </c>
      <c r="H1969" s="27" t="str">
        <f>IFERROR(__xludf.DUMMYFUNCTION("""COMPUTED_VALUE"""),"")</f>
        <v/>
      </c>
    </row>
    <row r="1970">
      <c r="A1970" s="17"/>
      <c r="B1970" s="23"/>
      <c r="C1970" s="17">
        <f>IFERROR(__xludf.DUMMYFUNCTION("""COMPUTED_VALUE"""),43534.0334857523)</f>
        <v>43534.03349</v>
      </c>
      <c r="D1970" s="23">
        <f>IFERROR(__xludf.DUMMYFUNCTION("""COMPUTED_VALUE"""),1.047)</f>
        <v>1.047</v>
      </c>
      <c r="E1970" s="24">
        <f>IFERROR(__xludf.DUMMYFUNCTION("""COMPUTED_VALUE"""),68.0)</f>
        <v>68</v>
      </c>
      <c r="F1970" s="27" t="str">
        <f>IFERROR(__xludf.DUMMYFUNCTION("""COMPUTED_VALUE"""),"BLACK")</f>
        <v>BLACK</v>
      </c>
      <c r="G1970" s="28" t="str">
        <f>IFERROR(__xludf.DUMMYFUNCTION("""COMPUTED_VALUE"""),"First Times a Charm Cider")</f>
        <v>First Times a Charm Cider</v>
      </c>
      <c r="H1970" s="27" t="str">
        <f>IFERROR(__xludf.DUMMYFUNCTION("""COMPUTED_VALUE"""),"")</f>
        <v/>
      </c>
    </row>
    <row r="1971">
      <c r="A1971" s="17"/>
      <c r="B1971" s="23"/>
      <c r="C1971" s="17">
        <f>IFERROR(__xludf.DUMMYFUNCTION("""COMPUTED_VALUE"""),43534.01264103)</f>
        <v>43534.01264</v>
      </c>
      <c r="D1971" s="23">
        <f>IFERROR(__xludf.DUMMYFUNCTION("""COMPUTED_VALUE"""),1.047)</f>
        <v>1.047</v>
      </c>
      <c r="E1971" s="24">
        <f>IFERROR(__xludf.DUMMYFUNCTION("""COMPUTED_VALUE"""),68.0)</f>
        <v>68</v>
      </c>
      <c r="F1971" s="27" t="str">
        <f>IFERROR(__xludf.DUMMYFUNCTION("""COMPUTED_VALUE"""),"BLACK")</f>
        <v>BLACK</v>
      </c>
      <c r="G1971" s="28" t="str">
        <f>IFERROR(__xludf.DUMMYFUNCTION("""COMPUTED_VALUE"""),"First Times a Charm Cider")</f>
        <v>First Times a Charm Cider</v>
      </c>
      <c r="H1971" s="27" t="str">
        <f>IFERROR(__xludf.DUMMYFUNCTION("""COMPUTED_VALUE"""),"")</f>
        <v/>
      </c>
    </row>
    <row r="1972">
      <c r="A1972" s="17"/>
      <c r="B1972" s="23"/>
      <c r="C1972" s="17">
        <f>IFERROR(__xludf.DUMMYFUNCTION("""COMPUTED_VALUE"""),43533.9917277662)</f>
        <v>43533.99173</v>
      </c>
      <c r="D1972" s="23">
        <f>IFERROR(__xludf.DUMMYFUNCTION("""COMPUTED_VALUE"""),1.047)</f>
        <v>1.047</v>
      </c>
      <c r="E1972" s="24">
        <f>IFERROR(__xludf.DUMMYFUNCTION("""COMPUTED_VALUE"""),68.0)</f>
        <v>68</v>
      </c>
      <c r="F1972" s="27" t="str">
        <f>IFERROR(__xludf.DUMMYFUNCTION("""COMPUTED_VALUE"""),"BLACK")</f>
        <v>BLACK</v>
      </c>
      <c r="G1972" s="28" t="str">
        <f>IFERROR(__xludf.DUMMYFUNCTION("""COMPUTED_VALUE"""),"First Times a Charm Cider")</f>
        <v>First Times a Charm Cider</v>
      </c>
      <c r="H1972" s="27" t="str">
        <f>IFERROR(__xludf.DUMMYFUNCTION("""COMPUTED_VALUE"""),"")</f>
        <v/>
      </c>
    </row>
    <row r="1973">
      <c r="A1973" s="17"/>
      <c r="B1973" s="23"/>
      <c r="C1973" s="17">
        <f>IFERROR(__xludf.DUMMYFUNCTION("""COMPUTED_VALUE"""),43533.9500207523)</f>
        <v>43533.95002</v>
      </c>
      <c r="D1973" s="23">
        <f>IFERROR(__xludf.DUMMYFUNCTION("""COMPUTED_VALUE"""),1.047)</f>
        <v>1.047</v>
      </c>
      <c r="E1973" s="24">
        <f>IFERROR(__xludf.DUMMYFUNCTION("""COMPUTED_VALUE"""),68.0)</f>
        <v>68</v>
      </c>
      <c r="F1973" s="27" t="str">
        <f>IFERROR(__xludf.DUMMYFUNCTION("""COMPUTED_VALUE"""),"BLACK")</f>
        <v>BLACK</v>
      </c>
      <c r="G1973" s="28" t="str">
        <f>IFERROR(__xludf.DUMMYFUNCTION("""COMPUTED_VALUE"""),"First Times a Charm Cider")</f>
        <v>First Times a Charm Cider</v>
      </c>
      <c r="H1973" s="27" t="str">
        <f>IFERROR(__xludf.DUMMYFUNCTION("""COMPUTED_VALUE"""),"")</f>
        <v/>
      </c>
    </row>
    <row r="1974">
      <c r="A1974" s="17"/>
      <c r="B1974" s="23"/>
      <c r="C1974" s="17">
        <f>IFERROR(__xludf.DUMMYFUNCTION("""COMPUTED_VALUE"""),43533.9291780208)</f>
        <v>43533.92918</v>
      </c>
      <c r="D1974" s="23">
        <f>IFERROR(__xludf.DUMMYFUNCTION("""COMPUTED_VALUE"""),1.047)</f>
        <v>1.047</v>
      </c>
      <c r="E1974" s="24">
        <f>IFERROR(__xludf.DUMMYFUNCTION("""COMPUTED_VALUE"""),67.0)</f>
        <v>67</v>
      </c>
      <c r="F1974" s="27" t="str">
        <f>IFERROR(__xludf.DUMMYFUNCTION("""COMPUTED_VALUE"""),"BLACK")</f>
        <v>BLACK</v>
      </c>
      <c r="G1974" s="28" t="str">
        <f>IFERROR(__xludf.DUMMYFUNCTION("""COMPUTED_VALUE"""),"First Times a Charm Cider")</f>
        <v>First Times a Charm Cider</v>
      </c>
      <c r="H1974" s="27" t="str">
        <f>IFERROR(__xludf.DUMMYFUNCTION("""COMPUTED_VALUE"""),"")</f>
        <v/>
      </c>
    </row>
    <row r="1975">
      <c r="A1975" s="17"/>
      <c r="B1975" s="23"/>
      <c r="C1975" s="17">
        <f>IFERROR(__xludf.DUMMYFUNCTION("""COMPUTED_VALUE"""),43533.9187564699)</f>
        <v>43533.91876</v>
      </c>
      <c r="D1975" s="23">
        <f>IFERROR(__xludf.DUMMYFUNCTION("""COMPUTED_VALUE"""),1.047)</f>
        <v>1.047</v>
      </c>
      <c r="E1975" s="24">
        <f>IFERROR(__xludf.DUMMYFUNCTION("""COMPUTED_VALUE"""),68.0)</f>
        <v>68</v>
      </c>
      <c r="F1975" s="27" t="str">
        <f>IFERROR(__xludf.DUMMYFUNCTION("""COMPUTED_VALUE"""),"BLACK")</f>
        <v>BLACK</v>
      </c>
      <c r="G1975" s="28" t="str">
        <f>IFERROR(__xludf.DUMMYFUNCTION("""COMPUTED_VALUE"""),"First Times a Charm Cider")</f>
        <v>First Times a Charm Cider</v>
      </c>
      <c r="H1975" s="27" t="str">
        <f>IFERROR(__xludf.DUMMYFUNCTION("""COMPUTED_VALUE"""),"")</f>
        <v/>
      </c>
    </row>
    <row r="1976">
      <c r="A1976" s="17"/>
      <c r="B1976" s="23"/>
      <c r="C1976" s="17">
        <f>IFERROR(__xludf.DUMMYFUNCTION("""COMPUTED_VALUE"""),43533.8874821875)</f>
        <v>43533.88748</v>
      </c>
      <c r="D1976" s="23">
        <f>IFERROR(__xludf.DUMMYFUNCTION("""COMPUTED_VALUE"""),1.048)</f>
        <v>1.048</v>
      </c>
      <c r="E1976" s="24">
        <f>IFERROR(__xludf.DUMMYFUNCTION("""COMPUTED_VALUE"""),68.0)</f>
        <v>68</v>
      </c>
      <c r="F1976" s="27" t="str">
        <f>IFERROR(__xludf.DUMMYFUNCTION("""COMPUTED_VALUE"""),"BLACK")</f>
        <v>BLACK</v>
      </c>
      <c r="G1976" s="28" t="str">
        <f>IFERROR(__xludf.DUMMYFUNCTION("""COMPUTED_VALUE"""),"First Times a Charm Cider")</f>
        <v>First Times a Charm Cider</v>
      </c>
      <c r="H1976" s="27" t="str">
        <f>IFERROR(__xludf.DUMMYFUNCTION("""COMPUTED_VALUE"""),"")</f>
        <v/>
      </c>
    </row>
    <row r="1977">
      <c r="A1977" s="17"/>
      <c r="B1977" s="23"/>
      <c r="C1977" s="17">
        <f>IFERROR(__xludf.DUMMYFUNCTION("""COMPUTED_VALUE"""),43533.8770605555)</f>
        <v>43533.87706</v>
      </c>
      <c r="D1977" s="23">
        <f>IFERROR(__xludf.DUMMYFUNCTION("""COMPUTED_VALUE"""),1.047)</f>
        <v>1.047</v>
      </c>
      <c r="E1977" s="24">
        <f>IFERROR(__xludf.DUMMYFUNCTION("""COMPUTED_VALUE"""),68.0)</f>
        <v>68</v>
      </c>
      <c r="F1977" s="27" t="str">
        <f>IFERROR(__xludf.DUMMYFUNCTION("""COMPUTED_VALUE"""),"BLACK")</f>
        <v>BLACK</v>
      </c>
      <c r="G1977" s="28" t="str">
        <f>IFERROR(__xludf.DUMMYFUNCTION("""COMPUTED_VALUE"""),"First Times a Charm Cider")</f>
        <v>First Times a Charm Cider</v>
      </c>
      <c r="H1977" s="27" t="str">
        <f>IFERROR(__xludf.DUMMYFUNCTION("""COMPUTED_VALUE"""),"")</f>
        <v/>
      </c>
    </row>
    <row r="1978">
      <c r="A1978" s="17"/>
      <c r="B1978" s="23"/>
      <c r="C1978" s="17">
        <f>IFERROR(__xludf.DUMMYFUNCTION("""COMPUTED_VALUE"""),43533.8666408564)</f>
        <v>43533.86664</v>
      </c>
      <c r="D1978" s="23">
        <f>IFERROR(__xludf.DUMMYFUNCTION("""COMPUTED_VALUE"""),1.047)</f>
        <v>1.047</v>
      </c>
      <c r="E1978" s="24">
        <f>IFERROR(__xludf.DUMMYFUNCTION("""COMPUTED_VALUE"""),68.0)</f>
        <v>68</v>
      </c>
      <c r="F1978" s="27" t="str">
        <f>IFERROR(__xludf.DUMMYFUNCTION("""COMPUTED_VALUE"""),"BLACK")</f>
        <v>BLACK</v>
      </c>
      <c r="G1978" s="28" t="str">
        <f>IFERROR(__xludf.DUMMYFUNCTION("""COMPUTED_VALUE"""),"First Times a Charm Cider")</f>
        <v>First Times a Charm Cider</v>
      </c>
      <c r="H1978" s="27" t="str">
        <f>IFERROR(__xludf.DUMMYFUNCTION("""COMPUTED_VALUE"""),"")</f>
        <v/>
      </c>
    </row>
    <row r="1979">
      <c r="A1979" s="17"/>
      <c r="B1979" s="23"/>
      <c r="C1979" s="17">
        <f>IFERROR(__xludf.DUMMYFUNCTION("""COMPUTED_VALUE"""),43533.8457974189)</f>
        <v>43533.8458</v>
      </c>
      <c r="D1979" s="23">
        <f>IFERROR(__xludf.DUMMYFUNCTION("""COMPUTED_VALUE"""),1.048)</f>
        <v>1.048</v>
      </c>
      <c r="E1979" s="24">
        <f>IFERROR(__xludf.DUMMYFUNCTION("""COMPUTED_VALUE"""),67.0)</f>
        <v>67</v>
      </c>
      <c r="F1979" s="27" t="str">
        <f>IFERROR(__xludf.DUMMYFUNCTION("""COMPUTED_VALUE"""),"BLACK")</f>
        <v>BLACK</v>
      </c>
      <c r="G1979" s="28" t="str">
        <f>IFERROR(__xludf.DUMMYFUNCTION("""COMPUTED_VALUE"""),"First Times a Charm Cider")</f>
        <v>First Times a Charm Cider</v>
      </c>
      <c r="H1979" s="27" t="str">
        <f>IFERROR(__xludf.DUMMYFUNCTION("""COMPUTED_VALUE"""),"")</f>
        <v/>
      </c>
    </row>
    <row r="1980">
      <c r="A1980" s="17"/>
      <c r="B1980" s="23"/>
      <c r="C1980" s="17">
        <f>IFERROR(__xludf.DUMMYFUNCTION("""COMPUTED_VALUE"""),43533.8249552546)</f>
        <v>43533.82496</v>
      </c>
      <c r="D1980" s="23">
        <f>IFERROR(__xludf.DUMMYFUNCTION("""COMPUTED_VALUE"""),1.047)</f>
        <v>1.047</v>
      </c>
      <c r="E1980" s="24">
        <f>IFERROR(__xludf.DUMMYFUNCTION("""COMPUTED_VALUE"""),67.0)</f>
        <v>67</v>
      </c>
      <c r="F1980" s="27" t="str">
        <f>IFERROR(__xludf.DUMMYFUNCTION("""COMPUTED_VALUE"""),"BLACK")</f>
        <v>BLACK</v>
      </c>
      <c r="G1980" s="28" t="str">
        <f>IFERROR(__xludf.DUMMYFUNCTION("""COMPUTED_VALUE"""),"First Times a Charm Cider")</f>
        <v>First Times a Charm Cider</v>
      </c>
      <c r="H1980" s="27" t="str">
        <f>IFERROR(__xludf.DUMMYFUNCTION("""COMPUTED_VALUE"""),"")</f>
        <v/>
      </c>
    </row>
    <row r="1981">
      <c r="A1981" s="17"/>
      <c r="B1981" s="23"/>
      <c r="C1981" s="17">
        <f>IFERROR(__xludf.DUMMYFUNCTION("""COMPUTED_VALUE"""),43533.8145338541)</f>
        <v>43533.81453</v>
      </c>
      <c r="D1981" s="23">
        <f>IFERROR(__xludf.DUMMYFUNCTION("""COMPUTED_VALUE"""),1.048)</f>
        <v>1.048</v>
      </c>
      <c r="E1981" s="24">
        <f>IFERROR(__xludf.DUMMYFUNCTION("""COMPUTED_VALUE"""),67.0)</f>
        <v>67</v>
      </c>
      <c r="F1981" s="27" t="str">
        <f>IFERROR(__xludf.DUMMYFUNCTION("""COMPUTED_VALUE"""),"BLACK")</f>
        <v>BLACK</v>
      </c>
      <c r="G1981" s="28" t="str">
        <f>IFERROR(__xludf.DUMMYFUNCTION("""COMPUTED_VALUE"""),"First Times a Charm Cider")</f>
        <v>First Times a Charm Cider</v>
      </c>
      <c r="H1981" s="27" t="str">
        <f>IFERROR(__xludf.DUMMYFUNCTION("""COMPUTED_VALUE"""),"")</f>
        <v/>
      </c>
    </row>
    <row r="1982">
      <c r="A1982" s="17"/>
      <c r="B1982" s="23"/>
      <c r="C1982" s="17">
        <f>IFERROR(__xludf.DUMMYFUNCTION("""COMPUTED_VALUE"""),43533.8041121759)</f>
        <v>43533.80411</v>
      </c>
      <c r="D1982" s="23">
        <f>IFERROR(__xludf.DUMMYFUNCTION("""COMPUTED_VALUE"""),1.048)</f>
        <v>1.048</v>
      </c>
      <c r="E1982" s="24">
        <f>IFERROR(__xludf.DUMMYFUNCTION("""COMPUTED_VALUE"""),67.0)</f>
        <v>67</v>
      </c>
      <c r="F1982" s="27" t="str">
        <f>IFERROR(__xludf.DUMMYFUNCTION("""COMPUTED_VALUE"""),"BLACK")</f>
        <v>BLACK</v>
      </c>
      <c r="G1982" s="28" t="str">
        <f>IFERROR(__xludf.DUMMYFUNCTION("""COMPUTED_VALUE"""),"First Times a Charm Cider")</f>
        <v>First Times a Charm Cider</v>
      </c>
      <c r="H1982" s="27" t="str">
        <f>IFERROR(__xludf.DUMMYFUNCTION("""COMPUTED_VALUE"""),"")</f>
        <v/>
      </c>
    </row>
    <row r="1983">
      <c r="A1983" s="17"/>
      <c r="B1983" s="23"/>
      <c r="C1983" s="17">
        <f>IFERROR(__xludf.DUMMYFUNCTION("""COMPUTED_VALUE"""),43533.7832687037)</f>
        <v>43533.78327</v>
      </c>
      <c r="D1983" s="23">
        <f>IFERROR(__xludf.DUMMYFUNCTION("""COMPUTED_VALUE"""),1.048)</f>
        <v>1.048</v>
      </c>
      <c r="E1983" s="24">
        <f>IFERROR(__xludf.DUMMYFUNCTION("""COMPUTED_VALUE"""),67.0)</f>
        <v>67</v>
      </c>
      <c r="F1983" s="27" t="str">
        <f>IFERROR(__xludf.DUMMYFUNCTION("""COMPUTED_VALUE"""),"BLACK")</f>
        <v>BLACK</v>
      </c>
      <c r="G1983" s="28" t="str">
        <f>IFERROR(__xludf.DUMMYFUNCTION("""COMPUTED_VALUE"""),"First Times a Charm Cider")</f>
        <v>First Times a Charm Cider</v>
      </c>
      <c r="H1983" s="27" t="str">
        <f>IFERROR(__xludf.DUMMYFUNCTION("""COMPUTED_VALUE"""),"")</f>
        <v/>
      </c>
    </row>
    <row r="1984">
      <c r="A1984" s="17"/>
      <c r="B1984" s="23"/>
      <c r="C1984" s="17">
        <f>IFERROR(__xludf.DUMMYFUNCTION("""COMPUTED_VALUE"""),43533.7728485416)</f>
        <v>43533.77285</v>
      </c>
      <c r="D1984" s="23">
        <f>IFERROR(__xludf.DUMMYFUNCTION("""COMPUTED_VALUE"""),1.048)</f>
        <v>1.048</v>
      </c>
      <c r="E1984" s="24">
        <f>IFERROR(__xludf.DUMMYFUNCTION("""COMPUTED_VALUE"""),67.0)</f>
        <v>67</v>
      </c>
      <c r="F1984" s="27" t="str">
        <f>IFERROR(__xludf.DUMMYFUNCTION("""COMPUTED_VALUE"""),"BLACK")</f>
        <v>BLACK</v>
      </c>
      <c r="G1984" s="28" t="str">
        <f>IFERROR(__xludf.DUMMYFUNCTION("""COMPUTED_VALUE"""),"First Times a Charm Cider")</f>
        <v>First Times a Charm Cider</v>
      </c>
      <c r="H1984" s="27" t="str">
        <f>IFERROR(__xludf.DUMMYFUNCTION("""COMPUTED_VALUE"""),"")</f>
        <v/>
      </c>
    </row>
    <row r="1985">
      <c r="A1985" s="17"/>
      <c r="B1985" s="23"/>
      <c r="C1985" s="17">
        <f>IFERROR(__xludf.DUMMYFUNCTION("""COMPUTED_VALUE"""),43533.7520067708)</f>
        <v>43533.75201</v>
      </c>
      <c r="D1985" s="23">
        <f>IFERROR(__xludf.DUMMYFUNCTION("""COMPUTED_VALUE"""),1.048)</f>
        <v>1.048</v>
      </c>
      <c r="E1985" s="24">
        <f>IFERROR(__xludf.DUMMYFUNCTION("""COMPUTED_VALUE"""),67.0)</f>
        <v>67</v>
      </c>
      <c r="F1985" s="27" t="str">
        <f>IFERROR(__xludf.DUMMYFUNCTION("""COMPUTED_VALUE"""),"BLACK")</f>
        <v>BLACK</v>
      </c>
      <c r="G1985" s="28" t="str">
        <f>IFERROR(__xludf.DUMMYFUNCTION("""COMPUTED_VALUE"""),"First Times a Charm Cider")</f>
        <v>First Times a Charm Cider</v>
      </c>
      <c r="H1985" s="27" t="str">
        <f>IFERROR(__xludf.DUMMYFUNCTION("""COMPUTED_VALUE"""),"")</f>
        <v/>
      </c>
    </row>
    <row r="1986">
      <c r="A1986" s="17"/>
      <c r="B1986" s="23"/>
      <c r="C1986" s="17">
        <f>IFERROR(__xludf.DUMMYFUNCTION("""COMPUTED_VALUE"""),43533.7311526967)</f>
        <v>43533.73115</v>
      </c>
      <c r="D1986" s="23">
        <f>IFERROR(__xludf.DUMMYFUNCTION("""COMPUTED_VALUE"""),1.048)</f>
        <v>1.048</v>
      </c>
      <c r="E1986" s="24">
        <f>IFERROR(__xludf.DUMMYFUNCTION("""COMPUTED_VALUE"""),67.0)</f>
        <v>67</v>
      </c>
      <c r="F1986" s="27" t="str">
        <f>IFERROR(__xludf.DUMMYFUNCTION("""COMPUTED_VALUE"""),"BLACK")</f>
        <v>BLACK</v>
      </c>
      <c r="G1986" s="28" t="str">
        <f>IFERROR(__xludf.DUMMYFUNCTION("""COMPUTED_VALUE"""),"First Times a Charm Cider")</f>
        <v>First Times a Charm Cider</v>
      </c>
      <c r="H1986" s="27" t="str">
        <f>IFERROR(__xludf.DUMMYFUNCTION("""COMPUTED_VALUE"""),"")</f>
        <v/>
      </c>
    </row>
    <row r="1987">
      <c r="A1987" s="17"/>
      <c r="B1987" s="23"/>
      <c r="C1987" s="17">
        <f>IFERROR(__xludf.DUMMYFUNCTION("""COMPUTED_VALUE"""),43533.7207305787)</f>
        <v>43533.72073</v>
      </c>
      <c r="D1987" s="23">
        <f>IFERROR(__xludf.DUMMYFUNCTION("""COMPUTED_VALUE"""),1.048)</f>
        <v>1.048</v>
      </c>
      <c r="E1987" s="24">
        <f>IFERROR(__xludf.DUMMYFUNCTION("""COMPUTED_VALUE"""),67.0)</f>
        <v>67</v>
      </c>
      <c r="F1987" s="27" t="str">
        <f>IFERROR(__xludf.DUMMYFUNCTION("""COMPUTED_VALUE"""),"BLACK")</f>
        <v>BLACK</v>
      </c>
      <c r="G1987" s="28" t="str">
        <f>IFERROR(__xludf.DUMMYFUNCTION("""COMPUTED_VALUE"""),"First Times a Charm Cider")</f>
        <v>First Times a Charm Cider</v>
      </c>
      <c r="H1987" s="27" t="str">
        <f>IFERROR(__xludf.DUMMYFUNCTION("""COMPUTED_VALUE"""),"")</f>
        <v/>
      </c>
    </row>
    <row r="1988">
      <c r="A1988" s="17"/>
      <c r="B1988" s="23"/>
      <c r="C1988" s="17">
        <f>IFERROR(__xludf.DUMMYFUNCTION("""COMPUTED_VALUE"""),43533.7103104282)</f>
        <v>43533.71031</v>
      </c>
      <c r="D1988" s="23">
        <f>IFERROR(__xludf.DUMMYFUNCTION("""COMPUTED_VALUE"""),1.048)</f>
        <v>1.048</v>
      </c>
      <c r="E1988" s="24">
        <f>IFERROR(__xludf.DUMMYFUNCTION("""COMPUTED_VALUE"""),67.0)</f>
        <v>67</v>
      </c>
      <c r="F1988" s="27" t="str">
        <f>IFERROR(__xludf.DUMMYFUNCTION("""COMPUTED_VALUE"""),"BLACK")</f>
        <v>BLACK</v>
      </c>
      <c r="G1988" s="28" t="str">
        <f>IFERROR(__xludf.DUMMYFUNCTION("""COMPUTED_VALUE"""),"First Times a Charm Cider")</f>
        <v>First Times a Charm Cider</v>
      </c>
      <c r="H1988" s="27" t="str">
        <f>IFERROR(__xludf.DUMMYFUNCTION("""COMPUTED_VALUE"""),"")</f>
        <v/>
      </c>
    </row>
    <row r="1989">
      <c r="A1989" s="17"/>
      <c r="B1989" s="23"/>
      <c r="C1989" s="17">
        <f>IFERROR(__xludf.DUMMYFUNCTION("""COMPUTED_VALUE"""),43533.6998890393)</f>
        <v>43533.69989</v>
      </c>
      <c r="D1989" s="23">
        <f>IFERROR(__xludf.DUMMYFUNCTION("""COMPUTED_VALUE"""),1.048)</f>
        <v>1.048</v>
      </c>
      <c r="E1989" s="24">
        <f>IFERROR(__xludf.DUMMYFUNCTION("""COMPUTED_VALUE"""),67.0)</f>
        <v>67</v>
      </c>
      <c r="F1989" s="27" t="str">
        <f>IFERROR(__xludf.DUMMYFUNCTION("""COMPUTED_VALUE"""),"BLACK")</f>
        <v>BLACK</v>
      </c>
      <c r="G1989" s="28" t="str">
        <f>IFERROR(__xludf.DUMMYFUNCTION("""COMPUTED_VALUE"""),"First Times a Charm Cider")</f>
        <v>First Times a Charm Cider</v>
      </c>
      <c r="H1989" s="27" t="str">
        <f>IFERROR(__xludf.DUMMYFUNCTION("""COMPUTED_VALUE"""),"")</f>
        <v/>
      </c>
    </row>
    <row r="1990">
      <c r="A1990" s="17"/>
      <c r="B1990" s="23"/>
      <c r="C1990" s="17">
        <f>IFERROR(__xludf.DUMMYFUNCTION("""COMPUTED_VALUE"""),43533.6894666782)</f>
        <v>43533.68947</v>
      </c>
      <c r="D1990" s="23">
        <f>IFERROR(__xludf.DUMMYFUNCTION("""COMPUTED_VALUE"""),1.048)</f>
        <v>1.048</v>
      </c>
      <c r="E1990" s="24">
        <f>IFERROR(__xludf.DUMMYFUNCTION("""COMPUTED_VALUE"""),67.0)</f>
        <v>67</v>
      </c>
      <c r="F1990" s="27" t="str">
        <f>IFERROR(__xludf.DUMMYFUNCTION("""COMPUTED_VALUE"""),"BLACK")</f>
        <v>BLACK</v>
      </c>
      <c r="G1990" s="28" t="str">
        <f>IFERROR(__xludf.DUMMYFUNCTION("""COMPUTED_VALUE"""),"First Times a Charm Cider")</f>
        <v>First Times a Charm Cider</v>
      </c>
      <c r="H1990" s="27" t="str">
        <f>IFERROR(__xludf.DUMMYFUNCTION("""COMPUTED_VALUE"""),"")</f>
        <v/>
      </c>
    </row>
    <row r="1991">
      <c r="A1991" s="17"/>
      <c r="B1991" s="23"/>
      <c r="C1991" s="17">
        <f>IFERROR(__xludf.DUMMYFUNCTION("""COMPUTED_VALUE"""),43533.6686139814)</f>
        <v>43533.66861</v>
      </c>
      <c r="D1991" s="23">
        <f>IFERROR(__xludf.DUMMYFUNCTION("""COMPUTED_VALUE"""),1.048)</f>
        <v>1.048</v>
      </c>
      <c r="E1991" s="24">
        <f>IFERROR(__xludf.DUMMYFUNCTION("""COMPUTED_VALUE"""),67.0)</f>
        <v>67</v>
      </c>
      <c r="F1991" s="27" t="str">
        <f>IFERROR(__xludf.DUMMYFUNCTION("""COMPUTED_VALUE"""),"BLACK")</f>
        <v>BLACK</v>
      </c>
      <c r="G1991" s="28" t="str">
        <f>IFERROR(__xludf.DUMMYFUNCTION("""COMPUTED_VALUE"""),"First Times a Charm Cider")</f>
        <v>First Times a Charm Cider</v>
      </c>
      <c r="H1991" s="27" t="str">
        <f>IFERROR(__xludf.DUMMYFUNCTION("""COMPUTED_VALUE"""),"")</f>
        <v/>
      </c>
    </row>
    <row r="1992">
      <c r="A1992" s="17"/>
      <c r="B1992" s="23"/>
      <c r="C1992" s="17">
        <f>IFERROR(__xludf.DUMMYFUNCTION("""COMPUTED_VALUE"""),43533.6581808217)</f>
        <v>43533.65818</v>
      </c>
      <c r="D1992" s="23">
        <f>IFERROR(__xludf.DUMMYFUNCTION("""COMPUTED_VALUE"""),1.048)</f>
        <v>1.048</v>
      </c>
      <c r="E1992" s="24">
        <f>IFERROR(__xludf.DUMMYFUNCTION("""COMPUTED_VALUE"""),67.0)</f>
        <v>67</v>
      </c>
      <c r="F1992" s="27" t="str">
        <f>IFERROR(__xludf.DUMMYFUNCTION("""COMPUTED_VALUE"""),"BLACK")</f>
        <v>BLACK</v>
      </c>
      <c r="G1992" s="28" t="str">
        <f>IFERROR(__xludf.DUMMYFUNCTION("""COMPUTED_VALUE"""),"First Times a Charm Cider")</f>
        <v>First Times a Charm Cider</v>
      </c>
      <c r="H1992" s="27" t="str">
        <f>IFERROR(__xludf.DUMMYFUNCTION("""COMPUTED_VALUE"""),"")</f>
        <v/>
      </c>
    </row>
    <row r="1993">
      <c r="A1993" s="17"/>
      <c r="B1993" s="23"/>
      <c r="C1993" s="17">
        <f>IFERROR(__xludf.DUMMYFUNCTION("""COMPUTED_VALUE"""),43533.6477253703)</f>
        <v>43533.64773</v>
      </c>
      <c r="D1993" s="23">
        <f>IFERROR(__xludf.DUMMYFUNCTION("""COMPUTED_VALUE"""),1.048)</f>
        <v>1.048</v>
      </c>
      <c r="E1993" s="24">
        <f>IFERROR(__xludf.DUMMYFUNCTION("""COMPUTED_VALUE"""),67.0)</f>
        <v>67</v>
      </c>
      <c r="F1993" s="27" t="str">
        <f>IFERROR(__xludf.DUMMYFUNCTION("""COMPUTED_VALUE"""),"BLACK")</f>
        <v>BLACK</v>
      </c>
      <c r="G1993" s="28" t="str">
        <f>IFERROR(__xludf.DUMMYFUNCTION("""COMPUTED_VALUE"""),"First Times a Charm Cider")</f>
        <v>First Times a Charm Cider</v>
      </c>
      <c r="H1993" s="27" t="str">
        <f>IFERROR(__xludf.DUMMYFUNCTION("""COMPUTED_VALUE"""),"")</f>
        <v/>
      </c>
    </row>
    <row r="1994">
      <c r="A1994" s="17"/>
      <c r="B1994" s="23"/>
      <c r="C1994" s="17">
        <f>IFERROR(__xludf.DUMMYFUNCTION("""COMPUTED_VALUE"""),43533.6164584953)</f>
        <v>43533.61646</v>
      </c>
      <c r="D1994" s="23">
        <f>IFERROR(__xludf.DUMMYFUNCTION("""COMPUTED_VALUE"""),1.048)</f>
        <v>1.048</v>
      </c>
      <c r="E1994" s="24">
        <f>IFERROR(__xludf.DUMMYFUNCTION("""COMPUTED_VALUE"""),67.0)</f>
        <v>67</v>
      </c>
      <c r="F1994" s="27" t="str">
        <f>IFERROR(__xludf.DUMMYFUNCTION("""COMPUTED_VALUE"""),"BLACK")</f>
        <v>BLACK</v>
      </c>
      <c r="G1994" s="28" t="str">
        <f>IFERROR(__xludf.DUMMYFUNCTION("""COMPUTED_VALUE"""),"First Times a Charm Cider")</f>
        <v>First Times a Charm Cider</v>
      </c>
      <c r="H1994" s="27" t="str">
        <f>IFERROR(__xludf.DUMMYFUNCTION("""COMPUTED_VALUE"""),"")</f>
        <v/>
      </c>
    </row>
    <row r="1995">
      <c r="A1995" s="17"/>
      <c r="B1995" s="23"/>
      <c r="C1995" s="17">
        <f>IFERROR(__xludf.DUMMYFUNCTION("""COMPUTED_VALUE"""),43533.606037581)</f>
        <v>43533.60604</v>
      </c>
      <c r="D1995" s="23">
        <f>IFERROR(__xludf.DUMMYFUNCTION("""COMPUTED_VALUE"""),1.048)</f>
        <v>1.048</v>
      </c>
      <c r="E1995" s="24">
        <f>IFERROR(__xludf.DUMMYFUNCTION("""COMPUTED_VALUE"""),67.0)</f>
        <v>67</v>
      </c>
      <c r="F1995" s="27" t="str">
        <f>IFERROR(__xludf.DUMMYFUNCTION("""COMPUTED_VALUE"""),"BLACK")</f>
        <v>BLACK</v>
      </c>
      <c r="G1995" s="28" t="str">
        <f>IFERROR(__xludf.DUMMYFUNCTION("""COMPUTED_VALUE"""),"First Times a Charm Cider")</f>
        <v>First Times a Charm Cider</v>
      </c>
      <c r="H1995" s="27" t="str">
        <f>IFERROR(__xludf.DUMMYFUNCTION("""COMPUTED_VALUE"""),"")</f>
        <v/>
      </c>
    </row>
    <row r="1996">
      <c r="A1996" s="17"/>
      <c r="B1996" s="23"/>
      <c r="C1996" s="17">
        <f>IFERROR(__xludf.DUMMYFUNCTION("""COMPUTED_VALUE"""),43533.5956171759)</f>
        <v>43533.59562</v>
      </c>
      <c r="D1996" s="23">
        <f>IFERROR(__xludf.DUMMYFUNCTION("""COMPUTED_VALUE"""),1.048)</f>
        <v>1.048</v>
      </c>
      <c r="E1996" s="24">
        <f>IFERROR(__xludf.DUMMYFUNCTION("""COMPUTED_VALUE"""),67.0)</f>
        <v>67</v>
      </c>
      <c r="F1996" s="27" t="str">
        <f>IFERROR(__xludf.DUMMYFUNCTION("""COMPUTED_VALUE"""),"BLACK")</f>
        <v>BLACK</v>
      </c>
      <c r="G1996" s="28" t="str">
        <f>IFERROR(__xludf.DUMMYFUNCTION("""COMPUTED_VALUE"""),"First Times a Charm Cider")</f>
        <v>First Times a Charm Cider</v>
      </c>
      <c r="H1996" s="27" t="str">
        <f>IFERROR(__xludf.DUMMYFUNCTION("""COMPUTED_VALUE"""),"")</f>
        <v/>
      </c>
    </row>
    <row r="1997">
      <c r="A1997" s="17"/>
      <c r="B1997" s="23"/>
      <c r="C1997" s="17">
        <f>IFERROR(__xludf.DUMMYFUNCTION("""COMPUTED_VALUE"""),43533.5851966898)</f>
        <v>43533.5852</v>
      </c>
      <c r="D1997" s="23">
        <f>IFERROR(__xludf.DUMMYFUNCTION("""COMPUTED_VALUE"""),1.048)</f>
        <v>1.048</v>
      </c>
      <c r="E1997" s="24">
        <f>IFERROR(__xludf.DUMMYFUNCTION("""COMPUTED_VALUE"""),67.0)</f>
        <v>67</v>
      </c>
      <c r="F1997" s="27" t="str">
        <f>IFERROR(__xludf.DUMMYFUNCTION("""COMPUTED_VALUE"""),"BLACK")</f>
        <v>BLACK</v>
      </c>
      <c r="G1997" s="28" t="str">
        <f>IFERROR(__xludf.DUMMYFUNCTION("""COMPUTED_VALUE"""),"First Times a Charm Cider")</f>
        <v>First Times a Charm Cider</v>
      </c>
      <c r="H1997" s="27" t="str">
        <f>IFERROR(__xludf.DUMMYFUNCTION("""COMPUTED_VALUE"""),"")</f>
        <v/>
      </c>
    </row>
    <row r="1998">
      <c r="A1998" s="17"/>
      <c r="B1998" s="23"/>
      <c r="C1998" s="17">
        <f>IFERROR(__xludf.DUMMYFUNCTION("""COMPUTED_VALUE"""),43533.5747756134)</f>
        <v>43533.57478</v>
      </c>
      <c r="D1998" s="23">
        <f>IFERROR(__xludf.DUMMYFUNCTION("""COMPUTED_VALUE"""),1.048)</f>
        <v>1.048</v>
      </c>
      <c r="E1998" s="24">
        <f>IFERROR(__xludf.DUMMYFUNCTION("""COMPUTED_VALUE"""),67.0)</f>
        <v>67</v>
      </c>
      <c r="F1998" s="27" t="str">
        <f>IFERROR(__xludf.DUMMYFUNCTION("""COMPUTED_VALUE"""),"BLACK")</f>
        <v>BLACK</v>
      </c>
      <c r="G1998" s="28" t="str">
        <f>IFERROR(__xludf.DUMMYFUNCTION("""COMPUTED_VALUE"""),"First Times a Charm Cider")</f>
        <v>First Times a Charm Cider</v>
      </c>
      <c r="H1998" s="27" t="str">
        <f>IFERROR(__xludf.DUMMYFUNCTION("""COMPUTED_VALUE"""),"")</f>
        <v/>
      </c>
    </row>
    <row r="1999">
      <c r="A1999" s="17"/>
      <c r="B1999" s="23"/>
      <c r="C1999" s="17">
        <f>IFERROR(__xludf.DUMMYFUNCTION("""COMPUTED_VALUE"""),43533.5643425115)</f>
        <v>43533.56434</v>
      </c>
      <c r="D1999" s="23">
        <f>IFERROR(__xludf.DUMMYFUNCTION("""COMPUTED_VALUE"""),1.048)</f>
        <v>1.048</v>
      </c>
      <c r="E1999" s="24">
        <f>IFERROR(__xludf.DUMMYFUNCTION("""COMPUTED_VALUE"""),67.0)</f>
        <v>67</v>
      </c>
      <c r="F1999" s="27" t="str">
        <f>IFERROR(__xludf.DUMMYFUNCTION("""COMPUTED_VALUE"""),"BLACK")</f>
        <v>BLACK</v>
      </c>
      <c r="G1999" s="28" t="str">
        <f>IFERROR(__xludf.DUMMYFUNCTION("""COMPUTED_VALUE"""),"First Times a Charm Cider")</f>
        <v>First Times a Charm Cider</v>
      </c>
      <c r="H1999" s="27" t="str">
        <f>IFERROR(__xludf.DUMMYFUNCTION("""COMPUTED_VALUE"""),"")</f>
        <v/>
      </c>
    </row>
    <row r="2000">
      <c r="A2000" s="17"/>
      <c r="B2000" s="23"/>
      <c r="C2000" s="17">
        <f>IFERROR(__xludf.DUMMYFUNCTION("""COMPUTED_VALUE"""),43533.5330537384)</f>
        <v>43533.53305</v>
      </c>
      <c r="D2000" s="23">
        <f>IFERROR(__xludf.DUMMYFUNCTION("""COMPUTED_VALUE"""),1.048)</f>
        <v>1.048</v>
      </c>
      <c r="E2000" s="24">
        <f>IFERROR(__xludf.DUMMYFUNCTION("""COMPUTED_VALUE"""),67.0)</f>
        <v>67</v>
      </c>
      <c r="F2000" s="27" t="str">
        <f>IFERROR(__xludf.DUMMYFUNCTION("""COMPUTED_VALUE"""),"BLACK")</f>
        <v>BLACK</v>
      </c>
      <c r="G2000" s="28" t="str">
        <f>IFERROR(__xludf.DUMMYFUNCTION("""COMPUTED_VALUE"""),"First Times a Charm Cider")</f>
        <v>First Times a Charm Cider</v>
      </c>
      <c r="H2000" s="27" t="str">
        <f>IFERROR(__xludf.DUMMYFUNCTION("""COMPUTED_VALUE"""),"")</f>
        <v/>
      </c>
    </row>
    <row r="2001">
      <c r="A2001" s="17"/>
      <c r="B2001" s="23"/>
      <c r="C2001" s="17">
        <f>IFERROR(__xludf.DUMMYFUNCTION("""COMPUTED_VALUE"""),43533.5226320254)</f>
        <v>43533.52263</v>
      </c>
      <c r="D2001" s="23">
        <f>IFERROR(__xludf.DUMMYFUNCTION("""COMPUTED_VALUE"""),1.048)</f>
        <v>1.048</v>
      </c>
      <c r="E2001" s="24">
        <f>IFERROR(__xludf.DUMMYFUNCTION("""COMPUTED_VALUE"""),67.0)</f>
        <v>67</v>
      </c>
      <c r="F2001" s="27" t="str">
        <f>IFERROR(__xludf.DUMMYFUNCTION("""COMPUTED_VALUE"""),"BLACK")</f>
        <v>BLACK</v>
      </c>
      <c r="G2001" s="28" t="str">
        <f>IFERROR(__xludf.DUMMYFUNCTION("""COMPUTED_VALUE"""),"First Times a Charm Cider")</f>
        <v>First Times a Charm Cider</v>
      </c>
      <c r="H2001" s="27" t="str">
        <f>IFERROR(__xludf.DUMMYFUNCTION("""COMPUTED_VALUE"""),"")</f>
        <v/>
      </c>
    </row>
    <row r="2002">
      <c r="A2002" s="17"/>
      <c r="B2002" s="23"/>
      <c r="C2002" s="17">
        <f>IFERROR(__xludf.DUMMYFUNCTION("""COMPUTED_VALUE"""),43533.5122118171)</f>
        <v>43533.51221</v>
      </c>
      <c r="D2002" s="23">
        <f>IFERROR(__xludf.DUMMYFUNCTION("""COMPUTED_VALUE"""),1.048)</f>
        <v>1.048</v>
      </c>
      <c r="E2002" s="24">
        <f>IFERROR(__xludf.DUMMYFUNCTION("""COMPUTED_VALUE"""),67.0)</f>
        <v>67</v>
      </c>
      <c r="F2002" s="27" t="str">
        <f>IFERROR(__xludf.DUMMYFUNCTION("""COMPUTED_VALUE"""),"BLACK")</f>
        <v>BLACK</v>
      </c>
      <c r="G2002" s="28" t="str">
        <f>IFERROR(__xludf.DUMMYFUNCTION("""COMPUTED_VALUE"""),"First Times a Charm Cider")</f>
        <v>First Times a Charm Cider</v>
      </c>
      <c r="H2002" s="27" t="str">
        <f>IFERROR(__xludf.DUMMYFUNCTION("""COMPUTED_VALUE"""),"")</f>
        <v/>
      </c>
    </row>
    <row r="2003">
      <c r="A2003" s="17"/>
      <c r="B2003" s="23"/>
      <c r="C2003" s="17">
        <f>IFERROR(__xludf.DUMMYFUNCTION("""COMPUTED_VALUE"""),43533.5017919907)</f>
        <v>43533.50179</v>
      </c>
      <c r="D2003" s="23">
        <f>IFERROR(__xludf.DUMMYFUNCTION("""COMPUTED_VALUE"""),1.048)</f>
        <v>1.048</v>
      </c>
      <c r="E2003" s="24">
        <f>IFERROR(__xludf.DUMMYFUNCTION("""COMPUTED_VALUE"""),67.0)</f>
        <v>67</v>
      </c>
      <c r="F2003" s="27" t="str">
        <f>IFERROR(__xludf.DUMMYFUNCTION("""COMPUTED_VALUE"""),"BLACK")</f>
        <v>BLACK</v>
      </c>
      <c r="G2003" s="28" t="str">
        <f>IFERROR(__xludf.DUMMYFUNCTION("""COMPUTED_VALUE"""),"First Times a Charm Cider")</f>
        <v>First Times a Charm Cider</v>
      </c>
      <c r="H2003" s="27" t="str">
        <f>IFERROR(__xludf.DUMMYFUNCTION("""COMPUTED_VALUE"""),"")</f>
        <v/>
      </c>
    </row>
    <row r="2004">
      <c r="A2004" s="17"/>
      <c r="B2004" s="23"/>
      <c r="C2004" s="17">
        <f>IFERROR(__xludf.DUMMYFUNCTION("""COMPUTED_VALUE"""),43533.4913698495)</f>
        <v>43533.49137</v>
      </c>
      <c r="D2004" s="23">
        <f>IFERROR(__xludf.DUMMYFUNCTION("""COMPUTED_VALUE"""),1.048)</f>
        <v>1.048</v>
      </c>
      <c r="E2004" s="24">
        <f>IFERROR(__xludf.DUMMYFUNCTION("""COMPUTED_VALUE"""),67.0)</f>
        <v>67</v>
      </c>
      <c r="F2004" s="27" t="str">
        <f>IFERROR(__xludf.DUMMYFUNCTION("""COMPUTED_VALUE"""),"BLACK")</f>
        <v>BLACK</v>
      </c>
      <c r="G2004" s="28" t="str">
        <f>IFERROR(__xludf.DUMMYFUNCTION("""COMPUTED_VALUE"""),"First Times a Charm Cider")</f>
        <v>First Times a Charm Cider</v>
      </c>
      <c r="H2004" s="27" t="str">
        <f>IFERROR(__xludf.DUMMYFUNCTION("""COMPUTED_VALUE"""),"")</f>
        <v/>
      </c>
    </row>
    <row r="2005">
      <c r="A2005" s="17"/>
      <c r="B2005" s="23"/>
      <c r="C2005" s="17">
        <f>IFERROR(__xludf.DUMMYFUNCTION("""COMPUTED_VALUE"""),43533.4809366319)</f>
        <v>43533.48094</v>
      </c>
      <c r="D2005" s="23">
        <f>IFERROR(__xludf.DUMMYFUNCTION("""COMPUTED_VALUE"""),1.048)</f>
        <v>1.048</v>
      </c>
      <c r="E2005" s="24">
        <f>IFERROR(__xludf.DUMMYFUNCTION("""COMPUTED_VALUE"""),67.0)</f>
        <v>67</v>
      </c>
      <c r="F2005" s="27" t="str">
        <f>IFERROR(__xludf.DUMMYFUNCTION("""COMPUTED_VALUE"""),"BLACK")</f>
        <v>BLACK</v>
      </c>
      <c r="G2005" s="28" t="str">
        <f>IFERROR(__xludf.DUMMYFUNCTION("""COMPUTED_VALUE"""),"First Times a Charm Cider")</f>
        <v>First Times a Charm Cider</v>
      </c>
      <c r="H2005" s="27" t="str">
        <f>IFERROR(__xludf.DUMMYFUNCTION("""COMPUTED_VALUE"""),"")</f>
        <v/>
      </c>
    </row>
    <row r="2006">
      <c r="A2006" s="17"/>
      <c r="B2006" s="23"/>
      <c r="C2006" s="17">
        <f>IFERROR(__xludf.DUMMYFUNCTION("""COMPUTED_VALUE"""),43533.4705154513)</f>
        <v>43533.47052</v>
      </c>
      <c r="D2006" s="23">
        <f>IFERROR(__xludf.DUMMYFUNCTION("""COMPUTED_VALUE"""),1.048)</f>
        <v>1.048</v>
      </c>
      <c r="E2006" s="24">
        <f>IFERROR(__xludf.DUMMYFUNCTION("""COMPUTED_VALUE"""),67.0)</f>
        <v>67</v>
      </c>
      <c r="F2006" s="27" t="str">
        <f>IFERROR(__xludf.DUMMYFUNCTION("""COMPUTED_VALUE"""),"BLACK")</f>
        <v>BLACK</v>
      </c>
      <c r="G2006" s="28" t="str">
        <f>IFERROR(__xludf.DUMMYFUNCTION("""COMPUTED_VALUE"""),"First Times a Charm Cider")</f>
        <v>First Times a Charm Cider</v>
      </c>
      <c r="H2006" s="27" t="str">
        <f>IFERROR(__xludf.DUMMYFUNCTION("""COMPUTED_VALUE"""),"")</f>
        <v/>
      </c>
    </row>
    <row r="2007">
      <c r="A2007" s="17"/>
      <c r="B2007" s="23"/>
      <c r="C2007" s="17">
        <f>IFERROR(__xludf.DUMMYFUNCTION("""COMPUTED_VALUE"""),43533.4392508564)</f>
        <v>43533.43925</v>
      </c>
      <c r="D2007" s="23">
        <f>IFERROR(__xludf.DUMMYFUNCTION("""COMPUTED_VALUE"""),1.048)</f>
        <v>1.048</v>
      </c>
      <c r="E2007" s="24">
        <f>IFERROR(__xludf.DUMMYFUNCTION("""COMPUTED_VALUE"""),67.0)</f>
        <v>67</v>
      </c>
      <c r="F2007" s="27" t="str">
        <f>IFERROR(__xludf.DUMMYFUNCTION("""COMPUTED_VALUE"""),"BLACK")</f>
        <v>BLACK</v>
      </c>
      <c r="G2007" s="28" t="str">
        <f>IFERROR(__xludf.DUMMYFUNCTION("""COMPUTED_VALUE"""),"First Times a Charm Cider")</f>
        <v>First Times a Charm Cider</v>
      </c>
      <c r="H2007" s="27" t="str">
        <f>IFERROR(__xludf.DUMMYFUNCTION("""COMPUTED_VALUE"""),"")</f>
        <v/>
      </c>
    </row>
    <row r="2008">
      <c r="A2008" s="17"/>
      <c r="B2008" s="23"/>
      <c r="C2008" s="17">
        <f>IFERROR(__xludf.DUMMYFUNCTION("""COMPUTED_VALUE"""),43533.4183729282)</f>
        <v>43533.41837</v>
      </c>
      <c r="D2008" s="23">
        <f>IFERROR(__xludf.DUMMYFUNCTION("""COMPUTED_VALUE"""),1.048)</f>
        <v>1.048</v>
      </c>
      <c r="E2008" s="24">
        <f>IFERROR(__xludf.DUMMYFUNCTION("""COMPUTED_VALUE"""),67.0)</f>
        <v>67</v>
      </c>
      <c r="F2008" s="27" t="str">
        <f>IFERROR(__xludf.DUMMYFUNCTION("""COMPUTED_VALUE"""),"BLACK")</f>
        <v>BLACK</v>
      </c>
      <c r="G2008" s="28" t="str">
        <f>IFERROR(__xludf.DUMMYFUNCTION("""COMPUTED_VALUE"""),"First Times a Charm Cider")</f>
        <v>First Times a Charm Cider</v>
      </c>
      <c r="H2008" s="27" t="str">
        <f>IFERROR(__xludf.DUMMYFUNCTION("""COMPUTED_VALUE"""),"")</f>
        <v/>
      </c>
    </row>
    <row r="2009">
      <c r="A2009" s="17"/>
      <c r="B2009" s="23"/>
      <c r="C2009" s="17">
        <f>IFERROR(__xludf.DUMMYFUNCTION("""COMPUTED_VALUE"""),43533.4079402893)</f>
        <v>43533.40794</v>
      </c>
      <c r="D2009" s="23">
        <f>IFERROR(__xludf.DUMMYFUNCTION("""COMPUTED_VALUE"""),1.048)</f>
        <v>1.048</v>
      </c>
      <c r="E2009" s="24">
        <f>IFERROR(__xludf.DUMMYFUNCTION("""COMPUTED_VALUE"""),67.0)</f>
        <v>67</v>
      </c>
      <c r="F2009" s="27" t="str">
        <f>IFERROR(__xludf.DUMMYFUNCTION("""COMPUTED_VALUE"""),"BLACK")</f>
        <v>BLACK</v>
      </c>
      <c r="G2009" s="28" t="str">
        <f>IFERROR(__xludf.DUMMYFUNCTION("""COMPUTED_VALUE"""),"First Times a Charm Cider")</f>
        <v>First Times a Charm Cider</v>
      </c>
      <c r="H2009" s="27" t="str">
        <f>IFERROR(__xludf.DUMMYFUNCTION("""COMPUTED_VALUE"""),"")</f>
        <v/>
      </c>
    </row>
    <row r="2010">
      <c r="A2010" s="17"/>
      <c r="B2010" s="23"/>
      <c r="C2010" s="17">
        <f>IFERROR(__xludf.DUMMYFUNCTION("""COMPUTED_VALUE"""),43533.3870992708)</f>
        <v>43533.3871</v>
      </c>
      <c r="D2010" s="23">
        <f>IFERROR(__xludf.DUMMYFUNCTION("""COMPUTED_VALUE"""),1.048)</f>
        <v>1.048</v>
      </c>
      <c r="E2010" s="24">
        <f>IFERROR(__xludf.DUMMYFUNCTION("""COMPUTED_VALUE"""),67.0)</f>
        <v>67</v>
      </c>
      <c r="F2010" s="27" t="str">
        <f>IFERROR(__xludf.DUMMYFUNCTION("""COMPUTED_VALUE"""),"BLACK")</f>
        <v>BLACK</v>
      </c>
      <c r="G2010" s="28" t="str">
        <f>IFERROR(__xludf.DUMMYFUNCTION("""COMPUTED_VALUE"""),"First Times a Charm Cider")</f>
        <v>First Times a Charm Cider</v>
      </c>
      <c r="H2010" s="27" t="str">
        <f>IFERROR(__xludf.DUMMYFUNCTION("""COMPUTED_VALUE"""),"")</f>
        <v/>
      </c>
    </row>
    <row r="2011">
      <c r="A2011" s="17"/>
      <c r="B2011" s="23"/>
      <c r="C2011" s="17">
        <f>IFERROR(__xludf.DUMMYFUNCTION("""COMPUTED_VALUE"""),43533.3662574189)</f>
        <v>43533.36626</v>
      </c>
      <c r="D2011" s="23">
        <f>IFERROR(__xludf.DUMMYFUNCTION("""COMPUTED_VALUE"""),1.048)</f>
        <v>1.048</v>
      </c>
      <c r="E2011" s="24">
        <f>IFERROR(__xludf.DUMMYFUNCTION("""COMPUTED_VALUE"""),66.0)</f>
        <v>66</v>
      </c>
      <c r="F2011" s="27" t="str">
        <f>IFERROR(__xludf.DUMMYFUNCTION("""COMPUTED_VALUE"""),"BLACK")</f>
        <v>BLACK</v>
      </c>
      <c r="G2011" s="28" t="str">
        <f>IFERROR(__xludf.DUMMYFUNCTION("""COMPUTED_VALUE"""),"First Times a Charm Cider")</f>
        <v>First Times a Charm Cider</v>
      </c>
      <c r="H2011" s="27" t="str">
        <f>IFERROR(__xludf.DUMMYFUNCTION("""COMPUTED_VALUE"""),"")</f>
        <v/>
      </c>
    </row>
    <row r="2012">
      <c r="A2012" s="17"/>
      <c r="B2012" s="23"/>
      <c r="C2012" s="17">
        <f>IFERROR(__xludf.DUMMYFUNCTION("""COMPUTED_VALUE"""),43533.3454163078)</f>
        <v>43533.34542</v>
      </c>
      <c r="D2012" s="23">
        <f>IFERROR(__xludf.DUMMYFUNCTION("""COMPUTED_VALUE"""),1.048)</f>
        <v>1.048</v>
      </c>
      <c r="E2012" s="24">
        <f>IFERROR(__xludf.DUMMYFUNCTION("""COMPUTED_VALUE"""),66.0)</f>
        <v>66</v>
      </c>
      <c r="F2012" s="27" t="str">
        <f>IFERROR(__xludf.DUMMYFUNCTION("""COMPUTED_VALUE"""),"BLACK")</f>
        <v>BLACK</v>
      </c>
      <c r="G2012" s="28" t="str">
        <f>IFERROR(__xludf.DUMMYFUNCTION("""COMPUTED_VALUE"""),"First Times a Charm Cider")</f>
        <v>First Times a Charm Cider</v>
      </c>
      <c r="H2012" s="27" t="str">
        <f>IFERROR(__xludf.DUMMYFUNCTION("""COMPUTED_VALUE"""),"")</f>
        <v/>
      </c>
    </row>
    <row r="2013">
      <c r="A2013" s="17"/>
      <c r="B2013" s="23"/>
      <c r="C2013" s="17">
        <f>IFERROR(__xludf.DUMMYFUNCTION("""COMPUTED_VALUE"""),43533.3349948263)</f>
        <v>43533.33499</v>
      </c>
      <c r="D2013" s="23">
        <f>IFERROR(__xludf.DUMMYFUNCTION("""COMPUTED_VALUE"""),1.048)</f>
        <v>1.048</v>
      </c>
      <c r="E2013" s="24">
        <f>IFERROR(__xludf.DUMMYFUNCTION("""COMPUTED_VALUE"""),66.0)</f>
        <v>66</v>
      </c>
      <c r="F2013" s="27" t="str">
        <f>IFERROR(__xludf.DUMMYFUNCTION("""COMPUTED_VALUE"""),"BLACK")</f>
        <v>BLACK</v>
      </c>
      <c r="G2013" s="28" t="str">
        <f>IFERROR(__xludf.DUMMYFUNCTION("""COMPUTED_VALUE"""),"First Times a Charm Cider")</f>
        <v>First Times a Charm Cider</v>
      </c>
      <c r="H2013" s="27" t="str">
        <f>IFERROR(__xludf.DUMMYFUNCTION("""COMPUTED_VALUE"""),"")</f>
        <v/>
      </c>
    </row>
    <row r="2014">
      <c r="A2014" s="17"/>
      <c r="B2014" s="23"/>
      <c r="C2014" s="17">
        <f>IFERROR(__xludf.DUMMYFUNCTION("""COMPUTED_VALUE"""),43533.3245635763)</f>
        <v>43533.32456</v>
      </c>
      <c r="D2014" s="23">
        <f>IFERROR(__xludf.DUMMYFUNCTION("""COMPUTED_VALUE"""),1.048)</f>
        <v>1.048</v>
      </c>
      <c r="E2014" s="24">
        <f>IFERROR(__xludf.DUMMYFUNCTION("""COMPUTED_VALUE"""),66.0)</f>
        <v>66</v>
      </c>
      <c r="F2014" s="27" t="str">
        <f>IFERROR(__xludf.DUMMYFUNCTION("""COMPUTED_VALUE"""),"BLACK")</f>
        <v>BLACK</v>
      </c>
      <c r="G2014" s="28" t="str">
        <f>IFERROR(__xludf.DUMMYFUNCTION("""COMPUTED_VALUE"""),"First Times a Charm Cider")</f>
        <v>First Times a Charm Cider</v>
      </c>
      <c r="H2014" s="27" t="str">
        <f>IFERROR(__xludf.DUMMYFUNCTION("""COMPUTED_VALUE"""),"")</f>
        <v/>
      </c>
    </row>
    <row r="2015">
      <c r="A2015" s="17"/>
      <c r="B2015" s="23"/>
      <c r="C2015" s="17">
        <f>IFERROR(__xludf.DUMMYFUNCTION("""COMPUTED_VALUE"""),43533.3141437152)</f>
        <v>43533.31414</v>
      </c>
      <c r="D2015" s="23">
        <f>IFERROR(__xludf.DUMMYFUNCTION("""COMPUTED_VALUE"""),1.048)</f>
        <v>1.048</v>
      </c>
      <c r="E2015" s="24">
        <f>IFERROR(__xludf.DUMMYFUNCTION("""COMPUTED_VALUE"""),66.0)</f>
        <v>66</v>
      </c>
      <c r="F2015" s="27" t="str">
        <f>IFERROR(__xludf.DUMMYFUNCTION("""COMPUTED_VALUE"""),"BLACK")</f>
        <v>BLACK</v>
      </c>
      <c r="G2015" s="28" t="str">
        <f>IFERROR(__xludf.DUMMYFUNCTION("""COMPUTED_VALUE"""),"First Times a Charm Cider")</f>
        <v>First Times a Charm Cider</v>
      </c>
      <c r="H2015" s="27" t="str">
        <f>IFERROR(__xludf.DUMMYFUNCTION("""COMPUTED_VALUE"""),"")</f>
        <v/>
      </c>
    </row>
    <row r="2016">
      <c r="A2016" s="17"/>
      <c r="B2016" s="23"/>
      <c r="C2016" s="17">
        <f>IFERROR(__xludf.DUMMYFUNCTION("""COMPUTED_VALUE"""),43533.3037217476)</f>
        <v>43533.30372</v>
      </c>
      <c r="D2016" s="23">
        <f>IFERROR(__xludf.DUMMYFUNCTION("""COMPUTED_VALUE"""),1.048)</f>
        <v>1.048</v>
      </c>
      <c r="E2016" s="24">
        <f>IFERROR(__xludf.DUMMYFUNCTION("""COMPUTED_VALUE"""),66.0)</f>
        <v>66</v>
      </c>
      <c r="F2016" s="27" t="str">
        <f>IFERROR(__xludf.DUMMYFUNCTION("""COMPUTED_VALUE"""),"BLACK")</f>
        <v>BLACK</v>
      </c>
      <c r="G2016" s="28" t="str">
        <f>IFERROR(__xludf.DUMMYFUNCTION("""COMPUTED_VALUE"""),"First Times a Charm Cider")</f>
        <v>First Times a Charm Cider</v>
      </c>
      <c r="H2016" s="27" t="str">
        <f>IFERROR(__xludf.DUMMYFUNCTION("""COMPUTED_VALUE"""),"")</f>
        <v/>
      </c>
    </row>
    <row r="2017">
      <c r="A2017" s="17"/>
      <c r="B2017" s="23"/>
      <c r="C2017" s="17">
        <f>IFERROR(__xludf.DUMMYFUNCTION("""COMPUTED_VALUE"""),43533.2932903819)</f>
        <v>43533.29329</v>
      </c>
      <c r="D2017" s="23">
        <f>IFERROR(__xludf.DUMMYFUNCTION("""COMPUTED_VALUE"""),1.049)</f>
        <v>1.049</v>
      </c>
      <c r="E2017" s="24">
        <f>IFERROR(__xludf.DUMMYFUNCTION("""COMPUTED_VALUE"""),66.0)</f>
        <v>66</v>
      </c>
      <c r="F2017" s="27" t="str">
        <f>IFERROR(__xludf.DUMMYFUNCTION("""COMPUTED_VALUE"""),"BLACK")</f>
        <v>BLACK</v>
      </c>
      <c r="G2017" s="28" t="str">
        <f>IFERROR(__xludf.DUMMYFUNCTION("""COMPUTED_VALUE"""),"First Times a Charm Cider")</f>
        <v>First Times a Charm Cider</v>
      </c>
      <c r="H2017" s="27" t="str">
        <f>IFERROR(__xludf.DUMMYFUNCTION("""COMPUTED_VALUE"""),"")</f>
        <v/>
      </c>
    </row>
    <row r="2018">
      <c r="A2018" s="17"/>
      <c r="B2018" s="23"/>
      <c r="C2018" s="17">
        <f>IFERROR(__xludf.DUMMYFUNCTION("""COMPUTED_VALUE"""),43533.2828682523)</f>
        <v>43533.28287</v>
      </c>
      <c r="D2018" s="23">
        <f>IFERROR(__xludf.DUMMYFUNCTION("""COMPUTED_VALUE"""),1.049)</f>
        <v>1.049</v>
      </c>
      <c r="E2018" s="24">
        <f>IFERROR(__xludf.DUMMYFUNCTION("""COMPUTED_VALUE"""),66.0)</f>
        <v>66</v>
      </c>
      <c r="F2018" s="27" t="str">
        <f>IFERROR(__xludf.DUMMYFUNCTION("""COMPUTED_VALUE"""),"BLACK")</f>
        <v>BLACK</v>
      </c>
      <c r="G2018" s="28" t="str">
        <f>IFERROR(__xludf.DUMMYFUNCTION("""COMPUTED_VALUE"""),"First Times a Charm Cider")</f>
        <v>First Times a Charm Cider</v>
      </c>
      <c r="H2018" s="27" t="str">
        <f>IFERROR(__xludf.DUMMYFUNCTION("""COMPUTED_VALUE"""),"")</f>
        <v/>
      </c>
    </row>
    <row r="2019">
      <c r="A2019" s="17"/>
      <c r="B2019" s="23"/>
      <c r="C2019" s="17">
        <f>IFERROR(__xludf.DUMMYFUNCTION("""COMPUTED_VALUE"""),43533.2619778703)</f>
        <v>43533.26198</v>
      </c>
      <c r="D2019" s="23">
        <f>IFERROR(__xludf.DUMMYFUNCTION("""COMPUTED_VALUE"""),1.049)</f>
        <v>1.049</v>
      </c>
      <c r="E2019" s="24">
        <f>IFERROR(__xludf.DUMMYFUNCTION("""COMPUTED_VALUE"""),66.0)</f>
        <v>66</v>
      </c>
      <c r="F2019" s="27" t="str">
        <f>IFERROR(__xludf.DUMMYFUNCTION("""COMPUTED_VALUE"""),"BLACK")</f>
        <v>BLACK</v>
      </c>
      <c r="G2019" s="28" t="str">
        <f>IFERROR(__xludf.DUMMYFUNCTION("""COMPUTED_VALUE"""),"First Times a Charm Cider")</f>
        <v>First Times a Charm Cider</v>
      </c>
      <c r="H2019" s="27" t="str">
        <f>IFERROR(__xludf.DUMMYFUNCTION("""COMPUTED_VALUE"""),"")</f>
        <v/>
      </c>
    </row>
    <row r="2020">
      <c r="A2020" s="17"/>
      <c r="B2020" s="23"/>
      <c r="C2020" s="17">
        <f>IFERROR(__xludf.DUMMYFUNCTION("""COMPUTED_VALUE"""),43533.2411341782)</f>
        <v>43533.24113</v>
      </c>
      <c r="D2020" s="23">
        <f>IFERROR(__xludf.DUMMYFUNCTION("""COMPUTED_VALUE"""),1.049)</f>
        <v>1.049</v>
      </c>
      <c r="E2020" s="24">
        <f>IFERROR(__xludf.DUMMYFUNCTION("""COMPUTED_VALUE"""),66.0)</f>
        <v>66</v>
      </c>
      <c r="F2020" s="27" t="str">
        <f>IFERROR(__xludf.DUMMYFUNCTION("""COMPUTED_VALUE"""),"BLACK")</f>
        <v>BLACK</v>
      </c>
      <c r="G2020" s="28" t="str">
        <f>IFERROR(__xludf.DUMMYFUNCTION("""COMPUTED_VALUE"""),"First Times a Charm Cider")</f>
        <v>First Times a Charm Cider</v>
      </c>
      <c r="H2020" s="27" t="str">
        <f>IFERROR(__xludf.DUMMYFUNCTION("""COMPUTED_VALUE"""),"")</f>
        <v/>
      </c>
    </row>
    <row r="2021">
      <c r="A2021" s="17"/>
      <c r="B2021" s="23"/>
      <c r="C2021" s="17">
        <f>IFERROR(__xludf.DUMMYFUNCTION("""COMPUTED_VALUE"""),43533.2307127199)</f>
        <v>43533.23071</v>
      </c>
      <c r="D2021" s="23">
        <f>IFERROR(__xludf.DUMMYFUNCTION("""COMPUTED_VALUE"""),1.049)</f>
        <v>1.049</v>
      </c>
      <c r="E2021" s="24">
        <f>IFERROR(__xludf.DUMMYFUNCTION("""COMPUTED_VALUE"""),66.0)</f>
        <v>66</v>
      </c>
      <c r="F2021" s="27" t="str">
        <f>IFERROR(__xludf.DUMMYFUNCTION("""COMPUTED_VALUE"""),"BLACK")</f>
        <v>BLACK</v>
      </c>
      <c r="G2021" s="28" t="str">
        <f>IFERROR(__xludf.DUMMYFUNCTION("""COMPUTED_VALUE"""),"First Times a Charm Cider")</f>
        <v>First Times a Charm Cider</v>
      </c>
      <c r="H2021" s="27" t="str">
        <f>IFERROR(__xludf.DUMMYFUNCTION("""COMPUTED_VALUE"""),"")</f>
        <v/>
      </c>
    </row>
    <row r="2022">
      <c r="A2022" s="17"/>
      <c r="B2022" s="23"/>
      <c r="C2022" s="17">
        <f>IFERROR(__xludf.DUMMYFUNCTION("""COMPUTED_VALUE"""),43533.2202805208)</f>
        <v>43533.22028</v>
      </c>
      <c r="D2022" s="23">
        <f>IFERROR(__xludf.DUMMYFUNCTION("""COMPUTED_VALUE"""),1.049)</f>
        <v>1.049</v>
      </c>
      <c r="E2022" s="24">
        <f>IFERROR(__xludf.DUMMYFUNCTION("""COMPUTED_VALUE"""),66.0)</f>
        <v>66</v>
      </c>
      <c r="F2022" s="27" t="str">
        <f>IFERROR(__xludf.DUMMYFUNCTION("""COMPUTED_VALUE"""),"BLACK")</f>
        <v>BLACK</v>
      </c>
      <c r="G2022" s="28" t="str">
        <f>IFERROR(__xludf.DUMMYFUNCTION("""COMPUTED_VALUE"""),"First Times a Charm Cider")</f>
        <v>First Times a Charm Cider</v>
      </c>
      <c r="H2022" s="27" t="str">
        <f>IFERROR(__xludf.DUMMYFUNCTION("""COMPUTED_VALUE"""),"")</f>
        <v/>
      </c>
    </row>
    <row r="2023">
      <c r="A2023" s="17"/>
      <c r="B2023" s="23"/>
      <c r="C2023" s="17">
        <f>IFERROR(__xludf.DUMMYFUNCTION("""COMPUTED_VALUE"""),43533.2098587384)</f>
        <v>43533.20986</v>
      </c>
      <c r="D2023" s="23">
        <f>IFERROR(__xludf.DUMMYFUNCTION("""COMPUTED_VALUE"""),1.049)</f>
        <v>1.049</v>
      </c>
      <c r="E2023" s="24">
        <f>IFERROR(__xludf.DUMMYFUNCTION("""COMPUTED_VALUE"""),66.0)</f>
        <v>66</v>
      </c>
      <c r="F2023" s="27" t="str">
        <f>IFERROR(__xludf.DUMMYFUNCTION("""COMPUTED_VALUE"""),"BLACK")</f>
        <v>BLACK</v>
      </c>
      <c r="G2023" s="28" t="str">
        <f>IFERROR(__xludf.DUMMYFUNCTION("""COMPUTED_VALUE"""),"First Times a Charm Cider")</f>
        <v>First Times a Charm Cider</v>
      </c>
      <c r="H2023" s="27" t="str">
        <f>IFERROR(__xludf.DUMMYFUNCTION("""COMPUTED_VALUE"""),"")</f>
        <v/>
      </c>
    </row>
    <row r="2024">
      <c r="A2024" s="17"/>
      <c r="B2024" s="23"/>
      <c r="C2024" s="17">
        <f>IFERROR(__xludf.DUMMYFUNCTION("""COMPUTED_VALUE"""),43533.1994359143)</f>
        <v>43533.19944</v>
      </c>
      <c r="D2024" s="23">
        <f>IFERROR(__xludf.DUMMYFUNCTION("""COMPUTED_VALUE"""),1.049)</f>
        <v>1.049</v>
      </c>
      <c r="E2024" s="24">
        <f>IFERROR(__xludf.DUMMYFUNCTION("""COMPUTED_VALUE"""),66.0)</f>
        <v>66</v>
      </c>
      <c r="F2024" s="27" t="str">
        <f>IFERROR(__xludf.DUMMYFUNCTION("""COMPUTED_VALUE"""),"BLACK")</f>
        <v>BLACK</v>
      </c>
      <c r="G2024" s="28" t="str">
        <f>IFERROR(__xludf.DUMMYFUNCTION("""COMPUTED_VALUE"""),"First Times a Charm Cider")</f>
        <v>First Times a Charm Cider</v>
      </c>
      <c r="H2024" s="27" t="str">
        <f>IFERROR(__xludf.DUMMYFUNCTION("""COMPUTED_VALUE"""),"")</f>
        <v/>
      </c>
    </row>
    <row r="2025">
      <c r="A2025" s="17"/>
      <c r="B2025" s="23"/>
      <c r="C2025" s="17">
        <f>IFERROR(__xludf.DUMMYFUNCTION("""COMPUTED_VALUE"""),43533.1890037731)</f>
        <v>43533.189</v>
      </c>
      <c r="D2025" s="23">
        <f>IFERROR(__xludf.DUMMYFUNCTION("""COMPUTED_VALUE"""),1.049)</f>
        <v>1.049</v>
      </c>
      <c r="E2025" s="24">
        <f>IFERROR(__xludf.DUMMYFUNCTION("""COMPUTED_VALUE"""),66.0)</f>
        <v>66</v>
      </c>
      <c r="F2025" s="27" t="str">
        <f>IFERROR(__xludf.DUMMYFUNCTION("""COMPUTED_VALUE"""),"BLACK")</f>
        <v>BLACK</v>
      </c>
      <c r="G2025" s="28" t="str">
        <f>IFERROR(__xludf.DUMMYFUNCTION("""COMPUTED_VALUE"""),"First Times a Charm Cider")</f>
        <v>First Times a Charm Cider</v>
      </c>
      <c r="H2025" s="27" t="str">
        <f>IFERROR(__xludf.DUMMYFUNCTION("""COMPUTED_VALUE"""),"")</f>
        <v/>
      </c>
    </row>
    <row r="2026">
      <c r="A2026" s="17"/>
      <c r="B2026" s="23"/>
      <c r="C2026" s="17">
        <f>IFERROR(__xludf.DUMMYFUNCTION("""COMPUTED_VALUE"""),43533.1785832523)</f>
        <v>43533.17858</v>
      </c>
      <c r="D2026" s="23">
        <f>IFERROR(__xludf.DUMMYFUNCTION("""COMPUTED_VALUE"""),1.049)</f>
        <v>1.049</v>
      </c>
      <c r="E2026" s="24">
        <f>IFERROR(__xludf.DUMMYFUNCTION("""COMPUTED_VALUE"""),66.0)</f>
        <v>66</v>
      </c>
      <c r="F2026" s="27" t="str">
        <f>IFERROR(__xludf.DUMMYFUNCTION("""COMPUTED_VALUE"""),"BLACK")</f>
        <v>BLACK</v>
      </c>
      <c r="G2026" s="28" t="str">
        <f>IFERROR(__xludf.DUMMYFUNCTION("""COMPUTED_VALUE"""),"First Times a Charm Cider")</f>
        <v>First Times a Charm Cider</v>
      </c>
      <c r="H2026" s="27" t="str">
        <f>IFERROR(__xludf.DUMMYFUNCTION("""COMPUTED_VALUE"""),"")</f>
        <v/>
      </c>
    </row>
    <row r="2027">
      <c r="A2027" s="17"/>
      <c r="B2027" s="23"/>
      <c r="C2027" s="17">
        <f>IFERROR(__xludf.DUMMYFUNCTION("""COMPUTED_VALUE"""),43533.1577151967)</f>
        <v>43533.15772</v>
      </c>
      <c r="D2027" s="23">
        <f>IFERROR(__xludf.DUMMYFUNCTION("""COMPUTED_VALUE"""),1.049)</f>
        <v>1.049</v>
      </c>
      <c r="E2027" s="24">
        <f>IFERROR(__xludf.DUMMYFUNCTION("""COMPUTED_VALUE"""),66.0)</f>
        <v>66</v>
      </c>
      <c r="F2027" s="27" t="str">
        <f>IFERROR(__xludf.DUMMYFUNCTION("""COMPUTED_VALUE"""),"BLACK")</f>
        <v>BLACK</v>
      </c>
      <c r="G2027" s="28" t="str">
        <f>IFERROR(__xludf.DUMMYFUNCTION("""COMPUTED_VALUE"""),"First Times a Charm Cider")</f>
        <v>First Times a Charm Cider</v>
      </c>
      <c r="H2027" s="27" t="str">
        <f>IFERROR(__xludf.DUMMYFUNCTION("""COMPUTED_VALUE"""),"")</f>
        <v/>
      </c>
    </row>
    <row r="2028">
      <c r="A2028" s="17"/>
      <c r="B2028" s="23"/>
      <c r="C2028" s="17">
        <f>IFERROR(__xludf.DUMMYFUNCTION("""COMPUTED_VALUE"""),43533.1472820486)</f>
        <v>43533.14728</v>
      </c>
      <c r="D2028" s="23">
        <f>IFERROR(__xludf.DUMMYFUNCTION("""COMPUTED_VALUE"""),1.049)</f>
        <v>1.049</v>
      </c>
      <c r="E2028" s="24">
        <f>IFERROR(__xludf.DUMMYFUNCTION("""COMPUTED_VALUE"""),66.0)</f>
        <v>66</v>
      </c>
      <c r="F2028" s="27" t="str">
        <f>IFERROR(__xludf.DUMMYFUNCTION("""COMPUTED_VALUE"""),"BLACK")</f>
        <v>BLACK</v>
      </c>
      <c r="G2028" s="28" t="str">
        <f>IFERROR(__xludf.DUMMYFUNCTION("""COMPUTED_VALUE"""),"First Times a Charm Cider")</f>
        <v>First Times a Charm Cider</v>
      </c>
      <c r="H2028" s="27" t="str">
        <f>IFERROR(__xludf.DUMMYFUNCTION("""COMPUTED_VALUE"""),"")</f>
        <v/>
      </c>
    </row>
    <row r="2029">
      <c r="A2029" s="17"/>
      <c r="B2029" s="23"/>
      <c r="C2029" s="17">
        <f>IFERROR(__xludf.DUMMYFUNCTION("""COMPUTED_VALUE"""),43533.1368499305)</f>
        <v>43533.13685</v>
      </c>
      <c r="D2029" s="23">
        <f>IFERROR(__xludf.DUMMYFUNCTION("""COMPUTED_VALUE"""),1.049)</f>
        <v>1.049</v>
      </c>
      <c r="E2029" s="24">
        <f>IFERROR(__xludf.DUMMYFUNCTION("""COMPUTED_VALUE"""),66.0)</f>
        <v>66</v>
      </c>
      <c r="F2029" s="27" t="str">
        <f>IFERROR(__xludf.DUMMYFUNCTION("""COMPUTED_VALUE"""),"BLACK")</f>
        <v>BLACK</v>
      </c>
      <c r="G2029" s="28" t="str">
        <f>IFERROR(__xludf.DUMMYFUNCTION("""COMPUTED_VALUE"""),"First Times a Charm Cider")</f>
        <v>First Times a Charm Cider</v>
      </c>
      <c r="H2029" s="27" t="str">
        <f>IFERROR(__xludf.DUMMYFUNCTION("""COMPUTED_VALUE"""),"")</f>
        <v/>
      </c>
    </row>
    <row r="2030">
      <c r="A2030" s="17"/>
      <c r="B2030" s="23"/>
      <c r="C2030" s="17">
        <f>IFERROR(__xludf.DUMMYFUNCTION("""COMPUTED_VALUE"""),43533.1264295717)</f>
        <v>43533.12643</v>
      </c>
      <c r="D2030" s="23">
        <f>IFERROR(__xludf.DUMMYFUNCTION("""COMPUTED_VALUE"""),1.049)</f>
        <v>1.049</v>
      </c>
      <c r="E2030" s="24">
        <f>IFERROR(__xludf.DUMMYFUNCTION("""COMPUTED_VALUE"""),66.0)</f>
        <v>66</v>
      </c>
      <c r="F2030" s="27" t="str">
        <f>IFERROR(__xludf.DUMMYFUNCTION("""COMPUTED_VALUE"""),"BLACK")</f>
        <v>BLACK</v>
      </c>
      <c r="G2030" s="28" t="str">
        <f>IFERROR(__xludf.DUMMYFUNCTION("""COMPUTED_VALUE"""),"First Times a Charm Cider")</f>
        <v>First Times a Charm Cider</v>
      </c>
      <c r="H2030" s="27" t="str">
        <f>IFERROR(__xludf.DUMMYFUNCTION("""COMPUTED_VALUE"""),"")</f>
        <v/>
      </c>
    </row>
    <row r="2031">
      <c r="A2031" s="17"/>
      <c r="B2031" s="23"/>
      <c r="C2031" s="17">
        <f>IFERROR(__xludf.DUMMYFUNCTION("""COMPUTED_VALUE"""),43533.1160086458)</f>
        <v>43533.11601</v>
      </c>
      <c r="D2031" s="23">
        <f>IFERROR(__xludf.DUMMYFUNCTION("""COMPUTED_VALUE"""),1.049)</f>
        <v>1.049</v>
      </c>
      <c r="E2031" s="24">
        <f>IFERROR(__xludf.DUMMYFUNCTION("""COMPUTED_VALUE"""),66.0)</f>
        <v>66</v>
      </c>
      <c r="F2031" s="27" t="str">
        <f>IFERROR(__xludf.DUMMYFUNCTION("""COMPUTED_VALUE"""),"BLACK")</f>
        <v>BLACK</v>
      </c>
      <c r="G2031" s="28" t="str">
        <f>IFERROR(__xludf.DUMMYFUNCTION("""COMPUTED_VALUE"""),"First Times a Charm Cider")</f>
        <v>First Times a Charm Cider</v>
      </c>
      <c r="H2031" s="27" t="str">
        <f>IFERROR(__xludf.DUMMYFUNCTION("""COMPUTED_VALUE"""),"")</f>
        <v/>
      </c>
    </row>
    <row r="2032">
      <c r="A2032" s="17"/>
      <c r="B2032" s="23"/>
      <c r="C2032" s="17">
        <f>IFERROR(__xludf.DUMMYFUNCTION("""COMPUTED_VALUE"""),43533.1055860995)</f>
        <v>43533.10559</v>
      </c>
      <c r="D2032" s="23">
        <f>IFERROR(__xludf.DUMMYFUNCTION("""COMPUTED_VALUE"""),1.049)</f>
        <v>1.049</v>
      </c>
      <c r="E2032" s="24">
        <f>IFERROR(__xludf.DUMMYFUNCTION("""COMPUTED_VALUE"""),66.0)</f>
        <v>66</v>
      </c>
      <c r="F2032" s="27" t="str">
        <f>IFERROR(__xludf.DUMMYFUNCTION("""COMPUTED_VALUE"""),"BLACK")</f>
        <v>BLACK</v>
      </c>
      <c r="G2032" s="28" t="str">
        <f>IFERROR(__xludf.DUMMYFUNCTION("""COMPUTED_VALUE"""),"First Times a Charm Cider")</f>
        <v>First Times a Charm Cider</v>
      </c>
      <c r="H2032" s="27" t="str">
        <f>IFERROR(__xludf.DUMMYFUNCTION("""COMPUTED_VALUE"""),"")</f>
        <v/>
      </c>
    </row>
    <row r="2033">
      <c r="A2033" s="17"/>
      <c r="B2033" s="23"/>
      <c r="C2033" s="17">
        <f>IFERROR(__xludf.DUMMYFUNCTION("""COMPUTED_VALUE"""),43533.0951523379)</f>
        <v>43533.09515</v>
      </c>
      <c r="D2033" s="23">
        <f>IFERROR(__xludf.DUMMYFUNCTION("""COMPUTED_VALUE"""),1.049)</f>
        <v>1.049</v>
      </c>
      <c r="E2033" s="24">
        <f>IFERROR(__xludf.DUMMYFUNCTION("""COMPUTED_VALUE"""),66.0)</f>
        <v>66</v>
      </c>
      <c r="F2033" s="27" t="str">
        <f>IFERROR(__xludf.DUMMYFUNCTION("""COMPUTED_VALUE"""),"BLACK")</f>
        <v>BLACK</v>
      </c>
      <c r="G2033" s="28" t="str">
        <f>IFERROR(__xludf.DUMMYFUNCTION("""COMPUTED_VALUE"""),"First Times a Charm Cider")</f>
        <v>First Times a Charm Cider</v>
      </c>
      <c r="H2033" s="27" t="str">
        <f>IFERROR(__xludf.DUMMYFUNCTION("""COMPUTED_VALUE"""),"")</f>
        <v/>
      </c>
    </row>
    <row r="2034">
      <c r="A2034" s="17"/>
      <c r="B2034" s="23"/>
      <c r="C2034" s="17">
        <f>IFERROR(__xludf.DUMMYFUNCTION("""COMPUTED_VALUE"""),43533.0847328125)</f>
        <v>43533.08473</v>
      </c>
      <c r="D2034" s="23">
        <f>IFERROR(__xludf.DUMMYFUNCTION("""COMPUTED_VALUE"""),1.049)</f>
        <v>1.049</v>
      </c>
      <c r="E2034" s="24">
        <f>IFERROR(__xludf.DUMMYFUNCTION("""COMPUTED_VALUE"""),66.0)</f>
        <v>66</v>
      </c>
      <c r="F2034" s="27" t="str">
        <f>IFERROR(__xludf.DUMMYFUNCTION("""COMPUTED_VALUE"""),"BLACK")</f>
        <v>BLACK</v>
      </c>
      <c r="G2034" s="28" t="str">
        <f>IFERROR(__xludf.DUMMYFUNCTION("""COMPUTED_VALUE"""),"First Times a Charm Cider")</f>
        <v>First Times a Charm Cider</v>
      </c>
      <c r="H2034" s="27" t="str">
        <f>IFERROR(__xludf.DUMMYFUNCTION("""COMPUTED_VALUE"""),"")</f>
        <v/>
      </c>
    </row>
    <row r="2035">
      <c r="A2035" s="17"/>
      <c r="B2035" s="23"/>
      <c r="C2035" s="17">
        <f>IFERROR(__xludf.DUMMYFUNCTION("""COMPUTED_VALUE"""),43533.074312824)</f>
        <v>43533.07431</v>
      </c>
      <c r="D2035" s="23">
        <f>IFERROR(__xludf.DUMMYFUNCTION("""COMPUTED_VALUE"""),1.049)</f>
        <v>1.049</v>
      </c>
      <c r="E2035" s="24">
        <f>IFERROR(__xludf.DUMMYFUNCTION("""COMPUTED_VALUE"""),65.0)</f>
        <v>65</v>
      </c>
      <c r="F2035" s="27" t="str">
        <f>IFERROR(__xludf.DUMMYFUNCTION("""COMPUTED_VALUE"""),"BLACK")</f>
        <v>BLACK</v>
      </c>
      <c r="G2035" s="28" t="str">
        <f>IFERROR(__xludf.DUMMYFUNCTION("""COMPUTED_VALUE"""),"First Times a Charm Cider")</f>
        <v>First Times a Charm Cider</v>
      </c>
      <c r="H2035" s="27" t="str">
        <f>IFERROR(__xludf.DUMMYFUNCTION("""COMPUTED_VALUE"""),"")</f>
        <v/>
      </c>
    </row>
    <row r="2036">
      <c r="A2036" s="17"/>
      <c r="B2036" s="23"/>
      <c r="C2036" s="17">
        <f>IFERROR(__xludf.DUMMYFUNCTION("""COMPUTED_VALUE"""),43533.0638822222)</f>
        <v>43533.06388</v>
      </c>
      <c r="D2036" s="23">
        <f>IFERROR(__xludf.DUMMYFUNCTION("""COMPUTED_VALUE"""),1.049)</f>
        <v>1.049</v>
      </c>
      <c r="E2036" s="24">
        <f>IFERROR(__xludf.DUMMYFUNCTION("""COMPUTED_VALUE"""),65.0)</f>
        <v>65</v>
      </c>
      <c r="F2036" s="27" t="str">
        <f>IFERROR(__xludf.DUMMYFUNCTION("""COMPUTED_VALUE"""),"BLACK")</f>
        <v>BLACK</v>
      </c>
      <c r="G2036" s="28" t="str">
        <f>IFERROR(__xludf.DUMMYFUNCTION("""COMPUTED_VALUE"""),"First Times a Charm Cider")</f>
        <v>First Times a Charm Cider</v>
      </c>
      <c r="H2036" s="27" t="str">
        <f>IFERROR(__xludf.DUMMYFUNCTION("""COMPUTED_VALUE"""),"")</f>
        <v/>
      </c>
    </row>
    <row r="2037">
      <c r="A2037" s="17"/>
      <c r="B2037" s="23"/>
      <c r="C2037" s="17">
        <f>IFERROR(__xludf.DUMMYFUNCTION("""COMPUTED_VALUE"""),43533.0534628703)</f>
        <v>43533.05346</v>
      </c>
      <c r="D2037" s="23">
        <f>IFERROR(__xludf.DUMMYFUNCTION("""COMPUTED_VALUE"""),1.049)</f>
        <v>1.049</v>
      </c>
      <c r="E2037" s="24">
        <f>IFERROR(__xludf.DUMMYFUNCTION("""COMPUTED_VALUE"""),65.0)</f>
        <v>65</v>
      </c>
      <c r="F2037" s="27" t="str">
        <f>IFERROR(__xludf.DUMMYFUNCTION("""COMPUTED_VALUE"""),"BLACK")</f>
        <v>BLACK</v>
      </c>
      <c r="G2037" s="28" t="str">
        <f>IFERROR(__xludf.DUMMYFUNCTION("""COMPUTED_VALUE"""),"First Times a Charm Cider")</f>
        <v>First Times a Charm Cider</v>
      </c>
      <c r="H2037" s="27" t="str">
        <f>IFERROR(__xludf.DUMMYFUNCTION("""COMPUTED_VALUE"""),"")</f>
        <v/>
      </c>
    </row>
    <row r="2038">
      <c r="A2038" s="17"/>
      <c r="B2038" s="23"/>
      <c r="C2038" s="17">
        <f>IFERROR(__xludf.DUMMYFUNCTION("""COMPUTED_VALUE"""),43533.0430402199)</f>
        <v>43533.04304</v>
      </c>
      <c r="D2038" s="23">
        <f>IFERROR(__xludf.DUMMYFUNCTION("""COMPUTED_VALUE"""),1.049)</f>
        <v>1.049</v>
      </c>
      <c r="E2038" s="24">
        <f>IFERROR(__xludf.DUMMYFUNCTION("""COMPUTED_VALUE"""),65.0)</f>
        <v>65</v>
      </c>
      <c r="F2038" s="27" t="str">
        <f>IFERROR(__xludf.DUMMYFUNCTION("""COMPUTED_VALUE"""),"BLACK")</f>
        <v>BLACK</v>
      </c>
      <c r="G2038" s="28" t="str">
        <f>IFERROR(__xludf.DUMMYFUNCTION("""COMPUTED_VALUE"""),"First Times a Charm Cider")</f>
        <v>First Times a Charm Cider</v>
      </c>
      <c r="H2038" s="27" t="str">
        <f>IFERROR(__xludf.DUMMYFUNCTION("""COMPUTED_VALUE"""),"")</f>
        <v/>
      </c>
    </row>
    <row r="2039">
      <c r="A2039" s="17"/>
      <c r="B2039" s="23"/>
      <c r="C2039" s="17">
        <f>IFERROR(__xludf.DUMMYFUNCTION("""COMPUTED_VALUE"""),43533.0326167939)</f>
        <v>43533.03262</v>
      </c>
      <c r="D2039" s="23">
        <f>IFERROR(__xludf.DUMMYFUNCTION("""COMPUTED_VALUE"""),1.049)</f>
        <v>1.049</v>
      </c>
      <c r="E2039" s="24">
        <f>IFERROR(__xludf.DUMMYFUNCTION("""COMPUTED_VALUE"""),65.0)</f>
        <v>65</v>
      </c>
      <c r="F2039" s="27" t="str">
        <f>IFERROR(__xludf.DUMMYFUNCTION("""COMPUTED_VALUE"""),"BLACK")</f>
        <v>BLACK</v>
      </c>
      <c r="G2039" s="28" t="str">
        <f>IFERROR(__xludf.DUMMYFUNCTION("""COMPUTED_VALUE"""),"First Times a Charm Cider")</f>
        <v>First Times a Charm Cider</v>
      </c>
      <c r="H2039" s="27" t="str">
        <f>IFERROR(__xludf.DUMMYFUNCTION("""COMPUTED_VALUE"""),"")</f>
        <v/>
      </c>
    </row>
    <row r="2040">
      <c r="A2040" s="17"/>
      <c r="B2040" s="23"/>
      <c r="C2040" s="17">
        <f>IFERROR(__xludf.DUMMYFUNCTION("""COMPUTED_VALUE"""),43533.0117780439)</f>
        <v>43533.01178</v>
      </c>
      <c r="D2040" s="23">
        <f>IFERROR(__xludf.DUMMYFUNCTION("""COMPUTED_VALUE"""),1.049)</f>
        <v>1.049</v>
      </c>
      <c r="E2040" s="24">
        <f>IFERROR(__xludf.DUMMYFUNCTION("""COMPUTED_VALUE"""),65.0)</f>
        <v>65</v>
      </c>
      <c r="F2040" s="27" t="str">
        <f>IFERROR(__xludf.DUMMYFUNCTION("""COMPUTED_VALUE"""),"BLACK")</f>
        <v>BLACK</v>
      </c>
      <c r="G2040" s="28" t="str">
        <f>IFERROR(__xludf.DUMMYFUNCTION("""COMPUTED_VALUE"""),"First Times a Charm Cider")</f>
        <v>First Times a Charm Cider</v>
      </c>
      <c r="H2040" s="27" t="str">
        <f>IFERROR(__xludf.DUMMYFUNCTION("""COMPUTED_VALUE"""),"")</f>
        <v/>
      </c>
    </row>
    <row r="2041">
      <c r="A2041" s="17"/>
      <c r="B2041" s="23"/>
      <c r="C2041" s="17">
        <f>IFERROR(__xludf.DUMMYFUNCTION("""COMPUTED_VALUE"""),43533.001345162)</f>
        <v>43533.00135</v>
      </c>
      <c r="D2041" s="23">
        <f>IFERROR(__xludf.DUMMYFUNCTION("""COMPUTED_VALUE"""),1.049)</f>
        <v>1.049</v>
      </c>
      <c r="E2041" s="24">
        <f>IFERROR(__xludf.DUMMYFUNCTION("""COMPUTED_VALUE"""),65.0)</f>
        <v>65</v>
      </c>
      <c r="F2041" s="27" t="str">
        <f>IFERROR(__xludf.DUMMYFUNCTION("""COMPUTED_VALUE"""),"BLACK")</f>
        <v>BLACK</v>
      </c>
      <c r="G2041" s="28" t="str">
        <f>IFERROR(__xludf.DUMMYFUNCTION("""COMPUTED_VALUE"""),"First Times a Charm Cider")</f>
        <v>First Times a Charm Cider</v>
      </c>
      <c r="H2041" s="27" t="str">
        <f>IFERROR(__xludf.DUMMYFUNCTION("""COMPUTED_VALUE"""),"")</f>
        <v/>
      </c>
    </row>
    <row r="2042">
      <c r="A2042" s="17"/>
      <c r="B2042" s="23"/>
      <c r="C2042" s="17">
        <f>IFERROR(__xludf.DUMMYFUNCTION("""COMPUTED_VALUE"""),43532.9909245949)</f>
        <v>43532.99092</v>
      </c>
      <c r="D2042" s="23">
        <f>IFERROR(__xludf.DUMMYFUNCTION("""COMPUTED_VALUE"""),1.049)</f>
        <v>1.049</v>
      </c>
      <c r="E2042" s="24">
        <f>IFERROR(__xludf.DUMMYFUNCTION("""COMPUTED_VALUE"""),65.0)</f>
        <v>65</v>
      </c>
      <c r="F2042" s="27" t="str">
        <f>IFERROR(__xludf.DUMMYFUNCTION("""COMPUTED_VALUE"""),"BLACK")</f>
        <v>BLACK</v>
      </c>
      <c r="G2042" s="28" t="str">
        <f>IFERROR(__xludf.DUMMYFUNCTION("""COMPUTED_VALUE"""),"First Times a Charm Cider")</f>
        <v>First Times a Charm Cider</v>
      </c>
      <c r="H2042" s="27" t="str">
        <f>IFERROR(__xludf.DUMMYFUNCTION("""COMPUTED_VALUE"""),"")</f>
        <v/>
      </c>
    </row>
    <row r="2043">
      <c r="A2043" s="17"/>
      <c r="B2043" s="23"/>
      <c r="C2043" s="17">
        <f>IFERROR(__xludf.DUMMYFUNCTION("""COMPUTED_VALUE"""),43532.9387832638)</f>
        <v>43532.93878</v>
      </c>
      <c r="D2043" s="23">
        <f>IFERROR(__xludf.DUMMYFUNCTION("""COMPUTED_VALUE"""),1.049)</f>
        <v>1.049</v>
      </c>
      <c r="E2043" s="24">
        <f>IFERROR(__xludf.DUMMYFUNCTION("""COMPUTED_VALUE"""),65.0)</f>
        <v>65</v>
      </c>
      <c r="F2043" s="27" t="str">
        <f>IFERROR(__xludf.DUMMYFUNCTION("""COMPUTED_VALUE"""),"BLACK")</f>
        <v>BLACK</v>
      </c>
      <c r="G2043" s="28" t="str">
        <f>IFERROR(__xludf.DUMMYFUNCTION("""COMPUTED_VALUE"""),"First Times a Charm Cider")</f>
        <v>First Times a Charm Cider</v>
      </c>
      <c r="H2043" s="27" t="str">
        <f>IFERROR(__xludf.DUMMYFUNCTION("""COMPUTED_VALUE"""),"")</f>
        <v/>
      </c>
    </row>
    <row r="2044">
      <c r="A2044" s="17"/>
      <c r="B2044" s="23"/>
      <c r="C2044" s="17">
        <f>IFERROR(__xludf.DUMMYFUNCTION("""COMPUTED_VALUE"""),43532.9179405555)</f>
        <v>43532.91794</v>
      </c>
      <c r="D2044" s="23">
        <f>IFERROR(__xludf.DUMMYFUNCTION("""COMPUTED_VALUE"""),1.049)</f>
        <v>1.049</v>
      </c>
      <c r="E2044" s="24">
        <f>IFERROR(__xludf.DUMMYFUNCTION("""COMPUTED_VALUE"""),65.0)</f>
        <v>65</v>
      </c>
      <c r="F2044" s="27" t="str">
        <f>IFERROR(__xludf.DUMMYFUNCTION("""COMPUTED_VALUE"""),"BLACK")</f>
        <v>BLACK</v>
      </c>
      <c r="G2044" s="28" t="str">
        <f>IFERROR(__xludf.DUMMYFUNCTION("""COMPUTED_VALUE"""),"First Times a Charm Cider")</f>
        <v>First Times a Charm Cider</v>
      </c>
      <c r="H2044" s="27" t="str">
        <f>IFERROR(__xludf.DUMMYFUNCTION("""COMPUTED_VALUE"""),"")</f>
        <v/>
      </c>
    </row>
    <row r="2045">
      <c r="A2045" s="17"/>
      <c r="B2045" s="23"/>
      <c r="C2045" s="17">
        <f>IFERROR(__xludf.DUMMYFUNCTION("""COMPUTED_VALUE"""),43532.907508912)</f>
        <v>43532.90751</v>
      </c>
      <c r="D2045" s="23">
        <f>IFERROR(__xludf.DUMMYFUNCTION("""COMPUTED_VALUE"""),1.049)</f>
        <v>1.049</v>
      </c>
      <c r="E2045" s="24">
        <f>IFERROR(__xludf.DUMMYFUNCTION("""COMPUTED_VALUE"""),65.0)</f>
        <v>65</v>
      </c>
      <c r="F2045" s="27" t="str">
        <f>IFERROR(__xludf.DUMMYFUNCTION("""COMPUTED_VALUE"""),"BLACK")</f>
        <v>BLACK</v>
      </c>
      <c r="G2045" s="28" t="str">
        <f>IFERROR(__xludf.DUMMYFUNCTION("""COMPUTED_VALUE"""),"First Times a Charm Cider")</f>
        <v>First Times a Charm Cider</v>
      </c>
      <c r="H2045" s="27" t="str">
        <f>IFERROR(__xludf.DUMMYFUNCTION("""COMPUTED_VALUE"""),"")</f>
        <v/>
      </c>
    </row>
    <row r="2046">
      <c r="A2046" s="17"/>
      <c r="B2046" s="23"/>
      <c r="C2046" s="17">
        <f>IFERROR(__xludf.DUMMYFUNCTION("""COMPUTED_VALUE"""),43532.8970762152)</f>
        <v>43532.89708</v>
      </c>
      <c r="D2046" s="23">
        <f>IFERROR(__xludf.DUMMYFUNCTION("""COMPUTED_VALUE"""),1.049)</f>
        <v>1.049</v>
      </c>
      <c r="E2046" s="24">
        <f>IFERROR(__xludf.DUMMYFUNCTION("""COMPUTED_VALUE"""),65.0)</f>
        <v>65</v>
      </c>
      <c r="F2046" s="27" t="str">
        <f>IFERROR(__xludf.DUMMYFUNCTION("""COMPUTED_VALUE"""),"BLACK")</f>
        <v>BLACK</v>
      </c>
      <c r="G2046" s="28" t="str">
        <f>IFERROR(__xludf.DUMMYFUNCTION("""COMPUTED_VALUE"""),"First Times a Charm Cider")</f>
        <v>First Times a Charm Cider</v>
      </c>
      <c r="H2046" s="27" t="str">
        <f>IFERROR(__xludf.DUMMYFUNCTION("""COMPUTED_VALUE"""),"")</f>
        <v/>
      </c>
    </row>
    <row r="2047">
      <c r="A2047" s="17"/>
      <c r="B2047" s="23"/>
      <c r="C2047" s="17">
        <f>IFERROR(__xludf.DUMMYFUNCTION("""COMPUTED_VALUE"""),43532.8866549537)</f>
        <v>43532.88665</v>
      </c>
      <c r="D2047" s="23">
        <f>IFERROR(__xludf.DUMMYFUNCTION("""COMPUTED_VALUE"""),1.049)</f>
        <v>1.049</v>
      </c>
      <c r="E2047" s="24">
        <f>IFERROR(__xludf.DUMMYFUNCTION("""COMPUTED_VALUE"""),64.0)</f>
        <v>64</v>
      </c>
      <c r="F2047" s="27" t="str">
        <f>IFERROR(__xludf.DUMMYFUNCTION("""COMPUTED_VALUE"""),"BLACK")</f>
        <v>BLACK</v>
      </c>
      <c r="G2047" s="28" t="str">
        <f>IFERROR(__xludf.DUMMYFUNCTION("""COMPUTED_VALUE"""),"First Times a Charm Cider")</f>
        <v>First Times a Charm Cider</v>
      </c>
      <c r="H2047" s="27" t="str">
        <f>IFERROR(__xludf.DUMMYFUNCTION("""COMPUTED_VALUE"""),"")</f>
        <v/>
      </c>
    </row>
    <row r="2048">
      <c r="A2048" s="17"/>
      <c r="B2048" s="23"/>
      <c r="C2048" s="17">
        <f>IFERROR(__xludf.DUMMYFUNCTION("""COMPUTED_VALUE"""),43532.8762200462)</f>
        <v>43532.87622</v>
      </c>
      <c r="D2048" s="23">
        <f>IFERROR(__xludf.DUMMYFUNCTION("""COMPUTED_VALUE"""),1.049)</f>
        <v>1.049</v>
      </c>
      <c r="E2048" s="24">
        <f>IFERROR(__xludf.DUMMYFUNCTION("""COMPUTED_VALUE"""),64.0)</f>
        <v>64</v>
      </c>
      <c r="F2048" s="27" t="str">
        <f>IFERROR(__xludf.DUMMYFUNCTION("""COMPUTED_VALUE"""),"BLACK")</f>
        <v>BLACK</v>
      </c>
      <c r="G2048" s="28" t="str">
        <f>IFERROR(__xludf.DUMMYFUNCTION("""COMPUTED_VALUE"""),"First Times a Charm Cider")</f>
        <v>First Times a Charm Cider</v>
      </c>
      <c r="H2048" s="27" t="str">
        <f>IFERROR(__xludf.DUMMYFUNCTION("""COMPUTED_VALUE"""),"")</f>
        <v/>
      </c>
    </row>
    <row r="2049">
      <c r="A2049" s="17"/>
      <c r="B2049" s="23"/>
      <c r="C2049" s="17">
        <f>IFERROR(__xludf.DUMMYFUNCTION("""COMPUTED_VALUE"""),43532.8658000694)</f>
        <v>43532.8658</v>
      </c>
      <c r="D2049" s="23">
        <f>IFERROR(__xludf.DUMMYFUNCTION("""COMPUTED_VALUE"""),1.049)</f>
        <v>1.049</v>
      </c>
      <c r="E2049" s="24">
        <f>IFERROR(__xludf.DUMMYFUNCTION("""COMPUTED_VALUE"""),64.0)</f>
        <v>64</v>
      </c>
      <c r="F2049" s="27" t="str">
        <f>IFERROR(__xludf.DUMMYFUNCTION("""COMPUTED_VALUE"""),"BLACK")</f>
        <v>BLACK</v>
      </c>
      <c r="G2049" s="28" t="str">
        <f>IFERROR(__xludf.DUMMYFUNCTION("""COMPUTED_VALUE"""),"First Times a Charm Cider")</f>
        <v>First Times a Charm Cider</v>
      </c>
      <c r="H2049" s="27" t="str">
        <f>IFERROR(__xludf.DUMMYFUNCTION("""COMPUTED_VALUE"""),"")</f>
        <v/>
      </c>
    </row>
    <row r="2050">
      <c r="A2050" s="17"/>
      <c r="B2050" s="23"/>
      <c r="C2050" s="17">
        <f>IFERROR(__xludf.DUMMYFUNCTION("""COMPUTED_VALUE"""),43532.8553786111)</f>
        <v>43532.85538</v>
      </c>
      <c r="D2050" s="23">
        <f>IFERROR(__xludf.DUMMYFUNCTION("""COMPUTED_VALUE"""),1.05)</f>
        <v>1.05</v>
      </c>
      <c r="E2050" s="24">
        <f>IFERROR(__xludf.DUMMYFUNCTION("""COMPUTED_VALUE"""),65.0)</f>
        <v>65</v>
      </c>
      <c r="F2050" s="27" t="str">
        <f>IFERROR(__xludf.DUMMYFUNCTION("""COMPUTED_VALUE"""),"BLACK")</f>
        <v>BLACK</v>
      </c>
      <c r="G2050" s="28" t="str">
        <f>IFERROR(__xludf.DUMMYFUNCTION("""COMPUTED_VALUE"""),"First Times a Charm Cider")</f>
        <v>First Times a Charm Cider</v>
      </c>
      <c r="H2050" s="27" t="str">
        <f>IFERROR(__xludf.DUMMYFUNCTION("""COMPUTED_VALUE"""),"")</f>
        <v/>
      </c>
    </row>
    <row r="2051">
      <c r="A2051" s="17"/>
      <c r="B2051" s="23"/>
      <c r="C2051" s="17">
        <f>IFERROR(__xludf.DUMMYFUNCTION("""COMPUTED_VALUE"""),43532.844956875)</f>
        <v>43532.84496</v>
      </c>
      <c r="D2051" s="23">
        <f>IFERROR(__xludf.DUMMYFUNCTION("""COMPUTED_VALUE"""),1.049)</f>
        <v>1.049</v>
      </c>
      <c r="E2051" s="24">
        <f>IFERROR(__xludf.DUMMYFUNCTION("""COMPUTED_VALUE"""),64.0)</f>
        <v>64</v>
      </c>
      <c r="F2051" s="27" t="str">
        <f>IFERROR(__xludf.DUMMYFUNCTION("""COMPUTED_VALUE"""),"BLACK")</f>
        <v>BLACK</v>
      </c>
      <c r="G2051" s="28" t="str">
        <f>IFERROR(__xludf.DUMMYFUNCTION("""COMPUTED_VALUE"""),"First Times a Charm Cider")</f>
        <v>First Times a Charm Cider</v>
      </c>
      <c r="H2051" s="27" t="str">
        <f>IFERROR(__xludf.DUMMYFUNCTION("""COMPUTED_VALUE"""),"")</f>
        <v/>
      </c>
    </row>
    <row r="2052">
      <c r="A2052" s="17"/>
      <c r="B2052" s="23"/>
      <c r="C2052" s="17">
        <f>IFERROR(__xludf.DUMMYFUNCTION("""COMPUTED_VALUE"""),43532.8345370023)</f>
        <v>43532.83454</v>
      </c>
      <c r="D2052" s="23">
        <f>IFERROR(__xludf.DUMMYFUNCTION("""COMPUTED_VALUE"""),1.049)</f>
        <v>1.049</v>
      </c>
      <c r="E2052" s="24">
        <f>IFERROR(__xludf.DUMMYFUNCTION("""COMPUTED_VALUE"""),64.0)</f>
        <v>64</v>
      </c>
      <c r="F2052" s="27" t="str">
        <f>IFERROR(__xludf.DUMMYFUNCTION("""COMPUTED_VALUE"""),"BLACK")</f>
        <v>BLACK</v>
      </c>
      <c r="G2052" s="28" t="str">
        <f>IFERROR(__xludf.DUMMYFUNCTION("""COMPUTED_VALUE"""),"First Times a Charm Cider")</f>
        <v>First Times a Charm Cider</v>
      </c>
      <c r="H2052" s="27" t="str">
        <f>IFERROR(__xludf.DUMMYFUNCTION("""COMPUTED_VALUE"""),"")</f>
        <v/>
      </c>
    </row>
    <row r="2053">
      <c r="A2053" s="17"/>
      <c r="B2053" s="23"/>
      <c r="C2053" s="17">
        <f>IFERROR(__xludf.DUMMYFUNCTION("""COMPUTED_VALUE"""),43532.8241156828)</f>
        <v>43532.82412</v>
      </c>
      <c r="D2053" s="23">
        <f>IFERROR(__xludf.DUMMYFUNCTION("""COMPUTED_VALUE"""),1.049)</f>
        <v>1.049</v>
      </c>
      <c r="E2053" s="24">
        <f>IFERROR(__xludf.DUMMYFUNCTION("""COMPUTED_VALUE"""),65.0)</f>
        <v>65</v>
      </c>
      <c r="F2053" s="27" t="str">
        <f>IFERROR(__xludf.DUMMYFUNCTION("""COMPUTED_VALUE"""),"BLACK")</f>
        <v>BLACK</v>
      </c>
      <c r="G2053" s="28" t="str">
        <f>IFERROR(__xludf.DUMMYFUNCTION("""COMPUTED_VALUE"""),"First Times a Charm Cider")</f>
        <v>First Times a Charm Cider</v>
      </c>
      <c r="H2053" s="27" t="str">
        <f>IFERROR(__xludf.DUMMYFUNCTION("""COMPUTED_VALUE"""),"")</f>
        <v/>
      </c>
    </row>
    <row r="2054">
      <c r="A2054" s="17"/>
      <c r="B2054" s="23"/>
      <c r="C2054" s="17">
        <f>IFERROR(__xludf.DUMMYFUNCTION("""COMPUTED_VALUE"""),43532.8136950115)</f>
        <v>43532.8137</v>
      </c>
      <c r="D2054" s="23">
        <f>IFERROR(__xludf.DUMMYFUNCTION("""COMPUTED_VALUE"""),1.049)</f>
        <v>1.049</v>
      </c>
      <c r="E2054" s="24">
        <f>IFERROR(__xludf.DUMMYFUNCTION("""COMPUTED_VALUE"""),65.0)</f>
        <v>65</v>
      </c>
      <c r="F2054" s="27" t="str">
        <f>IFERROR(__xludf.DUMMYFUNCTION("""COMPUTED_VALUE"""),"BLACK")</f>
        <v>BLACK</v>
      </c>
      <c r="G2054" s="28" t="str">
        <f>IFERROR(__xludf.DUMMYFUNCTION("""COMPUTED_VALUE"""),"First Times a Charm Cider")</f>
        <v>First Times a Charm Cider</v>
      </c>
      <c r="H2054" s="27" t="str">
        <f>IFERROR(__xludf.DUMMYFUNCTION("""COMPUTED_VALUE"""),"")</f>
        <v/>
      </c>
    </row>
    <row r="2055">
      <c r="A2055" s="17"/>
      <c r="B2055" s="23"/>
      <c r="C2055" s="17">
        <f>IFERROR(__xludf.DUMMYFUNCTION("""COMPUTED_VALUE"""),43532.7824074999)</f>
        <v>43532.78241</v>
      </c>
      <c r="D2055" s="23">
        <f>IFERROR(__xludf.DUMMYFUNCTION("""COMPUTED_VALUE"""),1.049)</f>
        <v>1.049</v>
      </c>
      <c r="E2055" s="24">
        <f>IFERROR(__xludf.DUMMYFUNCTION("""COMPUTED_VALUE"""),65.0)</f>
        <v>65</v>
      </c>
      <c r="F2055" s="27" t="str">
        <f>IFERROR(__xludf.DUMMYFUNCTION("""COMPUTED_VALUE"""),"BLACK")</f>
        <v>BLACK</v>
      </c>
      <c r="G2055" s="28" t="str">
        <f>IFERROR(__xludf.DUMMYFUNCTION("""COMPUTED_VALUE"""),"First Times a Charm Cider")</f>
        <v>First Times a Charm Cider</v>
      </c>
      <c r="H2055" s="27" t="str">
        <f>IFERROR(__xludf.DUMMYFUNCTION("""COMPUTED_VALUE"""),"")</f>
        <v/>
      </c>
    </row>
    <row r="2056">
      <c r="A2056" s="17"/>
      <c r="B2056" s="23"/>
      <c r="C2056" s="17">
        <f>IFERROR(__xludf.DUMMYFUNCTION("""COMPUTED_VALUE"""),43532.7719871759)</f>
        <v>43532.77199</v>
      </c>
      <c r="D2056" s="23">
        <f>IFERROR(__xludf.DUMMYFUNCTION("""COMPUTED_VALUE"""),1.049)</f>
        <v>1.049</v>
      </c>
      <c r="E2056" s="24">
        <f>IFERROR(__xludf.DUMMYFUNCTION("""COMPUTED_VALUE"""),65.0)</f>
        <v>65</v>
      </c>
      <c r="F2056" s="27" t="str">
        <f>IFERROR(__xludf.DUMMYFUNCTION("""COMPUTED_VALUE"""),"BLACK")</f>
        <v>BLACK</v>
      </c>
      <c r="G2056" s="28" t="str">
        <f>IFERROR(__xludf.DUMMYFUNCTION("""COMPUTED_VALUE"""),"First Times a Charm Cider")</f>
        <v>First Times a Charm Cider</v>
      </c>
      <c r="H2056" s="27" t="str">
        <f>IFERROR(__xludf.DUMMYFUNCTION("""COMPUTED_VALUE"""),"")</f>
        <v/>
      </c>
    </row>
    <row r="2057">
      <c r="A2057" s="17"/>
      <c r="B2057" s="23"/>
      <c r="C2057" s="17">
        <f>IFERROR(__xludf.DUMMYFUNCTION("""COMPUTED_VALUE"""),43532.7615640625)</f>
        <v>43532.76156</v>
      </c>
      <c r="D2057" s="23">
        <f>IFERROR(__xludf.DUMMYFUNCTION("""COMPUTED_VALUE"""),1.049)</f>
        <v>1.049</v>
      </c>
      <c r="E2057" s="24">
        <f>IFERROR(__xludf.DUMMYFUNCTION("""COMPUTED_VALUE"""),65.0)</f>
        <v>65</v>
      </c>
      <c r="F2057" s="27" t="str">
        <f>IFERROR(__xludf.DUMMYFUNCTION("""COMPUTED_VALUE"""),"BLACK")</f>
        <v>BLACK</v>
      </c>
      <c r="G2057" s="28" t="str">
        <f>IFERROR(__xludf.DUMMYFUNCTION("""COMPUTED_VALUE"""),"First Times a Charm Cider")</f>
        <v>First Times a Charm Cider</v>
      </c>
      <c r="H2057" s="27" t="str">
        <f>IFERROR(__xludf.DUMMYFUNCTION("""COMPUTED_VALUE"""),"")</f>
        <v/>
      </c>
    </row>
    <row r="2058">
      <c r="A2058" s="17"/>
      <c r="B2058" s="23"/>
      <c r="C2058" s="17">
        <f>IFERROR(__xludf.DUMMYFUNCTION("""COMPUTED_VALUE"""),43532.7511334953)</f>
        <v>43532.75113</v>
      </c>
      <c r="D2058" s="23">
        <f>IFERROR(__xludf.DUMMYFUNCTION("""COMPUTED_VALUE"""),1.049)</f>
        <v>1.049</v>
      </c>
      <c r="E2058" s="24">
        <f>IFERROR(__xludf.DUMMYFUNCTION("""COMPUTED_VALUE"""),65.0)</f>
        <v>65</v>
      </c>
      <c r="F2058" s="27" t="str">
        <f>IFERROR(__xludf.DUMMYFUNCTION("""COMPUTED_VALUE"""),"BLACK")</f>
        <v>BLACK</v>
      </c>
      <c r="G2058" s="28" t="str">
        <f>IFERROR(__xludf.DUMMYFUNCTION("""COMPUTED_VALUE"""),"First Times a Charm Cider")</f>
        <v>First Times a Charm Cider</v>
      </c>
      <c r="H2058" s="27" t="str">
        <f>IFERROR(__xludf.DUMMYFUNCTION("""COMPUTED_VALUE"""),"")</f>
        <v/>
      </c>
    </row>
    <row r="2059">
      <c r="A2059" s="17"/>
      <c r="B2059" s="23"/>
      <c r="C2059" s="17">
        <f>IFERROR(__xludf.DUMMYFUNCTION("""COMPUTED_VALUE"""),43532.7407123263)</f>
        <v>43532.74071</v>
      </c>
      <c r="D2059" s="23">
        <f>IFERROR(__xludf.DUMMYFUNCTION("""COMPUTED_VALUE"""),1.05)</f>
        <v>1.05</v>
      </c>
      <c r="E2059" s="24">
        <f>IFERROR(__xludf.DUMMYFUNCTION("""COMPUTED_VALUE"""),65.0)</f>
        <v>65</v>
      </c>
      <c r="F2059" s="27" t="str">
        <f>IFERROR(__xludf.DUMMYFUNCTION("""COMPUTED_VALUE"""),"BLACK")</f>
        <v>BLACK</v>
      </c>
      <c r="G2059" s="28" t="str">
        <f>IFERROR(__xludf.DUMMYFUNCTION("""COMPUTED_VALUE"""),"First Times a Charm Cider")</f>
        <v>First Times a Charm Cider</v>
      </c>
      <c r="H2059" s="27" t="str">
        <f>IFERROR(__xludf.DUMMYFUNCTION("""COMPUTED_VALUE"""),"")</f>
        <v/>
      </c>
    </row>
    <row r="2060">
      <c r="A2060" s="17"/>
      <c r="B2060" s="23"/>
      <c r="C2060" s="17">
        <f>IFERROR(__xludf.DUMMYFUNCTION("""COMPUTED_VALUE"""),43532.730279375)</f>
        <v>43532.73028</v>
      </c>
      <c r="D2060" s="23">
        <f>IFERROR(__xludf.DUMMYFUNCTION("""COMPUTED_VALUE"""),1.05)</f>
        <v>1.05</v>
      </c>
      <c r="E2060" s="24">
        <f>IFERROR(__xludf.DUMMYFUNCTION("""COMPUTED_VALUE"""),65.0)</f>
        <v>65</v>
      </c>
      <c r="F2060" s="27" t="str">
        <f>IFERROR(__xludf.DUMMYFUNCTION("""COMPUTED_VALUE"""),"BLACK")</f>
        <v>BLACK</v>
      </c>
      <c r="G2060" s="28" t="str">
        <f>IFERROR(__xludf.DUMMYFUNCTION("""COMPUTED_VALUE"""),"First Times a Charm Cider")</f>
        <v>First Times a Charm Cider</v>
      </c>
      <c r="H2060" s="27" t="str">
        <f>IFERROR(__xludf.DUMMYFUNCTION("""COMPUTED_VALUE"""),"")</f>
        <v/>
      </c>
    </row>
    <row r="2061">
      <c r="A2061" s="17"/>
      <c r="B2061" s="23"/>
      <c r="C2061" s="17">
        <f>IFERROR(__xludf.DUMMYFUNCTION("""COMPUTED_VALUE"""),43532.7094409722)</f>
        <v>43532.70944</v>
      </c>
      <c r="D2061" s="23">
        <f>IFERROR(__xludf.DUMMYFUNCTION("""COMPUTED_VALUE"""),1.05)</f>
        <v>1.05</v>
      </c>
      <c r="E2061" s="24">
        <f>IFERROR(__xludf.DUMMYFUNCTION("""COMPUTED_VALUE"""),65.0)</f>
        <v>65</v>
      </c>
      <c r="F2061" s="27" t="str">
        <f>IFERROR(__xludf.DUMMYFUNCTION("""COMPUTED_VALUE"""),"BLACK")</f>
        <v>BLACK</v>
      </c>
      <c r="G2061" s="28" t="str">
        <f>IFERROR(__xludf.DUMMYFUNCTION("""COMPUTED_VALUE"""),"First Times a Charm Cider")</f>
        <v>First Times a Charm Cider</v>
      </c>
      <c r="H2061" s="27" t="str">
        <f>IFERROR(__xludf.DUMMYFUNCTION("""COMPUTED_VALUE"""),"")</f>
        <v/>
      </c>
    </row>
    <row r="2062">
      <c r="A2062" s="17"/>
      <c r="B2062" s="23"/>
      <c r="C2062" s="17">
        <f>IFERROR(__xludf.DUMMYFUNCTION("""COMPUTED_VALUE"""),43532.6990203819)</f>
        <v>43532.69902</v>
      </c>
      <c r="D2062" s="23">
        <f>IFERROR(__xludf.DUMMYFUNCTION("""COMPUTED_VALUE"""),1.049)</f>
        <v>1.049</v>
      </c>
      <c r="E2062" s="24">
        <f>IFERROR(__xludf.DUMMYFUNCTION("""COMPUTED_VALUE"""),65.0)</f>
        <v>65</v>
      </c>
      <c r="F2062" s="27" t="str">
        <f>IFERROR(__xludf.DUMMYFUNCTION("""COMPUTED_VALUE"""),"BLACK")</f>
        <v>BLACK</v>
      </c>
      <c r="G2062" s="28" t="str">
        <f>IFERROR(__xludf.DUMMYFUNCTION("""COMPUTED_VALUE"""),"First Times a Charm Cider")</f>
        <v>First Times a Charm Cider</v>
      </c>
      <c r="H2062" s="27" t="str">
        <f>IFERROR(__xludf.DUMMYFUNCTION("""COMPUTED_VALUE"""),"")</f>
        <v/>
      </c>
    </row>
    <row r="2063">
      <c r="A2063" s="17"/>
      <c r="B2063" s="23"/>
      <c r="C2063" s="17">
        <f>IFERROR(__xludf.DUMMYFUNCTION("""COMPUTED_VALUE"""),43532.688599537)</f>
        <v>43532.6886</v>
      </c>
      <c r="D2063" s="23">
        <f>IFERROR(__xludf.DUMMYFUNCTION("""COMPUTED_VALUE"""),1.049)</f>
        <v>1.049</v>
      </c>
      <c r="E2063" s="24">
        <f>IFERROR(__xludf.DUMMYFUNCTION("""COMPUTED_VALUE"""),65.0)</f>
        <v>65</v>
      </c>
      <c r="F2063" s="27" t="str">
        <f>IFERROR(__xludf.DUMMYFUNCTION("""COMPUTED_VALUE"""),"BLACK")</f>
        <v>BLACK</v>
      </c>
      <c r="G2063" s="28" t="str">
        <f>IFERROR(__xludf.DUMMYFUNCTION("""COMPUTED_VALUE"""),"First Times a Charm Cider")</f>
        <v>First Times a Charm Cider</v>
      </c>
      <c r="H2063" s="27" t="str">
        <f>IFERROR(__xludf.DUMMYFUNCTION("""COMPUTED_VALUE"""),"")</f>
        <v/>
      </c>
    </row>
    <row r="2064">
      <c r="A2064" s="17"/>
      <c r="B2064" s="23"/>
      <c r="C2064" s="17">
        <f>IFERROR(__xludf.DUMMYFUNCTION("""COMPUTED_VALUE"""),43532.6781773495)</f>
        <v>43532.67818</v>
      </c>
      <c r="D2064" s="23">
        <f>IFERROR(__xludf.DUMMYFUNCTION("""COMPUTED_VALUE"""),1.049)</f>
        <v>1.049</v>
      </c>
      <c r="E2064" s="24">
        <f>IFERROR(__xludf.DUMMYFUNCTION("""COMPUTED_VALUE"""),65.0)</f>
        <v>65</v>
      </c>
      <c r="F2064" s="27" t="str">
        <f>IFERROR(__xludf.DUMMYFUNCTION("""COMPUTED_VALUE"""),"BLACK")</f>
        <v>BLACK</v>
      </c>
      <c r="G2064" s="28" t="str">
        <f>IFERROR(__xludf.DUMMYFUNCTION("""COMPUTED_VALUE"""),"First Times a Charm Cider")</f>
        <v>First Times a Charm Cider</v>
      </c>
      <c r="H2064" s="27" t="str">
        <f>IFERROR(__xludf.DUMMYFUNCTION("""COMPUTED_VALUE"""),"")</f>
        <v/>
      </c>
    </row>
    <row r="2065">
      <c r="A2065" s="17"/>
      <c r="B2065" s="23"/>
      <c r="C2065" s="17">
        <f>IFERROR(__xludf.DUMMYFUNCTION("""COMPUTED_VALUE"""),43532.667744456)</f>
        <v>43532.66774</v>
      </c>
      <c r="D2065" s="23">
        <f>IFERROR(__xludf.DUMMYFUNCTION("""COMPUTED_VALUE"""),1.05)</f>
        <v>1.05</v>
      </c>
      <c r="E2065" s="24">
        <f>IFERROR(__xludf.DUMMYFUNCTION("""COMPUTED_VALUE"""),65.0)</f>
        <v>65</v>
      </c>
      <c r="F2065" s="27" t="str">
        <f>IFERROR(__xludf.DUMMYFUNCTION("""COMPUTED_VALUE"""),"BLACK")</f>
        <v>BLACK</v>
      </c>
      <c r="G2065" s="28" t="str">
        <f>IFERROR(__xludf.DUMMYFUNCTION("""COMPUTED_VALUE"""),"First Times a Charm Cider")</f>
        <v>First Times a Charm Cider</v>
      </c>
      <c r="H2065" s="27" t="str">
        <f>IFERROR(__xludf.DUMMYFUNCTION("""COMPUTED_VALUE"""),"")</f>
        <v/>
      </c>
    </row>
    <row r="2066">
      <c r="A2066" s="17"/>
      <c r="B2066" s="23"/>
      <c r="C2066" s="17">
        <f>IFERROR(__xludf.DUMMYFUNCTION("""COMPUTED_VALUE"""),43532.6573239814)</f>
        <v>43532.65732</v>
      </c>
      <c r="D2066" s="23">
        <f>IFERROR(__xludf.DUMMYFUNCTION("""COMPUTED_VALUE"""),1.05)</f>
        <v>1.05</v>
      </c>
      <c r="E2066" s="24">
        <f>IFERROR(__xludf.DUMMYFUNCTION("""COMPUTED_VALUE"""),65.0)</f>
        <v>65</v>
      </c>
      <c r="F2066" s="27" t="str">
        <f>IFERROR(__xludf.DUMMYFUNCTION("""COMPUTED_VALUE"""),"BLACK")</f>
        <v>BLACK</v>
      </c>
      <c r="G2066" s="28" t="str">
        <f>IFERROR(__xludf.DUMMYFUNCTION("""COMPUTED_VALUE"""),"First Times a Charm Cider")</f>
        <v>First Times a Charm Cider</v>
      </c>
      <c r="H2066" s="27" t="str">
        <f>IFERROR(__xludf.DUMMYFUNCTION("""COMPUTED_VALUE"""),"")</f>
        <v/>
      </c>
    </row>
    <row r="2067">
      <c r="A2067" s="17"/>
      <c r="B2067" s="23"/>
      <c r="C2067" s="17">
        <f>IFERROR(__xludf.DUMMYFUNCTION("""COMPUTED_VALUE"""),43532.6469013194)</f>
        <v>43532.6469</v>
      </c>
      <c r="D2067" s="23">
        <f>IFERROR(__xludf.DUMMYFUNCTION("""COMPUTED_VALUE"""),1.05)</f>
        <v>1.05</v>
      </c>
      <c r="E2067" s="24">
        <f>IFERROR(__xludf.DUMMYFUNCTION("""COMPUTED_VALUE"""),65.0)</f>
        <v>65</v>
      </c>
      <c r="F2067" s="27" t="str">
        <f>IFERROR(__xludf.DUMMYFUNCTION("""COMPUTED_VALUE"""),"BLACK")</f>
        <v>BLACK</v>
      </c>
      <c r="G2067" s="28" t="str">
        <f>IFERROR(__xludf.DUMMYFUNCTION("""COMPUTED_VALUE"""),"First Times a Charm Cider")</f>
        <v>First Times a Charm Cider</v>
      </c>
      <c r="H2067" s="27" t="str">
        <f>IFERROR(__xludf.DUMMYFUNCTION("""COMPUTED_VALUE"""),"")</f>
        <v/>
      </c>
    </row>
    <row r="2068">
      <c r="A2068" s="17"/>
      <c r="B2068" s="23"/>
      <c r="C2068" s="17">
        <f>IFERROR(__xludf.DUMMYFUNCTION("""COMPUTED_VALUE"""),43532.6364682175)</f>
        <v>43532.63647</v>
      </c>
      <c r="D2068" s="23">
        <f>IFERROR(__xludf.DUMMYFUNCTION("""COMPUTED_VALUE"""),1.05)</f>
        <v>1.05</v>
      </c>
      <c r="E2068" s="24">
        <f>IFERROR(__xludf.DUMMYFUNCTION("""COMPUTED_VALUE"""),65.0)</f>
        <v>65</v>
      </c>
      <c r="F2068" s="27" t="str">
        <f>IFERROR(__xludf.DUMMYFUNCTION("""COMPUTED_VALUE"""),"BLACK")</f>
        <v>BLACK</v>
      </c>
      <c r="G2068" s="28" t="str">
        <f>IFERROR(__xludf.DUMMYFUNCTION("""COMPUTED_VALUE"""),"First Times a Charm Cider")</f>
        <v>First Times a Charm Cider</v>
      </c>
      <c r="H2068" s="27" t="str">
        <f>IFERROR(__xludf.DUMMYFUNCTION("""COMPUTED_VALUE"""),"")</f>
        <v/>
      </c>
    </row>
    <row r="2069">
      <c r="A2069" s="17"/>
      <c r="B2069" s="23"/>
      <c r="C2069" s="17">
        <f>IFERROR(__xludf.DUMMYFUNCTION("""COMPUTED_VALUE"""),43532.6260473379)</f>
        <v>43532.62605</v>
      </c>
      <c r="D2069" s="23">
        <f>IFERROR(__xludf.DUMMYFUNCTION("""COMPUTED_VALUE"""),1.05)</f>
        <v>1.05</v>
      </c>
      <c r="E2069" s="24">
        <f>IFERROR(__xludf.DUMMYFUNCTION("""COMPUTED_VALUE"""),65.0)</f>
        <v>65</v>
      </c>
      <c r="F2069" s="27" t="str">
        <f>IFERROR(__xludf.DUMMYFUNCTION("""COMPUTED_VALUE"""),"BLACK")</f>
        <v>BLACK</v>
      </c>
      <c r="G2069" s="28" t="str">
        <f>IFERROR(__xludf.DUMMYFUNCTION("""COMPUTED_VALUE"""),"First Times a Charm Cider")</f>
        <v>First Times a Charm Cider</v>
      </c>
      <c r="H2069" s="27" t="str">
        <f>IFERROR(__xludf.DUMMYFUNCTION("""COMPUTED_VALUE"""),"")</f>
        <v/>
      </c>
    </row>
    <row r="2070">
      <c r="A2070" s="17"/>
      <c r="B2070" s="23"/>
      <c r="C2070" s="17">
        <f>IFERROR(__xludf.DUMMYFUNCTION("""COMPUTED_VALUE"""),43532.6156252314)</f>
        <v>43532.61563</v>
      </c>
      <c r="D2070" s="23">
        <f>IFERROR(__xludf.DUMMYFUNCTION("""COMPUTED_VALUE"""),1.05)</f>
        <v>1.05</v>
      </c>
      <c r="E2070" s="24">
        <f>IFERROR(__xludf.DUMMYFUNCTION("""COMPUTED_VALUE"""),65.0)</f>
        <v>65</v>
      </c>
      <c r="F2070" s="27" t="str">
        <f>IFERROR(__xludf.DUMMYFUNCTION("""COMPUTED_VALUE"""),"BLACK")</f>
        <v>BLACK</v>
      </c>
      <c r="G2070" s="28" t="str">
        <f>IFERROR(__xludf.DUMMYFUNCTION("""COMPUTED_VALUE"""),"First Times a Charm Cider")</f>
        <v>First Times a Charm Cider</v>
      </c>
      <c r="H2070" s="27" t="str">
        <f>IFERROR(__xludf.DUMMYFUNCTION("""COMPUTED_VALUE"""),"")</f>
        <v/>
      </c>
    </row>
    <row r="2071">
      <c r="A2071" s="17"/>
      <c r="B2071" s="23"/>
      <c r="C2071" s="17">
        <f>IFERROR(__xludf.DUMMYFUNCTION("""COMPUTED_VALUE"""),43532.6052036226)</f>
        <v>43532.6052</v>
      </c>
      <c r="D2071" s="23">
        <f>IFERROR(__xludf.DUMMYFUNCTION("""COMPUTED_VALUE"""),1.05)</f>
        <v>1.05</v>
      </c>
      <c r="E2071" s="24">
        <f>IFERROR(__xludf.DUMMYFUNCTION("""COMPUTED_VALUE"""),65.0)</f>
        <v>65</v>
      </c>
      <c r="F2071" s="27" t="str">
        <f>IFERROR(__xludf.DUMMYFUNCTION("""COMPUTED_VALUE"""),"BLACK")</f>
        <v>BLACK</v>
      </c>
      <c r="G2071" s="28" t="str">
        <f>IFERROR(__xludf.DUMMYFUNCTION("""COMPUTED_VALUE"""),"First Times a Charm Cider")</f>
        <v>First Times a Charm Cider</v>
      </c>
      <c r="H2071" s="27" t="str">
        <f>IFERROR(__xludf.DUMMYFUNCTION("""COMPUTED_VALUE"""),"")</f>
        <v/>
      </c>
    </row>
    <row r="2072">
      <c r="A2072" s="17"/>
      <c r="B2072" s="23"/>
      <c r="C2072" s="17">
        <f>IFERROR(__xludf.DUMMYFUNCTION("""COMPUTED_VALUE"""),43532.5843501388)</f>
        <v>43532.58435</v>
      </c>
      <c r="D2072" s="23">
        <f>IFERROR(__xludf.DUMMYFUNCTION("""COMPUTED_VALUE"""),1.05)</f>
        <v>1.05</v>
      </c>
      <c r="E2072" s="24">
        <f>IFERROR(__xludf.DUMMYFUNCTION("""COMPUTED_VALUE"""),65.0)</f>
        <v>65</v>
      </c>
      <c r="F2072" s="27" t="str">
        <f>IFERROR(__xludf.DUMMYFUNCTION("""COMPUTED_VALUE"""),"BLACK")</f>
        <v>BLACK</v>
      </c>
      <c r="G2072" s="28" t="str">
        <f>IFERROR(__xludf.DUMMYFUNCTION("""COMPUTED_VALUE"""),"First Times a Charm Cider")</f>
        <v>First Times a Charm Cider</v>
      </c>
      <c r="H2072" s="27" t="str">
        <f>IFERROR(__xludf.DUMMYFUNCTION("""COMPUTED_VALUE"""),"")</f>
        <v/>
      </c>
    </row>
    <row r="2073">
      <c r="A2073" s="17"/>
      <c r="B2073" s="23"/>
      <c r="C2073" s="17">
        <f>IFERROR(__xludf.DUMMYFUNCTION("""COMPUTED_VALUE"""),43532.5739289583)</f>
        <v>43532.57393</v>
      </c>
      <c r="D2073" s="23">
        <f>IFERROR(__xludf.DUMMYFUNCTION("""COMPUTED_VALUE"""),1.05)</f>
        <v>1.05</v>
      </c>
      <c r="E2073" s="24">
        <f>IFERROR(__xludf.DUMMYFUNCTION("""COMPUTED_VALUE"""),65.0)</f>
        <v>65</v>
      </c>
      <c r="F2073" s="27" t="str">
        <f>IFERROR(__xludf.DUMMYFUNCTION("""COMPUTED_VALUE"""),"BLACK")</f>
        <v>BLACK</v>
      </c>
      <c r="G2073" s="28" t="str">
        <f>IFERROR(__xludf.DUMMYFUNCTION("""COMPUTED_VALUE"""),"First Times a Charm Cider")</f>
        <v>First Times a Charm Cider</v>
      </c>
      <c r="H2073" s="27" t="str">
        <f>IFERROR(__xludf.DUMMYFUNCTION("""COMPUTED_VALUE"""),"")</f>
        <v/>
      </c>
    </row>
    <row r="2074">
      <c r="A2074" s="17"/>
      <c r="B2074" s="23"/>
      <c r="C2074" s="17">
        <f>IFERROR(__xludf.DUMMYFUNCTION("""COMPUTED_VALUE"""),43532.5635075)</f>
        <v>43532.56351</v>
      </c>
      <c r="D2074" s="23">
        <f>IFERROR(__xludf.DUMMYFUNCTION("""COMPUTED_VALUE"""),1.05)</f>
        <v>1.05</v>
      </c>
      <c r="E2074" s="24">
        <f>IFERROR(__xludf.DUMMYFUNCTION("""COMPUTED_VALUE"""),65.0)</f>
        <v>65</v>
      </c>
      <c r="F2074" s="27" t="str">
        <f>IFERROR(__xludf.DUMMYFUNCTION("""COMPUTED_VALUE"""),"BLACK")</f>
        <v>BLACK</v>
      </c>
      <c r="G2074" s="28" t="str">
        <f>IFERROR(__xludf.DUMMYFUNCTION("""COMPUTED_VALUE"""),"First Times a Charm Cider")</f>
        <v>First Times a Charm Cider</v>
      </c>
      <c r="H2074" s="27" t="str">
        <f>IFERROR(__xludf.DUMMYFUNCTION("""COMPUTED_VALUE"""),"")</f>
        <v/>
      </c>
    </row>
    <row r="2075">
      <c r="A2075" s="17"/>
      <c r="B2075" s="23"/>
      <c r="C2075" s="17">
        <f>IFERROR(__xludf.DUMMYFUNCTION("""COMPUTED_VALUE"""),43532.5426516087)</f>
        <v>43532.54265</v>
      </c>
      <c r="D2075" s="23">
        <f>IFERROR(__xludf.DUMMYFUNCTION("""COMPUTED_VALUE"""),1.05)</f>
        <v>1.05</v>
      </c>
      <c r="E2075" s="24">
        <f>IFERROR(__xludf.DUMMYFUNCTION("""COMPUTED_VALUE"""),65.0)</f>
        <v>65</v>
      </c>
      <c r="F2075" s="27" t="str">
        <f>IFERROR(__xludf.DUMMYFUNCTION("""COMPUTED_VALUE"""),"BLACK")</f>
        <v>BLACK</v>
      </c>
      <c r="G2075" s="28" t="str">
        <f>IFERROR(__xludf.DUMMYFUNCTION("""COMPUTED_VALUE"""),"First Times a Charm Cider")</f>
        <v>First Times a Charm Cider</v>
      </c>
      <c r="H2075" s="27" t="str">
        <f>IFERROR(__xludf.DUMMYFUNCTION("""COMPUTED_VALUE"""),"")</f>
        <v/>
      </c>
    </row>
    <row r="2076">
      <c r="A2076" s="17"/>
      <c r="B2076" s="23"/>
      <c r="C2076" s="17">
        <f>IFERROR(__xludf.DUMMYFUNCTION("""COMPUTED_VALUE"""),43532.5322305902)</f>
        <v>43532.53223</v>
      </c>
      <c r="D2076" s="23">
        <f>IFERROR(__xludf.DUMMYFUNCTION("""COMPUTED_VALUE"""),1.05)</f>
        <v>1.05</v>
      </c>
      <c r="E2076" s="24">
        <f>IFERROR(__xludf.DUMMYFUNCTION("""COMPUTED_VALUE"""),65.0)</f>
        <v>65</v>
      </c>
      <c r="F2076" s="27" t="str">
        <f>IFERROR(__xludf.DUMMYFUNCTION("""COMPUTED_VALUE"""),"BLACK")</f>
        <v>BLACK</v>
      </c>
      <c r="G2076" s="28" t="str">
        <f>IFERROR(__xludf.DUMMYFUNCTION("""COMPUTED_VALUE"""),"First Times a Charm Cider")</f>
        <v>First Times a Charm Cider</v>
      </c>
      <c r="H2076" s="27" t="str">
        <f>IFERROR(__xludf.DUMMYFUNCTION("""COMPUTED_VALUE"""),"")</f>
        <v/>
      </c>
    </row>
    <row r="2077">
      <c r="A2077" s="17"/>
      <c r="B2077" s="23"/>
      <c r="C2077" s="17">
        <f>IFERROR(__xludf.DUMMYFUNCTION("""COMPUTED_VALUE"""),43532.5218099421)</f>
        <v>43532.52181</v>
      </c>
      <c r="D2077" s="23">
        <f>IFERROR(__xludf.DUMMYFUNCTION("""COMPUTED_VALUE"""),1.05)</f>
        <v>1.05</v>
      </c>
      <c r="E2077" s="24">
        <f>IFERROR(__xludf.DUMMYFUNCTION("""COMPUTED_VALUE"""),65.0)</f>
        <v>65</v>
      </c>
      <c r="F2077" s="27" t="str">
        <f>IFERROR(__xludf.DUMMYFUNCTION("""COMPUTED_VALUE"""),"BLACK")</f>
        <v>BLACK</v>
      </c>
      <c r="G2077" s="28" t="str">
        <f>IFERROR(__xludf.DUMMYFUNCTION("""COMPUTED_VALUE"""),"First Times a Charm Cider")</f>
        <v>First Times a Charm Cider</v>
      </c>
      <c r="H2077" s="27" t="str">
        <f>IFERROR(__xludf.DUMMYFUNCTION("""COMPUTED_VALUE"""),"")</f>
        <v/>
      </c>
    </row>
    <row r="2078">
      <c r="A2078" s="17"/>
      <c r="B2078" s="23"/>
      <c r="C2078" s="17">
        <f>IFERROR(__xludf.DUMMYFUNCTION("""COMPUTED_VALUE"""),43532.5113880555)</f>
        <v>43532.51139</v>
      </c>
      <c r="D2078" s="23">
        <f>IFERROR(__xludf.DUMMYFUNCTION("""COMPUTED_VALUE"""),1.05)</f>
        <v>1.05</v>
      </c>
      <c r="E2078" s="24">
        <f>IFERROR(__xludf.DUMMYFUNCTION("""COMPUTED_VALUE"""),65.0)</f>
        <v>65</v>
      </c>
      <c r="F2078" s="27" t="str">
        <f>IFERROR(__xludf.DUMMYFUNCTION("""COMPUTED_VALUE"""),"BLACK")</f>
        <v>BLACK</v>
      </c>
      <c r="G2078" s="28" t="str">
        <f>IFERROR(__xludf.DUMMYFUNCTION("""COMPUTED_VALUE"""),"First Times a Charm Cider")</f>
        <v>First Times a Charm Cider</v>
      </c>
      <c r="H2078" s="27" t="str">
        <f>IFERROR(__xludf.DUMMYFUNCTION("""COMPUTED_VALUE"""),"")</f>
        <v/>
      </c>
    </row>
    <row r="2079">
      <c r="A2079" s="17"/>
      <c r="B2079" s="23"/>
      <c r="C2079" s="17">
        <f>IFERROR(__xludf.DUMMYFUNCTION("""COMPUTED_VALUE"""),43532.5009668865)</f>
        <v>43532.50097</v>
      </c>
      <c r="D2079" s="23">
        <f>IFERROR(__xludf.DUMMYFUNCTION("""COMPUTED_VALUE"""),1.05)</f>
        <v>1.05</v>
      </c>
      <c r="E2079" s="24">
        <f>IFERROR(__xludf.DUMMYFUNCTION("""COMPUTED_VALUE"""),65.0)</f>
        <v>65</v>
      </c>
      <c r="F2079" s="27" t="str">
        <f>IFERROR(__xludf.DUMMYFUNCTION("""COMPUTED_VALUE"""),"BLACK")</f>
        <v>BLACK</v>
      </c>
      <c r="G2079" s="28" t="str">
        <f>IFERROR(__xludf.DUMMYFUNCTION("""COMPUTED_VALUE"""),"First Times a Charm Cider")</f>
        <v>First Times a Charm Cider</v>
      </c>
      <c r="H2079" s="27" t="str">
        <f>IFERROR(__xludf.DUMMYFUNCTION("""COMPUTED_VALUE"""),"")</f>
        <v/>
      </c>
    </row>
    <row r="2080">
      <c r="A2080" s="17"/>
      <c r="B2080" s="23"/>
      <c r="C2080" s="17">
        <f>IFERROR(__xludf.DUMMYFUNCTION("""COMPUTED_VALUE"""),43532.4905233217)</f>
        <v>43532.49052</v>
      </c>
      <c r="D2080" s="23">
        <f>IFERROR(__xludf.DUMMYFUNCTION("""COMPUTED_VALUE"""),1.05)</f>
        <v>1.05</v>
      </c>
      <c r="E2080" s="24">
        <f>IFERROR(__xludf.DUMMYFUNCTION("""COMPUTED_VALUE"""),65.0)</f>
        <v>65</v>
      </c>
      <c r="F2080" s="27" t="str">
        <f>IFERROR(__xludf.DUMMYFUNCTION("""COMPUTED_VALUE"""),"BLACK")</f>
        <v>BLACK</v>
      </c>
      <c r="G2080" s="28" t="str">
        <f>IFERROR(__xludf.DUMMYFUNCTION("""COMPUTED_VALUE"""),"First Times a Charm Cider")</f>
        <v>First Times a Charm Cider</v>
      </c>
      <c r="H2080" s="27" t="str">
        <f>IFERROR(__xludf.DUMMYFUNCTION("""COMPUTED_VALUE"""),"")</f>
        <v/>
      </c>
    </row>
    <row r="2081">
      <c r="A2081" s="17"/>
      <c r="B2081" s="23"/>
      <c r="C2081" s="17">
        <f>IFERROR(__xludf.DUMMYFUNCTION("""COMPUTED_VALUE"""),43532.4801039467)</f>
        <v>43532.4801</v>
      </c>
      <c r="D2081" s="23">
        <f>IFERROR(__xludf.DUMMYFUNCTION("""COMPUTED_VALUE"""),1.05)</f>
        <v>1.05</v>
      </c>
      <c r="E2081" s="24">
        <f>IFERROR(__xludf.DUMMYFUNCTION("""COMPUTED_VALUE"""),65.0)</f>
        <v>65</v>
      </c>
      <c r="F2081" s="27" t="str">
        <f>IFERROR(__xludf.DUMMYFUNCTION("""COMPUTED_VALUE"""),"BLACK")</f>
        <v>BLACK</v>
      </c>
      <c r="G2081" s="28" t="str">
        <f>IFERROR(__xludf.DUMMYFUNCTION("""COMPUTED_VALUE"""),"First Times a Charm Cider")</f>
        <v>First Times a Charm Cider</v>
      </c>
      <c r="H2081" s="27" t="str">
        <f>IFERROR(__xludf.DUMMYFUNCTION("""COMPUTED_VALUE"""),"")</f>
        <v/>
      </c>
    </row>
    <row r="2082">
      <c r="A2082" s="17"/>
      <c r="B2082" s="23"/>
      <c r="C2082" s="17">
        <f>IFERROR(__xludf.DUMMYFUNCTION("""COMPUTED_VALUE"""),43532.4696827546)</f>
        <v>43532.46968</v>
      </c>
      <c r="D2082" s="23">
        <f>IFERROR(__xludf.DUMMYFUNCTION("""COMPUTED_VALUE"""),1.05)</f>
        <v>1.05</v>
      </c>
      <c r="E2082" s="24">
        <f>IFERROR(__xludf.DUMMYFUNCTION("""COMPUTED_VALUE"""),64.0)</f>
        <v>64</v>
      </c>
      <c r="F2082" s="27" t="str">
        <f>IFERROR(__xludf.DUMMYFUNCTION("""COMPUTED_VALUE"""),"BLACK")</f>
        <v>BLACK</v>
      </c>
      <c r="G2082" s="28" t="str">
        <f>IFERROR(__xludf.DUMMYFUNCTION("""COMPUTED_VALUE"""),"First Times a Charm Cider")</f>
        <v>First Times a Charm Cider</v>
      </c>
      <c r="H2082" s="27" t="str">
        <f>IFERROR(__xludf.DUMMYFUNCTION("""COMPUTED_VALUE"""),"")</f>
        <v/>
      </c>
    </row>
    <row r="2083">
      <c r="A2083" s="17"/>
      <c r="B2083" s="23"/>
      <c r="C2083" s="17">
        <f>IFERROR(__xludf.DUMMYFUNCTION("""COMPUTED_VALUE"""),43532.4592503009)</f>
        <v>43532.45925</v>
      </c>
      <c r="D2083" s="23">
        <f>IFERROR(__xludf.DUMMYFUNCTION("""COMPUTED_VALUE"""),1.05)</f>
        <v>1.05</v>
      </c>
      <c r="E2083" s="24">
        <f>IFERROR(__xludf.DUMMYFUNCTION("""COMPUTED_VALUE"""),65.0)</f>
        <v>65</v>
      </c>
      <c r="F2083" s="27" t="str">
        <f>IFERROR(__xludf.DUMMYFUNCTION("""COMPUTED_VALUE"""),"BLACK")</f>
        <v>BLACK</v>
      </c>
      <c r="G2083" s="28" t="str">
        <f>IFERROR(__xludf.DUMMYFUNCTION("""COMPUTED_VALUE"""),"First Times a Charm Cider")</f>
        <v>First Times a Charm Cider</v>
      </c>
      <c r="H2083" s="27" t="str">
        <f>IFERROR(__xludf.DUMMYFUNCTION("""COMPUTED_VALUE"""),"")</f>
        <v/>
      </c>
    </row>
    <row r="2084">
      <c r="A2084" s="17"/>
      <c r="B2084" s="23"/>
      <c r="C2084" s="17">
        <f>IFERROR(__xludf.DUMMYFUNCTION("""COMPUTED_VALUE"""),43532.4384095717)</f>
        <v>43532.43841</v>
      </c>
      <c r="D2084" s="23">
        <f>IFERROR(__xludf.DUMMYFUNCTION("""COMPUTED_VALUE"""),1.05)</f>
        <v>1.05</v>
      </c>
      <c r="E2084" s="24">
        <f>IFERROR(__xludf.DUMMYFUNCTION("""COMPUTED_VALUE"""),65.0)</f>
        <v>65</v>
      </c>
      <c r="F2084" s="27" t="str">
        <f>IFERROR(__xludf.DUMMYFUNCTION("""COMPUTED_VALUE"""),"BLACK")</f>
        <v>BLACK</v>
      </c>
      <c r="G2084" s="28" t="str">
        <f>IFERROR(__xludf.DUMMYFUNCTION("""COMPUTED_VALUE"""),"First Times a Charm Cider")</f>
        <v>First Times a Charm Cider</v>
      </c>
      <c r="H2084" s="27" t="str">
        <f>IFERROR(__xludf.DUMMYFUNCTION("""COMPUTED_VALUE"""),"")</f>
        <v/>
      </c>
    </row>
    <row r="2085">
      <c r="A2085" s="17"/>
      <c r="B2085" s="23"/>
      <c r="C2085" s="17">
        <f>IFERROR(__xludf.DUMMYFUNCTION("""COMPUTED_VALUE"""),43532.3967260763)</f>
        <v>43532.39673</v>
      </c>
      <c r="D2085" s="23">
        <f>IFERROR(__xludf.DUMMYFUNCTION("""COMPUTED_VALUE"""),1.05)</f>
        <v>1.05</v>
      </c>
      <c r="E2085" s="24">
        <f>IFERROR(__xludf.DUMMYFUNCTION("""COMPUTED_VALUE"""),65.0)</f>
        <v>65</v>
      </c>
      <c r="F2085" s="27" t="str">
        <f>IFERROR(__xludf.DUMMYFUNCTION("""COMPUTED_VALUE"""),"BLACK")</f>
        <v>BLACK</v>
      </c>
      <c r="G2085" s="28" t="str">
        <f>IFERROR(__xludf.DUMMYFUNCTION("""COMPUTED_VALUE"""),"First Times a Charm Cider")</f>
        <v>First Times a Charm Cider</v>
      </c>
      <c r="H2085" s="27" t="str">
        <f>IFERROR(__xludf.DUMMYFUNCTION("""COMPUTED_VALUE"""),"")</f>
        <v/>
      </c>
    </row>
    <row r="2086">
      <c r="A2086" s="17"/>
      <c r="B2086" s="23"/>
      <c r="C2086" s="17">
        <f>IFERROR(__xludf.DUMMYFUNCTION("""COMPUTED_VALUE"""),43532.386268368)</f>
        <v>43532.38627</v>
      </c>
      <c r="D2086" s="23">
        <f>IFERROR(__xludf.DUMMYFUNCTION("""COMPUTED_VALUE"""),1.05)</f>
        <v>1.05</v>
      </c>
      <c r="E2086" s="24">
        <f>IFERROR(__xludf.DUMMYFUNCTION("""COMPUTED_VALUE"""),65.0)</f>
        <v>65</v>
      </c>
      <c r="F2086" s="27" t="str">
        <f>IFERROR(__xludf.DUMMYFUNCTION("""COMPUTED_VALUE"""),"BLACK")</f>
        <v>BLACK</v>
      </c>
      <c r="G2086" s="28" t="str">
        <f>IFERROR(__xludf.DUMMYFUNCTION("""COMPUTED_VALUE"""),"First Times a Charm Cider")</f>
        <v>First Times a Charm Cider</v>
      </c>
      <c r="H2086" s="27" t="str">
        <f>IFERROR(__xludf.DUMMYFUNCTION("""COMPUTED_VALUE"""),"")</f>
        <v/>
      </c>
    </row>
    <row r="2087">
      <c r="A2087" s="17"/>
      <c r="B2087" s="23"/>
      <c r="C2087" s="17">
        <f>IFERROR(__xludf.DUMMYFUNCTION("""COMPUTED_VALUE"""),43532.3758344328)</f>
        <v>43532.37583</v>
      </c>
      <c r="D2087" s="23">
        <f>IFERROR(__xludf.DUMMYFUNCTION("""COMPUTED_VALUE"""),1.05)</f>
        <v>1.05</v>
      </c>
      <c r="E2087" s="24">
        <f>IFERROR(__xludf.DUMMYFUNCTION("""COMPUTED_VALUE"""),65.0)</f>
        <v>65</v>
      </c>
      <c r="F2087" s="27" t="str">
        <f>IFERROR(__xludf.DUMMYFUNCTION("""COMPUTED_VALUE"""),"BLACK")</f>
        <v>BLACK</v>
      </c>
      <c r="G2087" s="28" t="str">
        <f>IFERROR(__xludf.DUMMYFUNCTION("""COMPUTED_VALUE"""),"First Times a Charm Cider")</f>
        <v>First Times a Charm Cider</v>
      </c>
      <c r="H2087" s="27" t="str">
        <f>IFERROR(__xludf.DUMMYFUNCTION("""COMPUTED_VALUE"""),"")</f>
        <v/>
      </c>
    </row>
    <row r="2088">
      <c r="A2088" s="17"/>
      <c r="B2088" s="23"/>
      <c r="C2088" s="17">
        <f>IFERROR(__xludf.DUMMYFUNCTION("""COMPUTED_VALUE"""),43532.3445725578)</f>
        <v>43532.34457</v>
      </c>
      <c r="D2088" s="23">
        <f>IFERROR(__xludf.DUMMYFUNCTION("""COMPUTED_VALUE"""),1.05)</f>
        <v>1.05</v>
      </c>
      <c r="E2088" s="24">
        <f>IFERROR(__xludf.DUMMYFUNCTION("""COMPUTED_VALUE"""),65.0)</f>
        <v>65</v>
      </c>
      <c r="F2088" s="27" t="str">
        <f>IFERROR(__xludf.DUMMYFUNCTION("""COMPUTED_VALUE"""),"BLACK")</f>
        <v>BLACK</v>
      </c>
      <c r="G2088" s="28" t="str">
        <f>IFERROR(__xludf.DUMMYFUNCTION("""COMPUTED_VALUE"""),"First Times a Charm Cider")</f>
        <v>First Times a Charm Cider</v>
      </c>
      <c r="H2088" s="27" t="str">
        <f>IFERROR(__xludf.DUMMYFUNCTION("""COMPUTED_VALUE"""),"")</f>
        <v/>
      </c>
    </row>
    <row r="2089">
      <c r="A2089" s="17"/>
      <c r="B2089" s="23"/>
      <c r="C2089" s="17">
        <f>IFERROR(__xludf.DUMMYFUNCTION("""COMPUTED_VALUE"""),43532.3341518865)</f>
        <v>43532.33415</v>
      </c>
      <c r="D2089" s="23">
        <f>IFERROR(__xludf.DUMMYFUNCTION("""COMPUTED_VALUE"""),1.05)</f>
        <v>1.05</v>
      </c>
      <c r="E2089" s="24">
        <f>IFERROR(__xludf.DUMMYFUNCTION("""COMPUTED_VALUE"""),65.0)</f>
        <v>65</v>
      </c>
      <c r="F2089" s="27" t="str">
        <f>IFERROR(__xludf.DUMMYFUNCTION("""COMPUTED_VALUE"""),"BLACK")</f>
        <v>BLACK</v>
      </c>
      <c r="G2089" s="28" t="str">
        <f>IFERROR(__xludf.DUMMYFUNCTION("""COMPUTED_VALUE"""),"First Times a Charm Cider")</f>
        <v>First Times a Charm Cider</v>
      </c>
      <c r="H2089" s="27" t="str">
        <f>IFERROR(__xludf.DUMMYFUNCTION("""COMPUTED_VALUE"""),"")</f>
        <v/>
      </c>
    </row>
    <row r="2090">
      <c r="A2090" s="17"/>
      <c r="B2090" s="23"/>
      <c r="C2090" s="17">
        <f>IFERROR(__xludf.DUMMYFUNCTION("""COMPUTED_VALUE"""),43532.3133084837)</f>
        <v>43532.31331</v>
      </c>
      <c r="D2090" s="23">
        <f>IFERROR(__xludf.DUMMYFUNCTION("""COMPUTED_VALUE"""),1.05)</f>
        <v>1.05</v>
      </c>
      <c r="E2090" s="24">
        <f>IFERROR(__xludf.DUMMYFUNCTION("""COMPUTED_VALUE"""),65.0)</f>
        <v>65</v>
      </c>
      <c r="F2090" s="27" t="str">
        <f>IFERROR(__xludf.DUMMYFUNCTION("""COMPUTED_VALUE"""),"BLACK")</f>
        <v>BLACK</v>
      </c>
      <c r="G2090" s="28" t="str">
        <f>IFERROR(__xludf.DUMMYFUNCTION("""COMPUTED_VALUE"""),"First Times a Charm Cider")</f>
        <v>First Times a Charm Cider</v>
      </c>
      <c r="H2090" s="27" t="str">
        <f>IFERROR(__xludf.DUMMYFUNCTION("""COMPUTED_VALUE"""),"")</f>
        <v/>
      </c>
    </row>
    <row r="2091">
      <c r="A2091" s="17"/>
      <c r="B2091" s="23"/>
      <c r="C2091" s="17">
        <f>IFERROR(__xludf.DUMMYFUNCTION("""COMPUTED_VALUE"""),43532.3028866088)</f>
        <v>43532.30289</v>
      </c>
      <c r="D2091" s="23">
        <f>IFERROR(__xludf.DUMMYFUNCTION("""COMPUTED_VALUE"""),1.05)</f>
        <v>1.05</v>
      </c>
      <c r="E2091" s="24">
        <f>IFERROR(__xludf.DUMMYFUNCTION("""COMPUTED_VALUE"""),65.0)</f>
        <v>65</v>
      </c>
      <c r="F2091" s="27" t="str">
        <f>IFERROR(__xludf.DUMMYFUNCTION("""COMPUTED_VALUE"""),"BLACK")</f>
        <v>BLACK</v>
      </c>
      <c r="G2091" s="28" t="str">
        <f>IFERROR(__xludf.DUMMYFUNCTION("""COMPUTED_VALUE"""),"First Times a Charm Cider")</f>
        <v>First Times a Charm Cider</v>
      </c>
      <c r="H2091" s="27" t="str">
        <f>IFERROR(__xludf.DUMMYFUNCTION("""COMPUTED_VALUE"""),"")</f>
        <v/>
      </c>
    </row>
    <row r="2092">
      <c r="A2092" s="17"/>
      <c r="B2092" s="23"/>
      <c r="C2092" s="17">
        <f>IFERROR(__xludf.DUMMYFUNCTION("""COMPUTED_VALUE"""),43532.2820484259)</f>
        <v>43532.28205</v>
      </c>
      <c r="D2092" s="23">
        <f>IFERROR(__xludf.DUMMYFUNCTION("""COMPUTED_VALUE"""),1.05)</f>
        <v>1.05</v>
      </c>
      <c r="E2092" s="24">
        <f>IFERROR(__xludf.DUMMYFUNCTION("""COMPUTED_VALUE"""),65.0)</f>
        <v>65</v>
      </c>
      <c r="F2092" s="27" t="str">
        <f>IFERROR(__xludf.DUMMYFUNCTION("""COMPUTED_VALUE"""),"BLACK")</f>
        <v>BLACK</v>
      </c>
      <c r="G2092" s="28" t="str">
        <f>IFERROR(__xludf.DUMMYFUNCTION("""COMPUTED_VALUE"""),"First Times a Charm Cider")</f>
        <v>First Times a Charm Cider</v>
      </c>
      <c r="H2092" s="27" t="str">
        <f>IFERROR(__xludf.DUMMYFUNCTION("""COMPUTED_VALUE"""),"")</f>
        <v/>
      </c>
    </row>
    <row r="2093">
      <c r="A2093" s="17"/>
      <c r="B2093" s="23"/>
      <c r="C2093" s="17">
        <f>IFERROR(__xludf.DUMMYFUNCTION("""COMPUTED_VALUE"""),43532.2716273726)</f>
        <v>43532.27163</v>
      </c>
      <c r="D2093" s="23">
        <f>IFERROR(__xludf.DUMMYFUNCTION("""COMPUTED_VALUE"""),1.05)</f>
        <v>1.05</v>
      </c>
      <c r="E2093" s="24">
        <f>IFERROR(__xludf.DUMMYFUNCTION("""COMPUTED_VALUE"""),65.0)</f>
        <v>65</v>
      </c>
      <c r="F2093" s="27" t="str">
        <f>IFERROR(__xludf.DUMMYFUNCTION("""COMPUTED_VALUE"""),"BLACK")</f>
        <v>BLACK</v>
      </c>
      <c r="G2093" s="28" t="str">
        <f>IFERROR(__xludf.DUMMYFUNCTION("""COMPUTED_VALUE"""),"First Times a Charm Cider")</f>
        <v>First Times a Charm Cider</v>
      </c>
      <c r="H2093" s="27" t="str">
        <f>IFERROR(__xludf.DUMMYFUNCTION("""COMPUTED_VALUE"""),"")</f>
        <v/>
      </c>
    </row>
    <row r="2094">
      <c r="A2094" s="17"/>
      <c r="B2094" s="23"/>
      <c r="C2094" s="17">
        <f>IFERROR(__xludf.DUMMYFUNCTION("""COMPUTED_VALUE"""),43532.2612061805)</f>
        <v>43532.26121</v>
      </c>
      <c r="D2094" s="23">
        <f>IFERROR(__xludf.DUMMYFUNCTION("""COMPUTED_VALUE"""),1.05)</f>
        <v>1.05</v>
      </c>
      <c r="E2094" s="24">
        <f>IFERROR(__xludf.DUMMYFUNCTION("""COMPUTED_VALUE"""),65.0)</f>
        <v>65</v>
      </c>
      <c r="F2094" s="27" t="str">
        <f>IFERROR(__xludf.DUMMYFUNCTION("""COMPUTED_VALUE"""),"BLACK")</f>
        <v>BLACK</v>
      </c>
      <c r="G2094" s="28" t="str">
        <f>IFERROR(__xludf.DUMMYFUNCTION("""COMPUTED_VALUE"""),"First Times a Charm Cider")</f>
        <v>First Times a Charm Cider</v>
      </c>
      <c r="H2094" s="27" t="str">
        <f>IFERROR(__xludf.DUMMYFUNCTION("""COMPUTED_VALUE"""),"")</f>
        <v/>
      </c>
    </row>
    <row r="2095">
      <c r="A2095" s="17"/>
      <c r="B2095" s="23"/>
      <c r="C2095" s="17">
        <f>IFERROR(__xludf.DUMMYFUNCTION("""COMPUTED_VALUE"""),43532.2507861342)</f>
        <v>43532.25079</v>
      </c>
      <c r="D2095" s="23">
        <f>IFERROR(__xludf.DUMMYFUNCTION("""COMPUTED_VALUE"""),1.051)</f>
        <v>1.051</v>
      </c>
      <c r="E2095" s="24">
        <f>IFERROR(__xludf.DUMMYFUNCTION("""COMPUTED_VALUE"""),65.0)</f>
        <v>65</v>
      </c>
      <c r="F2095" s="27" t="str">
        <f>IFERROR(__xludf.DUMMYFUNCTION("""COMPUTED_VALUE"""),"BLACK")</f>
        <v>BLACK</v>
      </c>
      <c r="G2095" s="28" t="str">
        <f>IFERROR(__xludf.DUMMYFUNCTION("""COMPUTED_VALUE"""),"First Times a Charm Cider")</f>
        <v>First Times a Charm Cider</v>
      </c>
      <c r="H2095" s="27" t="str">
        <f>IFERROR(__xludf.DUMMYFUNCTION("""COMPUTED_VALUE"""),"")</f>
        <v/>
      </c>
    </row>
    <row r="2096">
      <c r="A2096" s="17"/>
      <c r="B2096" s="23"/>
      <c r="C2096" s="17">
        <f>IFERROR(__xludf.DUMMYFUNCTION("""COMPUTED_VALUE"""),43532.240365324)</f>
        <v>43532.24037</v>
      </c>
      <c r="D2096" s="23">
        <f>IFERROR(__xludf.DUMMYFUNCTION("""COMPUTED_VALUE"""),1.05)</f>
        <v>1.05</v>
      </c>
      <c r="E2096" s="24">
        <f>IFERROR(__xludf.DUMMYFUNCTION("""COMPUTED_VALUE"""),65.0)</f>
        <v>65</v>
      </c>
      <c r="F2096" s="27" t="str">
        <f>IFERROR(__xludf.DUMMYFUNCTION("""COMPUTED_VALUE"""),"BLACK")</f>
        <v>BLACK</v>
      </c>
      <c r="G2096" s="28" t="str">
        <f>IFERROR(__xludf.DUMMYFUNCTION("""COMPUTED_VALUE"""),"First Times a Charm Cider")</f>
        <v>First Times a Charm Cider</v>
      </c>
      <c r="H2096" s="27" t="str">
        <f>IFERROR(__xludf.DUMMYFUNCTION("""COMPUTED_VALUE"""),"")</f>
        <v/>
      </c>
    </row>
    <row r="2097">
      <c r="A2097" s="17"/>
      <c r="B2097" s="23"/>
      <c r="C2097" s="17">
        <f>IFERROR(__xludf.DUMMYFUNCTION("""COMPUTED_VALUE"""),43532.2299203819)</f>
        <v>43532.22992</v>
      </c>
      <c r="D2097" s="23">
        <f>IFERROR(__xludf.DUMMYFUNCTION("""COMPUTED_VALUE"""),1.051)</f>
        <v>1.051</v>
      </c>
      <c r="E2097" s="24">
        <f>IFERROR(__xludf.DUMMYFUNCTION("""COMPUTED_VALUE"""),65.0)</f>
        <v>65</v>
      </c>
      <c r="F2097" s="27" t="str">
        <f>IFERROR(__xludf.DUMMYFUNCTION("""COMPUTED_VALUE"""),"BLACK")</f>
        <v>BLACK</v>
      </c>
      <c r="G2097" s="28" t="str">
        <f>IFERROR(__xludf.DUMMYFUNCTION("""COMPUTED_VALUE"""),"First Times a Charm Cider")</f>
        <v>First Times a Charm Cider</v>
      </c>
      <c r="H2097" s="27" t="str">
        <f>IFERROR(__xludf.DUMMYFUNCTION("""COMPUTED_VALUE"""),"")</f>
        <v/>
      </c>
    </row>
    <row r="2098">
      <c r="A2098" s="17"/>
      <c r="B2098" s="23"/>
      <c r="C2098" s="17">
        <f>IFERROR(__xludf.DUMMYFUNCTION("""COMPUTED_VALUE"""),43532.2194998842)</f>
        <v>43532.2195</v>
      </c>
      <c r="D2098" s="23">
        <f>IFERROR(__xludf.DUMMYFUNCTION("""COMPUTED_VALUE"""),1.05)</f>
        <v>1.05</v>
      </c>
      <c r="E2098" s="24">
        <f>IFERROR(__xludf.DUMMYFUNCTION("""COMPUTED_VALUE"""),65.0)</f>
        <v>65</v>
      </c>
      <c r="F2098" s="27" t="str">
        <f>IFERROR(__xludf.DUMMYFUNCTION("""COMPUTED_VALUE"""),"BLACK")</f>
        <v>BLACK</v>
      </c>
      <c r="G2098" s="28" t="str">
        <f>IFERROR(__xludf.DUMMYFUNCTION("""COMPUTED_VALUE"""),"First Times a Charm Cider")</f>
        <v>First Times a Charm Cider</v>
      </c>
      <c r="H2098" s="27" t="str">
        <f>IFERROR(__xludf.DUMMYFUNCTION("""COMPUTED_VALUE"""),"")</f>
        <v/>
      </c>
    </row>
    <row r="2099">
      <c r="A2099" s="17"/>
      <c r="B2099" s="23"/>
      <c r="C2099" s="17">
        <f>IFERROR(__xludf.DUMMYFUNCTION("""COMPUTED_VALUE"""),43532.2090778009)</f>
        <v>43532.20908</v>
      </c>
      <c r="D2099" s="23">
        <f>IFERROR(__xludf.DUMMYFUNCTION("""COMPUTED_VALUE"""),1.05)</f>
        <v>1.05</v>
      </c>
      <c r="E2099" s="24">
        <f>IFERROR(__xludf.DUMMYFUNCTION("""COMPUTED_VALUE"""),65.0)</f>
        <v>65</v>
      </c>
      <c r="F2099" s="27" t="str">
        <f>IFERROR(__xludf.DUMMYFUNCTION("""COMPUTED_VALUE"""),"BLACK")</f>
        <v>BLACK</v>
      </c>
      <c r="G2099" s="28" t="str">
        <f>IFERROR(__xludf.DUMMYFUNCTION("""COMPUTED_VALUE"""),"First Times a Charm Cider")</f>
        <v>First Times a Charm Cider</v>
      </c>
      <c r="H2099" s="27" t="str">
        <f>IFERROR(__xludf.DUMMYFUNCTION("""COMPUTED_VALUE"""),"")</f>
        <v/>
      </c>
    </row>
    <row r="2100">
      <c r="A2100" s="17"/>
      <c r="B2100" s="23"/>
      <c r="C2100" s="17">
        <f>IFERROR(__xludf.DUMMYFUNCTION("""COMPUTED_VALUE"""),43532.1986564004)</f>
        <v>43532.19866</v>
      </c>
      <c r="D2100" s="23">
        <f>IFERROR(__xludf.DUMMYFUNCTION("""COMPUTED_VALUE"""),1.05)</f>
        <v>1.05</v>
      </c>
      <c r="E2100" s="24">
        <f>IFERROR(__xludf.DUMMYFUNCTION("""COMPUTED_VALUE"""),65.0)</f>
        <v>65</v>
      </c>
      <c r="F2100" s="27" t="str">
        <f>IFERROR(__xludf.DUMMYFUNCTION("""COMPUTED_VALUE"""),"BLACK")</f>
        <v>BLACK</v>
      </c>
      <c r="G2100" s="28" t="str">
        <f>IFERROR(__xludf.DUMMYFUNCTION("""COMPUTED_VALUE"""),"First Times a Charm Cider")</f>
        <v>First Times a Charm Cider</v>
      </c>
      <c r="H2100" s="27" t="str">
        <f>IFERROR(__xludf.DUMMYFUNCTION("""COMPUTED_VALUE"""),"")</f>
        <v/>
      </c>
    </row>
    <row r="2101">
      <c r="A2101" s="17"/>
      <c r="B2101" s="23"/>
      <c r="C2101" s="17">
        <f>IFERROR(__xludf.DUMMYFUNCTION("""COMPUTED_VALUE"""),43532.1882352662)</f>
        <v>43532.18824</v>
      </c>
      <c r="D2101" s="23">
        <f>IFERROR(__xludf.DUMMYFUNCTION("""COMPUTED_VALUE"""),1.05)</f>
        <v>1.05</v>
      </c>
      <c r="E2101" s="24">
        <f>IFERROR(__xludf.DUMMYFUNCTION("""COMPUTED_VALUE"""),65.0)</f>
        <v>65</v>
      </c>
      <c r="F2101" s="27" t="str">
        <f>IFERROR(__xludf.DUMMYFUNCTION("""COMPUTED_VALUE"""),"BLACK")</f>
        <v>BLACK</v>
      </c>
      <c r="G2101" s="28" t="str">
        <f>IFERROR(__xludf.DUMMYFUNCTION("""COMPUTED_VALUE"""),"First Times a Charm Cider")</f>
        <v>First Times a Charm Cider</v>
      </c>
      <c r="H2101" s="27" t="str">
        <f>IFERROR(__xludf.DUMMYFUNCTION("""COMPUTED_VALUE"""),"")</f>
        <v/>
      </c>
    </row>
    <row r="2102">
      <c r="A2102" s="17"/>
      <c r="B2102" s="23"/>
      <c r="C2102" s="17">
        <f>IFERROR(__xludf.DUMMYFUNCTION("""COMPUTED_VALUE"""),43532.1778149768)</f>
        <v>43532.17781</v>
      </c>
      <c r="D2102" s="23">
        <f>IFERROR(__xludf.DUMMYFUNCTION("""COMPUTED_VALUE"""),1.05)</f>
        <v>1.05</v>
      </c>
      <c r="E2102" s="24">
        <f>IFERROR(__xludf.DUMMYFUNCTION("""COMPUTED_VALUE"""),65.0)</f>
        <v>65</v>
      </c>
      <c r="F2102" s="27" t="str">
        <f>IFERROR(__xludf.DUMMYFUNCTION("""COMPUTED_VALUE"""),"BLACK")</f>
        <v>BLACK</v>
      </c>
      <c r="G2102" s="28" t="str">
        <f>IFERROR(__xludf.DUMMYFUNCTION("""COMPUTED_VALUE"""),"First Times a Charm Cider")</f>
        <v>First Times a Charm Cider</v>
      </c>
      <c r="H2102" s="27" t="str">
        <f>IFERROR(__xludf.DUMMYFUNCTION("""COMPUTED_VALUE"""),"")</f>
        <v/>
      </c>
    </row>
    <row r="2103">
      <c r="A2103" s="17"/>
      <c r="B2103" s="23"/>
      <c r="C2103" s="17">
        <f>IFERROR(__xludf.DUMMYFUNCTION("""COMPUTED_VALUE"""),43532.1673819444)</f>
        <v>43532.16738</v>
      </c>
      <c r="D2103" s="23">
        <f>IFERROR(__xludf.DUMMYFUNCTION("""COMPUTED_VALUE"""),1.051)</f>
        <v>1.051</v>
      </c>
      <c r="E2103" s="24">
        <f>IFERROR(__xludf.DUMMYFUNCTION("""COMPUTED_VALUE"""),65.0)</f>
        <v>65</v>
      </c>
      <c r="F2103" s="27" t="str">
        <f>IFERROR(__xludf.DUMMYFUNCTION("""COMPUTED_VALUE"""),"BLACK")</f>
        <v>BLACK</v>
      </c>
      <c r="G2103" s="28" t="str">
        <f>IFERROR(__xludf.DUMMYFUNCTION("""COMPUTED_VALUE"""),"First Times a Charm Cider")</f>
        <v>First Times a Charm Cider</v>
      </c>
      <c r="H2103" s="27" t="str">
        <f>IFERROR(__xludf.DUMMYFUNCTION("""COMPUTED_VALUE"""),"")</f>
        <v/>
      </c>
    </row>
    <row r="2104">
      <c r="A2104" s="17"/>
      <c r="B2104" s="23"/>
      <c r="C2104" s="17">
        <f>IFERROR(__xludf.DUMMYFUNCTION("""COMPUTED_VALUE"""),43532.1569627662)</f>
        <v>43532.15696</v>
      </c>
      <c r="D2104" s="23">
        <f>IFERROR(__xludf.DUMMYFUNCTION("""COMPUTED_VALUE"""),1.051)</f>
        <v>1.051</v>
      </c>
      <c r="E2104" s="24">
        <f>IFERROR(__xludf.DUMMYFUNCTION("""COMPUTED_VALUE"""),65.0)</f>
        <v>65</v>
      </c>
      <c r="F2104" s="27" t="str">
        <f>IFERROR(__xludf.DUMMYFUNCTION("""COMPUTED_VALUE"""),"BLACK")</f>
        <v>BLACK</v>
      </c>
      <c r="G2104" s="28" t="str">
        <f>IFERROR(__xludf.DUMMYFUNCTION("""COMPUTED_VALUE"""),"First Times a Charm Cider")</f>
        <v>First Times a Charm Cider</v>
      </c>
      <c r="H2104" s="27" t="str">
        <f>IFERROR(__xludf.DUMMYFUNCTION("""COMPUTED_VALUE"""),"")</f>
        <v/>
      </c>
    </row>
    <row r="2105">
      <c r="A2105" s="17"/>
      <c r="B2105" s="23"/>
      <c r="C2105" s="17">
        <f>IFERROR(__xludf.DUMMYFUNCTION("""COMPUTED_VALUE"""),43532.1465403587)</f>
        <v>43532.14654</v>
      </c>
      <c r="D2105" s="23">
        <f>IFERROR(__xludf.DUMMYFUNCTION("""COMPUTED_VALUE"""),1.05)</f>
        <v>1.05</v>
      </c>
      <c r="E2105" s="24">
        <f>IFERROR(__xludf.DUMMYFUNCTION("""COMPUTED_VALUE"""),65.0)</f>
        <v>65</v>
      </c>
      <c r="F2105" s="27" t="str">
        <f>IFERROR(__xludf.DUMMYFUNCTION("""COMPUTED_VALUE"""),"BLACK")</f>
        <v>BLACK</v>
      </c>
      <c r="G2105" s="28" t="str">
        <f>IFERROR(__xludf.DUMMYFUNCTION("""COMPUTED_VALUE"""),"First Times a Charm Cider")</f>
        <v>First Times a Charm Cider</v>
      </c>
      <c r="H2105" s="27" t="str">
        <f>IFERROR(__xludf.DUMMYFUNCTION("""COMPUTED_VALUE"""),"")</f>
        <v/>
      </c>
    </row>
    <row r="2106">
      <c r="A2106" s="17"/>
      <c r="B2106" s="23"/>
      <c r="C2106" s="17">
        <f>IFERROR(__xludf.DUMMYFUNCTION("""COMPUTED_VALUE"""),43532.1361172222)</f>
        <v>43532.13612</v>
      </c>
      <c r="D2106" s="23">
        <f>IFERROR(__xludf.DUMMYFUNCTION("""COMPUTED_VALUE"""),1.051)</f>
        <v>1.051</v>
      </c>
      <c r="E2106" s="24">
        <f>IFERROR(__xludf.DUMMYFUNCTION("""COMPUTED_VALUE"""),65.0)</f>
        <v>65</v>
      </c>
      <c r="F2106" s="27" t="str">
        <f>IFERROR(__xludf.DUMMYFUNCTION("""COMPUTED_VALUE"""),"BLACK")</f>
        <v>BLACK</v>
      </c>
      <c r="G2106" s="28" t="str">
        <f>IFERROR(__xludf.DUMMYFUNCTION("""COMPUTED_VALUE"""),"First Times a Charm Cider")</f>
        <v>First Times a Charm Cider</v>
      </c>
      <c r="H2106" s="27" t="str">
        <f>IFERROR(__xludf.DUMMYFUNCTION("""COMPUTED_VALUE"""),"")</f>
        <v/>
      </c>
    </row>
    <row r="2107">
      <c r="A2107" s="17"/>
      <c r="B2107" s="23"/>
      <c r="C2107" s="17">
        <f>IFERROR(__xludf.DUMMYFUNCTION("""COMPUTED_VALUE"""),43532.1256970601)</f>
        <v>43532.1257</v>
      </c>
      <c r="D2107" s="23">
        <f>IFERROR(__xludf.DUMMYFUNCTION("""COMPUTED_VALUE"""),1.051)</f>
        <v>1.051</v>
      </c>
      <c r="E2107" s="24">
        <f>IFERROR(__xludf.DUMMYFUNCTION("""COMPUTED_VALUE"""),65.0)</f>
        <v>65</v>
      </c>
      <c r="F2107" s="27" t="str">
        <f>IFERROR(__xludf.DUMMYFUNCTION("""COMPUTED_VALUE"""),"BLACK")</f>
        <v>BLACK</v>
      </c>
      <c r="G2107" s="28" t="str">
        <f>IFERROR(__xludf.DUMMYFUNCTION("""COMPUTED_VALUE"""),"First Times a Charm Cider")</f>
        <v>First Times a Charm Cider</v>
      </c>
      <c r="H2107" s="27" t="str">
        <f>IFERROR(__xludf.DUMMYFUNCTION("""COMPUTED_VALUE"""),"")</f>
        <v/>
      </c>
    </row>
    <row r="2108">
      <c r="A2108" s="17"/>
      <c r="B2108" s="23"/>
      <c r="C2108" s="17">
        <f>IFERROR(__xludf.DUMMYFUNCTION("""COMPUTED_VALUE"""),43532.1152734375)</f>
        <v>43532.11527</v>
      </c>
      <c r="D2108" s="23">
        <f>IFERROR(__xludf.DUMMYFUNCTION("""COMPUTED_VALUE"""),1.051)</f>
        <v>1.051</v>
      </c>
      <c r="E2108" s="24">
        <f>IFERROR(__xludf.DUMMYFUNCTION("""COMPUTED_VALUE"""),65.0)</f>
        <v>65</v>
      </c>
      <c r="F2108" s="27" t="str">
        <f>IFERROR(__xludf.DUMMYFUNCTION("""COMPUTED_VALUE"""),"BLACK")</f>
        <v>BLACK</v>
      </c>
      <c r="G2108" s="28" t="str">
        <f>IFERROR(__xludf.DUMMYFUNCTION("""COMPUTED_VALUE"""),"First Times a Charm Cider")</f>
        <v>First Times a Charm Cider</v>
      </c>
      <c r="H2108" s="27" t="str">
        <f>IFERROR(__xludf.DUMMYFUNCTION("""COMPUTED_VALUE"""),"")</f>
        <v/>
      </c>
    </row>
    <row r="2109">
      <c r="A2109" s="17"/>
      <c r="B2109" s="23"/>
      <c r="C2109" s="17">
        <f>IFERROR(__xludf.DUMMYFUNCTION("""COMPUTED_VALUE"""),43532.1048504745)</f>
        <v>43532.10485</v>
      </c>
      <c r="D2109" s="23">
        <f>IFERROR(__xludf.DUMMYFUNCTION("""COMPUTED_VALUE"""),1.051)</f>
        <v>1.051</v>
      </c>
      <c r="E2109" s="24">
        <f>IFERROR(__xludf.DUMMYFUNCTION("""COMPUTED_VALUE"""),65.0)</f>
        <v>65</v>
      </c>
      <c r="F2109" s="27" t="str">
        <f>IFERROR(__xludf.DUMMYFUNCTION("""COMPUTED_VALUE"""),"BLACK")</f>
        <v>BLACK</v>
      </c>
      <c r="G2109" s="28" t="str">
        <f>IFERROR(__xludf.DUMMYFUNCTION("""COMPUTED_VALUE"""),"First Times a Charm Cider")</f>
        <v>First Times a Charm Cider</v>
      </c>
      <c r="H2109" s="27" t="str">
        <f>IFERROR(__xludf.DUMMYFUNCTION("""COMPUTED_VALUE"""),"")</f>
        <v/>
      </c>
    </row>
    <row r="2110">
      <c r="A2110" s="17"/>
      <c r="B2110" s="23"/>
      <c r="C2110" s="17">
        <f>IFERROR(__xludf.DUMMYFUNCTION("""COMPUTED_VALUE"""),43532.094415706)</f>
        <v>43532.09442</v>
      </c>
      <c r="D2110" s="23">
        <f>IFERROR(__xludf.DUMMYFUNCTION("""COMPUTED_VALUE"""),1.051)</f>
        <v>1.051</v>
      </c>
      <c r="E2110" s="24">
        <f>IFERROR(__xludf.DUMMYFUNCTION("""COMPUTED_VALUE"""),65.0)</f>
        <v>65</v>
      </c>
      <c r="F2110" s="27" t="str">
        <f>IFERROR(__xludf.DUMMYFUNCTION("""COMPUTED_VALUE"""),"BLACK")</f>
        <v>BLACK</v>
      </c>
      <c r="G2110" s="28" t="str">
        <f>IFERROR(__xludf.DUMMYFUNCTION("""COMPUTED_VALUE"""),"First Times a Charm Cider")</f>
        <v>First Times a Charm Cider</v>
      </c>
      <c r="H2110" s="27" t="str">
        <f>IFERROR(__xludf.DUMMYFUNCTION("""COMPUTED_VALUE"""),"")</f>
        <v/>
      </c>
    </row>
    <row r="2111">
      <c r="A2111" s="17"/>
      <c r="B2111" s="23"/>
      <c r="C2111" s="17">
        <f>IFERROR(__xludf.DUMMYFUNCTION("""COMPUTED_VALUE"""),43532.0735610185)</f>
        <v>43532.07356</v>
      </c>
      <c r="D2111" s="23">
        <f>IFERROR(__xludf.DUMMYFUNCTION("""COMPUTED_VALUE"""),1.051)</f>
        <v>1.051</v>
      </c>
      <c r="E2111" s="24">
        <f>IFERROR(__xludf.DUMMYFUNCTION("""COMPUTED_VALUE"""),65.0)</f>
        <v>65</v>
      </c>
      <c r="F2111" s="27" t="str">
        <f>IFERROR(__xludf.DUMMYFUNCTION("""COMPUTED_VALUE"""),"BLACK")</f>
        <v>BLACK</v>
      </c>
      <c r="G2111" s="28" t="str">
        <f>IFERROR(__xludf.DUMMYFUNCTION("""COMPUTED_VALUE"""),"First Times a Charm Cider")</f>
        <v>First Times a Charm Cider</v>
      </c>
      <c r="H2111" s="27" t="str">
        <f>IFERROR(__xludf.DUMMYFUNCTION("""COMPUTED_VALUE"""),"")</f>
        <v/>
      </c>
    </row>
    <row r="2112">
      <c r="A2112" s="17"/>
      <c r="B2112" s="23"/>
      <c r="C2112" s="17">
        <f>IFERROR(__xludf.DUMMYFUNCTION("""COMPUTED_VALUE"""),43532.0631392245)</f>
        <v>43532.06314</v>
      </c>
      <c r="D2112" s="23">
        <f>IFERROR(__xludf.DUMMYFUNCTION("""COMPUTED_VALUE"""),1.051)</f>
        <v>1.051</v>
      </c>
      <c r="E2112" s="24">
        <f>IFERROR(__xludf.DUMMYFUNCTION("""COMPUTED_VALUE"""),65.0)</f>
        <v>65</v>
      </c>
      <c r="F2112" s="27" t="str">
        <f>IFERROR(__xludf.DUMMYFUNCTION("""COMPUTED_VALUE"""),"BLACK")</f>
        <v>BLACK</v>
      </c>
      <c r="G2112" s="28" t="str">
        <f>IFERROR(__xludf.DUMMYFUNCTION("""COMPUTED_VALUE"""),"First Times a Charm Cider")</f>
        <v>First Times a Charm Cider</v>
      </c>
      <c r="H2112" s="27" t="str">
        <f>IFERROR(__xludf.DUMMYFUNCTION("""COMPUTED_VALUE"""),"")</f>
        <v/>
      </c>
    </row>
    <row r="2113">
      <c r="A2113" s="17"/>
      <c r="B2113" s="23"/>
      <c r="C2113" s="17">
        <f>IFERROR(__xludf.DUMMYFUNCTION("""COMPUTED_VALUE"""),43532.0422961805)</f>
        <v>43532.0423</v>
      </c>
      <c r="D2113" s="23">
        <f>IFERROR(__xludf.DUMMYFUNCTION("""COMPUTED_VALUE"""),1.051)</f>
        <v>1.051</v>
      </c>
      <c r="E2113" s="24">
        <f>IFERROR(__xludf.DUMMYFUNCTION("""COMPUTED_VALUE"""),65.0)</f>
        <v>65</v>
      </c>
      <c r="F2113" s="27" t="str">
        <f>IFERROR(__xludf.DUMMYFUNCTION("""COMPUTED_VALUE"""),"BLACK")</f>
        <v>BLACK</v>
      </c>
      <c r="G2113" s="28" t="str">
        <f>IFERROR(__xludf.DUMMYFUNCTION("""COMPUTED_VALUE"""),"First Times a Charm Cider")</f>
        <v>First Times a Charm Cider</v>
      </c>
      <c r="H2113" s="27" t="str">
        <f>IFERROR(__xludf.DUMMYFUNCTION("""COMPUTED_VALUE"""),"")</f>
        <v/>
      </c>
    </row>
    <row r="2114">
      <c r="A2114" s="17"/>
      <c r="B2114" s="23"/>
      <c r="C2114" s="17">
        <f>IFERROR(__xludf.DUMMYFUNCTION("""COMPUTED_VALUE"""),43532.0110199768)</f>
        <v>43532.01102</v>
      </c>
      <c r="D2114" s="23">
        <f>IFERROR(__xludf.DUMMYFUNCTION("""COMPUTED_VALUE"""),1.051)</f>
        <v>1.051</v>
      </c>
      <c r="E2114" s="24">
        <f>IFERROR(__xludf.DUMMYFUNCTION("""COMPUTED_VALUE"""),65.0)</f>
        <v>65</v>
      </c>
      <c r="F2114" s="27" t="str">
        <f>IFERROR(__xludf.DUMMYFUNCTION("""COMPUTED_VALUE"""),"BLACK")</f>
        <v>BLACK</v>
      </c>
      <c r="G2114" s="28" t="str">
        <f>IFERROR(__xludf.DUMMYFUNCTION("""COMPUTED_VALUE"""),"First Times a Charm Cider")</f>
        <v>First Times a Charm Cider</v>
      </c>
      <c r="H2114" s="27" t="str">
        <f>IFERROR(__xludf.DUMMYFUNCTION("""COMPUTED_VALUE"""),"")</f>
        <v/>
      </c>
    </row>
    <row r="2115">
      <c r="A2115" s="17"/>
      <c r="B2115" s="23"/>
      <c r="C2115" s="17">
        <f>IFERROR(__xludf.DUMMYFUNCTION("""COMPUTED_VALUE"""),43532.0005999305)</f>
        <v>43532.0006</v>
      </c>
      <c r="D2115" s="23">
        <f>IFERROR(__xludf.DUMMYFUNCTION("""COMPUTED_VALUE"""),1.051)</f>
        <v>1.051</v>
      </c>
      <c r="E2115" s="24">
        <f>IFERROR(__xludf.DUMMYFUNCTION("""COMPUTED_VALUE"""),65.0)</f>
        <v>65</v>
      </c>
      <c r="F2115" s="27" t="str">
        <f>IFERROR(__xludf.DUMMYFUNCTION("""COMPUTED_VALUE"""),"BLACK")</f>
        <v>BLACK</v>
      </c>
      <c r="G2115" s="28" t="str">
        <f>IFERROR(__xludf.DUMMYFUNCTION("""COMPUTED_VALUE"""),"First Times a Charm Cider")</f>
        <v>First Times a Charm Cider</v>
      </c>
      <c r="H2115" s="27" t="str">
        <f>IFERROR(__xludf.DUMMYFUNCTION("""COMPUTED_VALUE"""),"")</f>
        <v/>
      </c>
    </row>
    <row r="2116">
      <c r="A2116" s="17"/>
      <c r="B2116" s="23"/>
      <c r="C2116" s="17">
        <f>IFERROR(__xludf.DUMMYFUNCTION("""COMPUTED_VALUE"""),43531.9901792013)</f>
        <v>43531.99018</v>
      </c>
      <c r="D2116" s="23">
        <f>IFERROR(__xludf.DUMMYFUNCTION("""COMPUTED_VALUE"""),1.051)</f>
        <v>1.051</v>
      </c>
      <c r="E2116" s="24">
        <f>IFERROR(__xludf.DUMMYFUNCTION("""COMPUTED_VALUE"""),65.0)</f>
        <v>65</v>
      </c>
      <c r="F2116" s="27" t="str">
        <f>IFERROR(__xludf.DUMMYFUNCTION("""COMPUTED_VALUE"""),"BLACK")</f>
        <v>BLACK</v>
      </c>
      <c r="G2116" s="28" t="str">
        <f>IFERROR(__xludf.DUMMYFUNCTION("""COMPUTED_VALUE"""),"First Times a Charm Cider")</f>
        <v>First Times a Charm Cider</v>
      </c>
      <c r="H2116" s="27" t="str">
        <f>IFERROR(__xludf.DUMMYFUNCTION("""COMPUTED_VALUE"""),"")</f>
        <v/>
      </c>
    </row>
    <row r="2117">
      <c r="A2117" s="17"/>
      <c r="B2117" s="23"/>
      <c r="C2117" s="17">
        <f>IFERROR(__xludf.DUMMYFUNCTION("""COMPUTED_VALUE"""),43531.9797584375)</f>
        <v>43531.97976</v>
      </c>
      <c r="D2117" s="23">
        <f>IFERROR(__xludf.DUMMYFUNCTION("""COMPUTED_VALUE"""),1.051)</f>
        <v>1.051</v>
      </c>
      <c r="E2117" s="24">
        <f>IFERROR(__xludf.DUMMYFUNCTION("""COMPUTED_VALUE"""),65.0)</f>
        <v>65</v>
      </c>
      <c r="F2117" s="27" t="str">
        <f>IFERROR(__xludf.DUMMYFUNCTION("""COMPUTED_VALUE"""),"BLACK")</f>
        <v>BLACK</v>
      </c>
      <c r="G2117" s="28" t="str">
        <f>IFERROR(__xludf.DUMMYFUNCTION("""COMPUTED_VALUE"""),"First Times a Charm Cider")</f>
        <v>First Times a Charm Cider</v>
      </c>
      <c r="H2117" s="27" t="str">
        <f>IFERROR(__xludf.DUMMYFUNCTION("""COMPUTED_VALUE"""),"")</f>
        <v/>
      </c>
    </row>
    <row r="2118">
      <c r="A2118" s="17"/>
      <c r="B2118" s="23"/>
      <c r="C2118" s="17">
        <f>IFERROR(__xludf.DUMMYFUNCTION("""COMPUTED_VALUE"""),43531.9693379282)</f>
        <v>43531.96934</v>
      </c>
      <c r="D2118" s="23">
        <f>IFERROR(__xludf.DUMMYFUNCTION("""COMPUTED_VALUE"""),1.051)</f>
        <v>1.051</v>
      </c>
      <c r="E2118" s="24">
        <f>IFERROR(__xludf.DUMMYFUNCTION("""COMPUTED_VALUE"""),64.0)</f>
        <v>64</v>
      </c>
      <c r="F2118" s="27" t="str">
        <f>IFERROR(__xludf.DUMMYFUNCTION("""COMPUTED_VALUE"""),"BLACK")</f>
        <v>BLACK</v>
      </c>
      <c r="G2118" s="28" t="str">
        <f>IFERROR(__xludf.DUMMYFUNCTION("""COMPUTED_VALUE"""),"First Times a Charm Cider")</f>
        <v>First Times a Charm Cider</v>
      </c>
      <c r="H2118" s="27" t="str">
        <f>IFERROR(__xludf.DUMMYFUNCTION("""COMPUTED_VALUE"""),"")</f>
        <v/>
      </c>
    </row>
    <row r="2119">
      <c r="A2119" s="17"/>
      <c r="B2119" s="23"/>
      <c r="C2119" s="17">
        <f>IFERROR(__xludf.DUMMYFUNCTION("""COMPUTED_VALUE"""),43531.9484979861)</f>
        <v>43531.9485</v>
      </c>
      <c r="D2119" s="23">
        <f>IFERROR(__xludf.DUMMYFUNCTION("""COMPUTED_VALUE"""),1.051)</f>
        <v>1.051</v>
      </c>
      <c r="E2119" s="24">
        <f>IFERROR(__xludf.DUMMYFUNCTION("""COMPUTED_VALUE"""),64.0)</f>
        <v>64</v>
      </c>
      <c r="F2119" s="27" t="str">
        <f>IFERROR(__xludf.DUMMYFUNCTION("""COMPUTED_VALUE"""),"BLACK")</f>
        <v>BLACK</v>
      </c>
      <c r="G2119" s="28" t="str">
        <f>IFERROR(__xludf.DUMMYFUNCTION("""COMPUTED_VALUE"""),"First Times a Charm Cider")</f>
        <v>First Times a Charm Cider</v>
      </c>
      <c r="H2119" s="27" t="str">
        <f>IFERROR(__xludf.DUMMYFUNCTION("""COMPUTED_VALUE"""),"")</f>
        <v/>
      </c>
    </row>
    <row r="2120">
      <c r="A2120" s="17"/>
      <c r="B2120" s="23"/>
      <c r="C2120" s="17">
        <f>IFERROR(__xludf.DUMMYFUNCTION("""COMPUTED_VALUE"""),43531.9380768402)</f>
        <v>43531.93808</v>
      </c>
      <c r="D2120" s="23">
        <f>IFERROR(__xludf.DUMMYFUNCTION("""COMPUTED_VALUE"""),1.051)</f>
        <v>1.051</v>
      </c>
      <c r="E2120" s="24">
        <f>IFERROR(__xludf.DUMMYFUNCTION("""COMPUTED_VALUE"""),64.0)</f>
        <v>64</v>
      </c>
      <c r="F2120" s="27" t="str">
        <f>IFERROR(__xludf.DUMMYFUNCTION("""COMPUTED_VALUE"""),"BLACK")</f>
        <v>BLACK</v>
      </c>
      <c r="G2120" s="28" t="str">
        <f>IFERROR(__xludf.DUMMYFUNCTION("""COMPUTED_VALUE"""),"First Times a Charm Cider")</f>
        <v>First Times a Charm Cider</v>
      </c>
      <c r="H2120" s="27" t="str">
        <f>IFERROR(__xludf.DUMMYFUNCTION("""COMPUTED_VALUE"""),"")</f>
        <v/>
      </c>
    </row>
    <row r="2121">
      <c r="A2121" s="17"/>
      <c r="B2121" s="23"/>
      <c r="C2121" s="17">
        <f>IFERROR(__xludf.DUMMYFUNCTION("""COMPUTED_VALUE"""),43531.9172361689)</f>
        <v>43531.91724</v>
      </c>
      <c r="D2121" s="23">
        <f>IFERROR(__xludf.DUMMYFUNCTION("""COMPUTED_VALUE"""),1.051)</f>
        <v>1.051</v>
      </c>
      <c r="E2121" s="24">
        <f>IFERROR(__xludf.DUMMYFUNCTION("""COMPUTED_VALUE"""),64.0)</f>
        <v>64</v>
      </c>
      <c r="F2121" s="27" t="str">
        <f>IFERROR(__xludf.DUMMYFUNCTION("""COMPUTED_VALUE"""),"BLACK")</f>
        <v>BLACK</v>
      </c>
      <c r="G2121" s="28" t="str">
        <f>IFERROR(__xludf.DUMMYFUNCTION("""COMPUTED_VALUE"""),"First Times a Charm Cider")</f>
        <v>First Times a Charm Cider</v>
      </c>
      <c r="H2121" s="27" t="str">
        <f>IFERROR(__xludf.DUMMYFUNCTION("""COMPUTED_VALUE"""),"")</f>
        <v/>
      </c>
    </row>
    <row r="2122">
      <c r="A2122" s="17"/>
      <c r="B2122" s="23"/>
      <c r="C2122" s="17">
        <f>IFERROR(__xludf.DUMMYFUNCTION("""COMPUTED_VALUE"""),43531.9068156597)</f>
        <v>43531.90682</v>
      </c>
      <c r="D2122" s="23">
        <f>IFERROR(__xludf.DUMMYFUNCTION("""COMPUTED_VALUE"""),1.051)</f>
        <v>1.051</v>
      </c>
      <c r="E2122" s="24">
        <f>IFERROR(__xludf.DUMMYFUNCTION("""COMPUTED_VALUE"""),64.0)</f>
        <v>64</v>
      </c>
      <c r="F2122" s="27" t="str">
        <f>IFERROR(__xludf.DUMMYFUNCTION("""COMPUTED_VALUE"""),"BLACK")</f>
        <v>BLACK</v>
      </c>
      <c r="G2122" s="28" t="str">
        <f>IFERROR(__xludf.DUMMYFUNCTION("""COMPUTED_VALUE"""),"First Times a Charm Cider")</f>
        <v>First Times a Charm Cider</v>
      </c>
      <c r="H2122" s="27" t="str">
        <f>IFERROR(__xludf.DUMMYFUNCTION("""COMPUTED_VALUE"""),"")</f>
        <v/>
      </c>
    </row>
    <row r="2123">
      <c r="A2123" s="17"/>
      <c r="B2123" s="23"/>
      <c r="C2123" s="17">
        <f>IFERROR(__xludf.DUMMYFUNCTION("""COMPUTED_VALUE"""),43531.8963955324)</f>
        <v>43531.8964</v>
      </c>
      <c r="D2123" s="23">
        <f>IFERROR(__xludf.DUMMYFUNCTION("""COMPUTED_VALUE"""),1.051)</f>
        <v>1.051</v>
      </c>
      <c r="E2123" s="24">
        <f>IFERROR(__xludf.DUMMYFUNCTION("""COMPUTED_VALUE"""),64.0)</f>
        <v>64</v>
      </c>
      <c r="F2123" s="27" t="str">
        <f>IFERROR(__xludf.DUMMYFUNCTION("""COMPUTED_VALUE"""),"BLACK")</f>
        <v>BLACK</v>
      </c>
      <c r="G2123" s="28" t="str">
        <f>IFERROR(__xludf.DUMMYFUNCTION("""COMPUTED_VALUE"""),"First Times a Charm Cider")</f>
        <v>First Times a Charm Cider</v>
      </c>
      <c r="H2123" s="27" t="str">
        <f>IFERROR(__xludf.DUMMYFUNCTION("""COMPUTED_VALUE"""),"")</f>
        <v/>
      </c>
    </row>
    <row r="2124">
      <c r="A2124" s="17"/>
      <c r="B2124" s="23"/>
      <c r="C2124" s="17">
        <f>IFERROR(__xludf.DUMMYFUNCTION("""COMPUTED_VALUE"""),43531.8859630439)</f>
        <v>43531.88596</v>
      </c>
      <c r="D2124" s="23">
        <f>IFERROR(__xludf.DUMMYFUNCTION("""COMPUTED_VALUE"""),1.051)</f>
        <v>1.051</v>
      </c>
      <c r="E2124" s="24">
        <f>IFERROR(__xludf.DUMMYFUNCTION("""COMPUTED_VALUE"""),64.0)</f>
        <v>64</v>
      </c>
      <c r="F2124" s="27" t="str">
        <f>IFERROR(__xludf.DUMMYFUNCTION("""COMPUTED_VALUE"""),"BLACK")</f>
        <v>BLACK</v>
      </c>
      <c r="G2124" s="28" t="str">
        <f>IFERROR(__xludf.DUMMYFUNCTION("""COMPUTED_VALUE"""),"First Times a Charm Cider")</f>
        <v>First Times a Charm Cider</v>
      </c>
      <c r="H2124" s="27" t="str">
        <f>IFERROR(__xludf.DUMMYFUNCTION("""COMPUTED_VALUE"""),"")</f>
        <v/>
      </c>
    </row>
    <row r="2125">
      <c r="A2125" s="17"/>
      <c r="B2125" s="23"/>
      <c r="C2125" s="17">
        <f>IFERROR(__xludf.DUMMYFUNCTION("""COMPUTED_VALUE"""),43531.8755421064)</f>
        <v>43531.87554</v>
      </c>
      <c r="D2125" s="23">
        <f>IFERROR(__xludf.DUMMYFUNCTION("""COMPUTED_VALUE"""),1.051)</f>
        <v>1.051</v>
      </c>
      <c r="E2125" s="24">
        <f>IFERROR(__xludf.DUMMYFUNCTION("""COMPUTED_VALUE"""),64.0)</f>
        <v>64</v>
      </c>
      <c r="F2125" s="27" t="str">
        <f>IFERROR(__xludf.DUMMYFUNCTION("""COMPUTED_VALUE"""),"BLACK")</f>
        <v>BLACK</v>
      </c>
      <c r="G2125" s="28" t="str">
        <f>IFERROR(__xludf.DUMMYFUNCTION("""COMPUTED_VALUE"""),"First Times a Charm Cider")</f>
        <v>First Times a Charm Cider</v>
      </c>
      <c r="H2125" s="27" t="str">
        <f>IFERROR(__xludf.DUMMYFUNCTION("""COMPUTED_VALUE"""),"")</f>
        <v/>
      </c>
    </row>
    <row r="2126">
      <c r="A2126" s="17"/>
      <c r="B2126" s="23"/>
      <c r="C2126" s="17">
        <f>IFERROR(__xludf.DUMMYFUNCTION("""COMPUTED_VALUE"""),43531.865121331)</f>
        <v>43531.86512</v>
      </c>
      <c r="D2126" s="23">
        <f>IFERROR(__xludf.DUMMYFUNCTION("""COMPUTED_VALUE"""),1.051)</f>
        <v>1.051</v>
      </c>
      <c r="E2126" s="24">
        <f>IFERROR(__xludf.DUMMYFUNCTION("""COMPUTED_VALUE"""),64.0)</f>
        <v>64</v>
      </c>
      <c r="F2126" s="27" t="str">
        <f>IFERROR(__xludf.DUMMYFUNCTION("""COMPUTED_VALUE"""),"BLACK")</f>
        <v>BLACK</v>
      </c>
      <c r="G2126" s="28" t="str">
        <f>IFERROR(__xludf.DUMMYFUNCTION("""COMPUTED_VALUE"""),"First Times a Charm Cider")</f>
        <v>First Times a Charm Cider</v>
      </c>
      <c r="H2126" s="27" t="str">
        <f>IFERROR(__xludf.DUMMYFUNCTION("""COMPUTED_VALUE"""),"")</f>
        <v/>
      </c>
    </row>
    <row r="2127">
      <c r="A2127" s="17"/>
      <c r="B2127" s="23"/>
      <c r="C2127" s="17">
        <f>IFERROR(__xludf.DUMMYFUNCTION("""COMPUTED_VALUE"""),43531.8442787963)</f>
        <v>43531.84428</v>
      </c>
      <c r="D2127" s="23">
        <f>IFERROR(__xludf.DUMMYFUNCTION("""COMPUTED_VALUE"""),1.051)</f>
        <v>1.051</v>
      </c>
      <c r="E2127" s="24">
        <f>IFERROR(__xludf.DUMMYFUNCTION("""COMPUTED_VALUE"""),64.0)</f>
        <v>64</v>
      </c>
      <c r="F2127" s="27" t="str">
        <f>IFERROR(__xludf.DUMMYFUNCTION("""COMPUTED_VALUE"""),"BLACK")</f>
        <v>BLACK</v>
      </c>
      <c r="G2127" s="28" t="str">
        <f>IFERROR(__xludf.DUMMYFUNCTION("""COMPUTED_VALUE"""),"First Times a Charm Cider")</f>
        <v>First Times a Charm Cider</v>
      </c>
      <c r="H2127" s="27" t="str">
        <f>IFERROR(__xludf.DUMMYFUNCTION("""COMPUTED_VALUE"""),"")</f>
        <v/>
      </c>
    </row>
    <row r="2128">
      <c r="A2128" s="17"/>
      <c r="B2128" s="23"/>
      <c r="C2128" s="17">
        <f>IFERROR(__xludf.DUMMYFUNCTION("""COMPUTED_VALUE"""),43531.8234370254)</f>
        <v>43531.82344</v>
      </c>
      <c r="D2128" s="23">
        <f>IFERROR(__xludf.DUMMYFUNCTION("""COMPUTED_VALUE"""),1.051)</f>
        <v>1.051</v>
      </c>
      <c r="E2128" s="24">
        <f>IFERROR(__xludf.DUMMYFUNCTION("""COMPUTED_VALUE"""),64.0)</f>
        <v>64</v>
      </c>
      <c r="F2128" s="27" t="str">
        <f>IFERROR(__xludf.DUMMYFUNCTION("""COMPUTED_VALUE"""),"BLACK")</f>
        <v>BLACK</v>
      </c>
      <c r="G2128" s="28" t="str">
        <f>IFERROR(__xludf.DUMMYFUNCTION("""COMPUTED_VALUE"""),"First Times a Charm Cider")</f>
        <v>First Times a Charm Cider</v>
      </c>
      <c r="H2128" s="27" t="str">
        <f>IFERROR(__xludf.DUMMYFUNCTION("""COMPUTED_VALUE"""),"")</f>
        <v/>
      </c>
    </row>
    <row r="2129">
      <c r="A2129" s="17"/>
      <c r="B2129" s="23"/>
      <c r="C2129" s="17">
        <f>IFERROR(__xludf.DUMMYFUNCTION("""COMPUTED_VALUE"""),43531.7921735648)</f>
        <v>43531.79217</v>
      </c>
      <c r="D2129" s="23">
        <f>IFERROR(__xludf.DUMMYFUNCTION("""COMPUTED_VALUE"""),1.051)</f>
        <v>1.051</v>
      </c>
      <c r="E2129" s="24">
        <f>IFERROR(__xludf.DUMMYFUNCTION("""COMPUTED_VALUE"""),64.0)</f>
        <v>64</v>
      </c>
      <c r="F2129" s="27" t="str">
        <f>IFERROR(__xludf.DUMMYFUNCTION("""COMPUTED_VALUE"""),"BLACK")</f>
        <v>BLACK</v>
      </c>
      <c r="G2129" s="28" t="str">
        <f>IFERROR(__xludf.DUMMYFUNCTION("""COMPUTED_VALUE"""),"First Times a Charm Cider")</f>
        <v>First Times a Charm Cider</v>
      </c>
      <c r="H2129" s="27" t="str">
        <f>IFERROR(__xludf.DUMMYFUNCTION("""COMPUTED_VALUE"""),"")</f>
        <v/>
      </c>
    </row>
    <row r="2130">
      <c r="A2130" s="17"/>
      <c r="B2130" s="23"/>
      <c r="C2130" s="17">
        <f>IFERROR(__xludf.DUMMYFUNCTION("""COMPUTED_VALUE"""),43531.7817511805)</f>
        <v>43531.78175</v>
      </c>
      <c r="D2130" s="23">
        <f>IFERROR(__xludf.DUMMYFUNCTION("""COMPUTED_VALUE"""),1.051)</f>
        <v>1.051</v>
      </c>
      <c r="E2130" s="24">
        <f>IFERROR(__xludf.DUMMYFUNCTION("""COMPUTED_VALUE"""),64.0)</f>
        <v>64</v>
      </c>
      <c r="F2130" s="27" t="str">
        <f>IFERROR(__xludf.DUMMYFUNCTION("""COMPUTED_VALUE"""),"BLACK")</f>
        <v>BLACK</v>
      </c>
      <c r="G2130" s="28" t="str">
        <f>IFERROR(__xludf.DUMMYFUNCTION("""COMPUTED_VALUE"""),"First Times a Charm Cider")</f>
        <v>First Times a Charm Cider</v>
      </c>
      <c r="H2130" s="27" t="str">
        <f>IFERROR(__xludf.DUMMYFUNCTION("""COMPUTED_VALUE"""),"")</f>
        <v/>
      </c>
    </row>
    <row r="2131">
      <c r="A2131" s="17"/>
      <c r="B2131" s="23"/>
      <c r="C2131" s="17">
        <f>IFERROR(__xludf.DUMMYFUNCTION("""COMPUTED_VALUE"""),43531.7713278935)</f>
        <v>43531.77133</v>
      </c>
      <c r="D2131" s="23">
        <f>IFERROR(__xludf.DUMMYFUNCTION("""COMPUTED_VALUE"""),1.051)</f>
        <v>1.051</v>
      </c>
      <c r="E2131" s="24">
        <f>IFERROR(__xludf.DUMMYFUNCTION("""COMPUTED_VALUE"""),64.0)</f>
        <v>64</v>
      </c>
      <c r="F2131" s="27" t="str">
        <f>IFERROR(__xludf.DUMMYFUNCTION("""COMPUTED_VALUE"""),"BLACK")</f>
        <v>BLACK</v>
      </c>
      <c r="G2131" s="28" t="str">
        <f>IFERROR(__xludf.DUMMYFUNCTION("""COMPUTED_VALUE"""),"First Times a Charm Cider")</f>
        <v>First Times a Charm Cider</v>
      </c>
      <c r="H2131" s="27" t="str">
        <f>IFERROR(__xludf.DUMMYFUNCTION("""COMPUTED_VALUE"""),"")</f>
        <v/>
      </c>
    </row>
    <row r="2132">
      <c r="A2132" s="17"/>
      <c r="B2132" s="23"/>
      <c r="C2132" s="17">
        <f>IFERROR(__xludf.DUMMYFUNCTION("""COMPUTED_VALUE"""),43531.7504856597)</f>
        <v>43531.75049</v>
      </c>
      <c r="D2132" s="23">
        <f>IFERROR(__xludf.DUMMYFUNCTION("""COMPUTED_VALUE"""),1.051)</f>
        <v>1.051</v>
      </c>
      <c r="E2132" s="24">
        <f>IFERROR(__xludf.DUMMYFUNCTION("""COMPUTED_VALUE"""),64.0)</f>
        <v>64</v>
      </c>
      <c r="F2132" s="27" t="str">
        <f>IFERROR(__xludf.DUMMYFUNCTION("""COMPUTED_VALUE"""),"BLACK")</f>
        <v>BLACK</v>
      </c>
      <c r="G2132" s="28" t="str">
        <f>IFERROR(__xludf.DUMMYFUNCTION("""COMPUTED_VALUE"""),"First Times a Charm Cider")</f>
        <v>First Times a Charm Cider</v>
      </c>
      <c r="H2132" s="27" t="str">
        <f>IFERROR(__xludf.DUMMYFUNCTION("""COMPUTED_VALUE"""),"")</f>
        <v/>
      </c>
    </row>
    <row r="2133">
      <c r="A2133" s="17"/>
      <c r="B2133" s="23"/>
      <c r="C2133" s="17">
        <f>IFERROR(__xludf.DUMMYFUNCTION("""COMPUTED_VALUE"""),43531.7296442476)</f>
        <v>43531.72964</v>
      </c>
      <c r="D2133" s="23">
        <f>IFERROR(__xludf.DUMMYFUNCTION("""COMPUTED_VALUE"""),1.051)</f>
        <v>1.051</v>
      </c>
      <c r="E2133" s="24">
        <f>IFERROR(__xludf.DUMMYFUNCTION("""COMPUTED_VALUE"""),64.0)</f>
        <v>64</v>
      </c>
      <c r="F2133" s="27" t="str">
        <f>IFERROR(__xludf.DUMMYFUNCTION("""COMPUTED_VALUE"""),"BLACK")</f>
        <v>BLACK</v>
      </c>
      <c r="G2133" s="28" t="str">
        <f>IFERROR(__xludf.DUMMYFUNCTION("""COMPUTED_VALUE"""),"First Times a Charm Cider")</f>
        <v>First Times a Charm Cider</v>
      </c>
      <c r="H2133" s="27" t="str">
        <f>IFERROR(__xludf.DUMMYFUNCTION("""COMPUTED_VALUE"""),"")</f>
        <v/>
      </c>
    </row>
    <row r="2134">
      <c r="A2134" s="17"/>
      <c r="B2134" s="23"/>
      <c r="C2134" s="17">
        <f>IFERROR(__xludf.DUMMYFUNCTION("""COMPUTED_VALUE"""),43531.7192229282)</f>
        <v>43531.71922</v>
      </c>
      <c r="D2134" s="23">
        <f>IFERROR(__xludf.DUMMYFUNCTION("""COMPUTED_VALUE"""),1.051)</f>
        <v>1.051</v>
      </c>
      <c r="E2134" s="24">
        <f>IFERROR(__xludf.DUMMYFUNCTION("""COMPUTED_VALUE"""),64.0)</f>
        <v>64</v>
      </c>
      <c r="F2134" s="27" t="str">
        <f>IFERROR(__xludf.DUMMYFUNCTION("""COMPUTED_VALUE"""),"BLACK")</f>
        <v>BLACK</v>
      </c>
      <c r="G2134" s="28" t="str">
        <f>IFERROR(__xludf.DUMMYFUNCTION("""COMPUTED_VALUE"""),"First Times a Charm Cider")</f>
        <v>First Times a Charm Cider</v>
      </c>
      <c r="H2134" s="27" t="str">
        <f>IFERROR(__xludf.DUMMYFUNCTION("""COMPUTED_VALUE"""),"")</f>
        <v/>
      </c>
    </row>
    <row r="2135">
      <c r="A2135" s="17"/>
      <c r="B2135" s="23"/>
      <c r="C2135" s="17">
        <f>IFERROR(__xludf.DUMMYFUNCTION("""COMPUTED_VALUE"""),43531.7087895949)</f>
        <v>43531.70879</v>
      </c>
      <c r="D2135" s="23">
        <f>IFERROR(__xludf.DUMMYFUNCTION("""COMPUTED_VALUE"""),1.051)</f>
        <v>1.051</v>
      </c>
      <c r="E2135" s="24">
        <f>IFERROR(__xludf.DUMMYFUNCTION("""COMPUTED_VALUE"""),64.0)</f>
        <v>64</v>
      </c>
      <c r="F2135" s="27" t="str">
        <f>IFERROR(__xludf.DUMMYFUNCTION("""COMPUTED_VALUE"""),"BLACK")</f>
        <v>BLACK</v>
      </c>
      <c r="G2135" s="28" t="str">
        <f>IFERROR(__xludf.DUMMYFUNCTION("""COMPUTED_VALUE"""),"First Times a Charm Cider")</f>
        <v>First Times a Charm Cider</v>
      </c>
      <c r="H2135" s="27" t="str">
        <f>IFERROR(__xludf.DUMMYFUNCTION("""COMPUTED_VALUE"""),"")</f>
        <v/>
      </c>
    </row>
    <row r="2136">
      <c r="A2136" s="17"/>
      <c r="B2136" s="23"/>
      <c r="C2136" s="17">
        <f>IFERROR(__xludf.DUMMYFUNCTION("""COMPUTED_VALUE"""),43531.6670617476)</f>
        <v>43531.66706</v>
      </c>
      <c r="D2136" s="23">
        <f>IFERROR(__xludf.DUMMYFUNCTION("""COMPUTED_VALUE"""),1.052)</f>
        <v>1.052</v>
      </c>
      <c r="E2136" s="24">
        <f>IFERROR(__xludf.DUMMYFUNCTION("""COMPUTED_VALUE"""),65.0)</f>
        <v>65</v>
      </c>
      <c r="F2136" s="27" t="str">
        <f>IFERROR(__xludf.DUMMYFUNCTION("""COMPUTED_VALUE"""),"BLACK")</f>
        <v>BLACK</v>
      </c>
      <c r="G2136" s="28" t="str">
        <f>IFERROR(__xludf.DUMMYFUNCTION("""COMPUTED_VALUE"""),"First Times a Charm Cider")</f>
        <v>First Times a Charm Cider</v>
      </c>
      <c r="H2136" s="27" t="str">
        <f>IFERROR(__xludf.DUMMYFUNCTION("""COMPUTED_VALUE"""),"")</f>
        <v/>
      </c>
    </row>
    <row r="2137">
      <c r="A2137" s="17"/>
      <c r="B2137" s="23"/>
      <c r="C2137" s="17">
        <f>IFERROR(__xludf.DUMMYFUNCTION("""COMPUTED_VALUE"""),43531.6566387731)</f>
        <v>43531.65664</v>
      </c>
      <c r="D2137" s="23">
        <f>IFERROR(__xludf.DUMMYFUNCTION("""COMPUTED_VALUE"""),1.052)</f>
        <v>1.052</v>
      </c>
      <c r="E2137" s="24">
        <f>IFERROR(__xludf.DUMMYFUNCTION("""COMPUTED_VALUE"""),65.0)</f>
        <v>65</v>
      </c>
      <c r="F2137" s="27" t="str">
        <f>IFERROR(__xludf.DUMMYFUNCTION("""COMPUTED_VALUE"""),"BLACK")</f>
        <v>BLACK</v>
      </c>
      <c r="G2137" s="28" t="str">
        <f>IFERROR(__xludf.DUMMYFUNCTION("""COMPUTED_VALUE"""),"First Times a Charm Cider")</f>
        <v>First Times a Charm Cider</v>
      </c>
      <c r="H2137" s="27" t="str">
        <f>IFERROR(__xludf.DUMMYFUNCTION("""COMPUTED_VALUE"""),"")</f>
        <v/>
      </c>
    </row>
    <row r="2138">
      <c r="A2138" s="17"/>
      <c r="B2138" s="23"/>
      <c r="C2138" s="17">
        <f>IFERROR(__xludf.DUMMYFUNCTION("""COMPUTED_VALUE"""),43531.646206412)</f>
        <v>43531.64621</v>
      </c>
      <c r="D2138" s="23">
        <f>IFERROR(__xludf.DUMMYFUNCTION("""COMPUTED_VALUE"""),1.052)</f>
        <v>1.052</v>
      </c>
      <c r="E2138" s="24">
        <f>IFERROR(__xludf.DUMMYFUNCTION("""COMPUTED_VALUE"""),65.0)</f>
        <v>65</v>
      </c>
      <c r="F2138" s="27" t="str">
        <f>IFERROR(__xludf.DUMMYFUNCTION("""COMPUTED_VALUE"""),"BLACK")</f>
        <v>BLACK</v>
      </c>
      <c r="G2138" s="28" t="str">
        <f>IFERROR(__xludf.DUMMYFUNCTION("""COMPUTED_VALUE"""),"First Times a Charm Cider")</f>
        <v>First Times a Charm Cider</v>
      </c>
      <c r="H2138" s="27" t="str">
        <f>IFERROR(__xludf.DUMMYFUNCTION("""COMPUTED_VALUE"""),"")</f>
        <v/>
      </c>
    </row>
    <row r="2139">
      <c r="A2139" s="17"/>
      <c r="B2139" s="23"/>
      <c r="C2139" s="17">
        <f>IFERROR(__xludf.DUMMYFUNCTION("""COMPUTED_VALUE"""),43531.6357849884)</f>
        <v>43531.63578</v>
      </c>
      <c r="D2139" s="23">
        <f>IFERROR(__xludf.DUMMYFUNCTION("""COMPUTED_VALUE"""),1.052)</f>
        <v>1.052</v>
      </c>
      <c r="E2139" s="24">
        <f>IFERROR(__xludf.DUMMYFUNCTION("""COMPUTED_VALUE"""),65.0)</f>
        <v>65</v>
      </c>
      <c r="F2139" s="27" t="str">
        <f>IFERROR(__xludf.DUMMYFUNCTION("""COMPUTED_VALUE"""),"BLACK")</f>
        <v>BLACK</v>
      </c>
      <c r="G2139" s="28" t="str">
        <f>IFERROR(__xludf.DUMMYFUNCTION("""COMPUTED_VALUE"""),"First Times a Charm Cider")</f>
        <v>First Times a Charm Cider</v>
      </c>
      <c r="H2139" s="27" t="str">
        <f>IFERROR(__xludf.DUMMYFUNCTION("""COMPUTED_VALUE"""),"")</f>
        <v/>
      </c>
    </row>
    <row r="2140">
      <c r="A2140" s="17"/>
      <c r="B2140" s="23"/>
      <c r="C2140" s="17">
        <f>IFERROR(__xludf.DUMMYFUNCTION("""COMPUTED_VALUE"""),43531.6253634722)</f>
        <v>43531.62536</v>
      </c>
      <c r="D2140" s="23">
        <f>IFERROR(__xludf.DUMMYFUNCTION("""COMPUTED_VALUE"""),1.051)</f>
        <v>1.051</v>
      </c>
      <c r="E2140" s="24">
        <f>IFERROR(__xludf.DUMMYFUNCTION("""COMPUTED_VALUE"""),65.0)</f>
        <v>65</v>
      </c>
      <c r="F2140" s="27" t="str">
        <f>IFERROR(__xludf.DUMMYFUNCTION("""COMPUTED_VALUE"""),"BLACK")</f>
        <v>BLACK</v>
      </c>
      <c r="G2140" s="28" t="str">
        <f>IFERROR(__xludf.DUMMYFUNCTION("""COMPUTED_VALUE"""),"First Times a Charm Cider")</f>
        <v>First Times a Charm Cider</v>
      </c>
      <c r="H2140" s="27" t="str">
        <f>IFERROR(__xludf.DUMMYFUNCTION("""COMPUTED_VALUE"""),"")</f>
        <v/>
      </c>
    </row>
    <row r="2141">
      <c r="A2141" s="17"/>
      <c r="B2141" s="23"/>
      <c r="C2141" s="17">
        <f>IFERROR(__xludf.DUMMYFUNCTION("""COMPUTED_VALUE"""),43531.6149418865)</f>
        <v>43531.61494</v>
      </c>
      <c r="D2141" s="23">
        <f>IFERROR(__xludf.DUMMYFUNCTION("""COMPUTED_VALUE"""),1.052)</f>
        <v>1.052</v>
      </c>
      <c r="E2141" s="24">
        <f>IFERROR(__xludf.DUMMYFUNCTION("""COMPUTED_VALUE"""),65.0)</f>
        <v>65</v>
      </c>
      <c r="F2141" s="27" t="str">
        <f>IFERROR(__xludf.DUMMYFUNCTION("""COMPUTED_VALUE"""),"BLACK")</f>
        <v>BLACK</v>
      </c>
      <c r="G2141" s="28" t="str">
        <f>IFERROR(__xludf.DUMMYFUNCTION("""COMPUTED_VALUE"""),"First Times a Charm Cider")</f>
        <v>First Times a Charm Cider</v>
      </c>
      <c r="H2141" s="27" t="str">
        <f>IFERROR(__xludf.DUMMYFUNCTION("""COMPUTED_VALUE"""),"")</f>
        <v/>
      </c>
    </row>
    <row r="2142">
      <c r="A2142" s="17"/>
      <c r="B2142" s="23"/>
      <c r="C2142" s="17">
        <f>IFERROR(__xludf.DUMMYFUNCTION("""COMPUTED_VALUE"""),43531.6045223263)</f>
        <v>43531.60452</v>
      </c>
      <c r="D2142" s="23">
        <f>IFERROR(__xludf.DUMMYFUNCTION("""COMPUTED_VALUE"""),1.051)</f>
        <v>1.051</v>
      </c>
      <c r="E2142" s="24">
        <f>IFERROR(__xludf.DUMMYFUNCTION("""COMPUTED_VALUE"""),65.0)</f>
        <v>65</v>
      </c>
      <c r="F2142" s="27" t="str">
        <f>IFERROR(__xludf.DUMMYFUNCTION("""COMPUTED_VALUE"""),"BLACK")</f>
        <v>BLACK</v>
      </c>
      <c r="G2142" s="28" t="str">
        <f>IFERROR(__xludf.DUMMYFUNCTION("""COMPUTED_VALUE"""),"First Times a Charm Cider")</f>
        <v>First Times a Charm Cider</v>
      </c>
      <c r="H2142" s="27" t="str">
        <f>IFERROR(__xludf.DUMMYFUNCTION("""COMPUTED_VALUE"""),"")</f>
        <v/>
      </c>
    </row>
    <row r="2143">
      <c r="A2143" s="17"/>
      <c r="B2143" s="23"/>
      <c r="C2143" s="17">
        <f>IFERROR(__xludf.DUMMYFUNCTION("""COMPUTED_VALUE"""),43531.5941002083)</f>
        <v>43531.5941</v>
      </c>
      <c r="D2143" s="23">
        <f>IFERROR(__xludf.DUMMYFUNCTION("""COMPUTED_VALUE"""),1.052)</f>
        <v>1.052</v>
      </c>
      <c r="E2143" s="24">
        <f>IFERROR(__xludf.DUMMYFUNCTION("""COMPUTED_VALUE"""),65.0)</f>
        <v>65</v>
      </c>
      <c r="F2143" s="27" t="str">
        <f>IFERROR(__xludf.DUMMYFUNCTION("""COMPUTED_VALUE"""),"BLACK")</f>
        <v>BLACK</v>
      </c>
      <c r="G2143" s="28" t="str">
        <f>IFERROR(__xludf.DUMMYFUNCTION("""COMPUTED_VALUE"""),"First Times a Charm Cider")</f>
        <v>First Times a Charm Cider</v>
      </c>
      <c r="H2143" s="27" t="str">
        <f>IFERROR(__xludf.DUMMYFUNCTION("""COMPUTED_VALUE"""),"")</f>
        <v/>
      </c>
    </row>
    <row r="2144">
      <c r="A2144" s="17"/>
      <c r="B2144" s="23"/>
      <c r="C2144" s="17">
        <f>IFERROR(__xludf.DUMMYFUNCTION("""COMPUTED_VALUE"""),43531.5732452662)</f>
        <v>43531.57325</v>
      </c>
      <c r="D2144" s="23">
        <f>IFERROR(__xludf.DUMMYFUNCTION("""COMPUTED_VALUE"""),1.052)</f>
        <v>1.052</v>
      </c>
      <c r="E2144" s="24">
        <f>IFERROR(__xludf.DUMMYFUNCTION("""COMPUTED_VALUE"""),65.0)</f>
        <v>65</v>
      </c>
      <c r="F2144" s="27" t="str">
        <f>IFERROR(__xludf.DUMMYFUNCTION("""COMPUTED_VALUE"""),"BLACK")</f>
        <v>BLACK</v>
      </c>
      <c r="G2144" s="28" t="str">
        <f>IFERROR(__xludf.DUMMYFUNCTION("""COMPUTED_VALUE"""),"First Times a Charm Cider")</f>
        <v>First Times a Charm Cider</v>
      </c>
      <c r="H2144" s="27" t="str">
        <f>IFERROR(__xludf.DUMMYFUNCTION("""COMPUTED_VALUE"""),"")</f>
        <v/>
      </c>
    </row>
    <row r="2145">
      <c r="A2145" s="17"/>
      <c r="B2145" s="23"/>
      <c r="C2145" s="17">
        <f>IFERROR(__xludf.DUMMYFUNCTION("""COMPUTED_VALUE"""),43531.5523818518)</f>
        <v>43531.55238</v>
      </c>
      <c r="D2145" s="23">
        <f>IFERROR(__xludf.DUMMYFUNCTION("""COMPUTED_VALUE"""),1.052)</f>
        <v>1.052</v>
      </c>
      <c r="E2145" s="24">
        <f>IFERROR(__xludf.DUMMYFUNCTION("""COMPUTED_VALUE"""),65.0)</f>
        <v>65</v>
      </c>
      <c r="F2145" s="27" t="str">
        <f>IFERROR(__xludf.DUMMYFUNCTION("""COMPUTED_VALUE"""),"BLACK")</f>
        <v>BLACK</v>
      </c>
      <c r="G2145" s="28" t="str">
        <f>IFERROR(__xludf.DUMMYFUNCTION("""COMPUTED_VALUE"""),"First Times a Charm Cider")</f>
        <v>First Times a Charm Cider</v>
      </c>
      <c r="H2145" s="27" t="str">
        <f>IFERROR(__xludf.DUMMYFUNCTION("""COMPUTED_VALUE"""),"")</f>
        <v/>
      </c>
    </row>
    <row r="2146">
      <c r="A2146" s="17"/>
      <c r="B2146" s="23"/>
      <c r="C2146" s="17">
        <f>IFERROR(__xludf.DUMMYFUNCTION("""COMPUTED_VALUE"""),43531.5419611458)</f>
        <v>43531.54196</v>
      </c>
      <c r="D2146" s="23">
        <f>IFERROR(__xludf.DUMMYFUNCTION("""COMPUTED_VALUE"""),1.052)</f>
        <v>1.052</v>
      </c>
      <c r="E2146" s="24">
        <f>IFERROR(__xludf.DUMMYFUNCTION("""COMPUTED_VALUE"""),65.0)</f>
        <v>65</v>
      </c>
      <c r="F2146" s="27" t="str">
        <f>IFERROR(__xludf.DUMMYFUNCTION("""COMPUTED_VALUE"""),"BLACK")</f>
        <v>BLACK</v>
      </c>
      <c r="G2146" s="28" t="str">
        <f>IFERROR(__xludf.DUMMYFUNCTION("""COMPUTED_VALUE"""),"First Times a Charm Cider")</f>
        <v>First Times a Charm Cider</v>
      </c>
      <c r="H2146" s="27" t="str">
        <f>IFERROR(__xludf.DUMMYFUNCTION("""COMPUTED_VALUE"""),"")</f>
        <v/>
      </c>
    </row>
    <row r="2147">
      <c r="A2147" s="17"/>
      <c r="B2147" s="23"/>
      <c r="C2147" s="17">
        <f>IFERROR(__xludf.DUMMYFUNCTION("""COMPUTED_VALUE"""),43531.5211177777)</f>
        <v>43531.52112</v>
      </c>
      <c r="D2147" s="23">
        <f>IFERROR(__xludf.DUMMYFUNCTION("""COMPUTED_VALUE"""),1.052)</f>
        <v>1.052</v>
      </c>
      <c r="E2147" s="24">
        <f>IFERROR(__xludf.DUMMYFUNCTION("""COMPUTED_VALUE"""),64.0)</f>
        <v>64</v>
      </c>
      <c r="F2147" s="27" t="str">
        <f>IFERROR(__xludf.DUMMYFUNCTION("""COMPUTED_VALUE"""),"BLACK")</f>
        <v>BLACK</v>
      </c>
      <c r="G2147" s="28" t="str">
        <f>IFERROR(__xludf.DUMMYFUNCTION("""COMPUTED_VALUE"""),"First Times a Charm Cider")</f>
        <v>First Times a Charm Cider</v>
      </c>
      <c r="H2147" s="27" t="str">
        <f>IFERROR(__xludf.DUMMYFUNCTION("""COMPUTED_VALUE"""),"")</f>
        <v/>
      </c>
    </row>
    <row r="2148">
      <c r="A2148" s="17"/>
      <c r="B2148" s="23"/>
      <c r="C2148" s="17">
        <f>IFERROR(__xludf.DUMMYFUNCTION("""COMPUTED_VALUE"""),43531.5002769907)</f>
        <v>43531.50028</v>
      </c>
      <c r="D2148" s="23">
        <f>IFERROR(__xludf.DUMMYFUNCTION("""COMPUTED_VALUE"""),1.052)</f>
        <v>1.052</v>
      </c>
      <c r="E2148" s="24">
        <f>IFERROR(__xludf.DUMMYFUNCTION("""COMPUTED_VALUE"""),64.0)</f>
        <v>64</v>
      </c>
      <c r="F2148" s="27" t="str">
        <f>IFERROR(__xludf.DUMMYFUNCTION("""COMPUTED_VALUE"""),"BLACK")</f>
        <v>BLACK</v>
      </c>
      <c r="G2148" s="28" t="str">
        <f>IFERROR(__xludf.DUMMYFUNCTION("""COMPUTED_VALUE"""),"First Times a Charm Cider")</f>
        <v>First Times a Charm Cider</v>
      </c>
      <c r="H2148" s="27" t="str">
        <f>IFERROR(__xludf.DUMMYFUNCTION("""COMPUTED_VALUE"""),"")</f>
        <v/>
      </c>
    </row>
    <row r="2149">
      <c r="A2149" s="17"/>
      <c r="B2149" s="23"/>
      <c r="C2149" s="17">
        <f>IFERROR(__xludf.DUMMYFUNCTION("""COMPUTED_VALUE"""),43531.4585695023)</f>
        <v>43531.45857</v>
      </c>
      <c r="D2149" s="23">
        <f>IFERROR(__xludf.DUMMYFUNCTION("""COMPUTED_VALUE"""),1.052)</f>
        <v>1.052</v>
      </c>
      <c r="E2149" s="24">
        <f>IFERROR(__xludf.DUMMYFUNCTION("""COMPUTED_VALUE"""),64.0)</f>
        <v>64</v>
      </c>
      <c r="F2149" s="27" t="str">
        <f>IFERROR(__xludf.DUMMYFUNCTION("""COMPUTED_VALUE"""),"BLACK")</f>
        <v>BLACK</v>
      </c>
      <c r="G2149" s="28" t="str">
        <f>IFERROR(__xludf.DUMMYFUNCTION("""COMPUTED_VALUE"""),"First Times a Charm Cider")</f>
        <v>First Times a Charm Cider</v>
      </c>
      <c r="H2149" s="27" t="str">
        <f>IFERROR(__xludf.DUMMYFUNCTION("""COMPUTED_VALUE"""),"")</f>
        <v/>
      </c>
    </row>
    <row r="2150">
      <c r="A2150" s="17"/>
      <c r="B2150" s="23"/>
      <c r="C2150" s="17">
        <f>IFERROR(__xludf.DUMMYFUNCTION("""COMPUTED_VALUE"""),43531.4481462384)</f>
        <v>43531.44815</v>
      </c>
      <c r="D2150" s="23">
        <f>IFERROR(__xludf.DUMMYFUNCTION("""COMPUTED_VALUE"""),1.052)</f>
        <v>1.052</v>
      </c>
      <c r="E2150" s="24">
        <f>IFERROR(__xludf.DUMMYFUNCTION("""COMPUTED_VALUE"""),64.0)</f>
        <v>64</v>
      </c>
      <c r="F2150" s="27" t="str">
        <f>IFERROR(__xludf.DUMMYFUNCTION("""COMPUTED_VALUE"""),"BLACK")</f>
        <v>BLACK</v>
      </c>
      <c r="G2150" s="28" t="str">
        <f>IFERROR(__xludf.DUMMYFUNCTION("""COMPUTED_VALUE"""),"First Times a Charm Cider")</f>
        <v>First Times a Charm Cider</v>
      </c>
      <c r="H2150" s="27" t="str">
        <f>IFERROR(__xludf.DUMMYFUNCTION("""COMPUTED_VALUE"""),"")</f>
        <v/>
      </c>
    </row>
    <row r="2151">
      <c r="A2151" s="17"/>
      <c r="B2151" s="23"/>
      <c r="C2151" s="17">
        <f>IFERROR(__xludf.DUMMYFUNCTION("""COMPUTED_VALUE"""),43531.4377240162)</f>
        <v>43531.43772</v>
      </c>
      <c r="D2151" s="23">
        <f>IFERROR(__xludf.DUMMYFUNCTION("""COMPUTED_VALUE"""),1.052)</f>
        <v>1.052</v>
      </c>
      <c r="E2151" s="24">
        <f>IFERROR(__xludf.DUMMYFUNCTION("""COMPUTED_VALUE"""),64.0)</f>
        <v>64</v>
      </c>
      <c r="F2151" s="27" t="str">
        <f>IFERROR(__xludf.DUMMYFUNCTION("""COMPUTED_VALUE"""),"BLACK")</f>
        <v>BLACK</v>
      </c>
      <c r="G2151" s="28" t="str">
        <f>IFERROR(__xludf.DUMMYFUNCTION("""COMPUTED_VALUE"""),"First Times a Charm Cider")</f>
        <v>First Times a Charm Cider</v>
      </c>
      <c r="H2151" s="27" t="str">
        <f>IFERROR(__xludf.DUMMYFUNCTION("""COMPUTED_VALUE"""),"")</f>
        <v/>
      </c>
    </row>
    <row r="2152">
      <c r="A2152" s="17"/>
      <c r="B2152" s="23"/>
      <c r="C2152" s="17">
        <f>IFERROR(__xludf.DUMMYFUNCTION("""COMPUTED_VALUE"""),43531.4168830324)</f>
        <v>43531.41688</v>
      </c>
      <c r="D2152" s="23">
        <f>IFERROR(__xludf.DUMMYFUNCTION("""COMPUTED_VALUE"""),1.052)</f>
        <v>1.052</v>
      </c>
      <c r="E2152" s="24">
        <f>IFERROR(__xludf.DUMMYFUNCTION("""COMPUTED_VALUE"""),64.0)</f>
        <v>64</v>
      </c>
      <c r="F2152" s="27" t="str">
        <f>IFERROR(__xludf.DUMMYFUNCTION("""COMPUTED_VALUE"""),"BLACK")</f>
        <v>BLACK</v>
      </c>
      <c r="G2152" s="28" t="str">
        <f>IFERROR(__xludf.DUMMYFUNCTION("""COMPUTED_VALUE"""),"First Times a Charm Cider")</f>
        <v>First Times a Charm Cider</v>
      </c>
      <c r="H2152" s="27" t="str">
        <f>IFERROR(__xludf.DUMMYFUNCTION("""COMPUTED_VALUE"""),"")</f>
        <v/>
      </c>
    </row>
    <row r="2153">
      <c r="A2153" s="17"/>
      <c r="B2153" s="23"/>
      <c r="C2153" s="17">
        <f>IFERROR(__xludf.DUMMYFUNCTION("""COMPUTED_VALUE"""),43531.3960396759)</f>
        <v>43531.39604</v>
      </c>
      <c r="D2153" s="23">
        <f>IFERROR(__xludf.DUMMYFUNCTION("""COMPUTED_VALUE"""),1.052)</f>
        <v>1.052</v>
      </c>
      <c r="E2153" s="24">
        <f>IFERROR(__xludf.DUMMYFUNCTION("""COMPUTED_VALUE"""),64.0)</f>
        <v>64</v>
      </c>
      <c r="F2153" s="27" t="str">
        <f>IFERROR(__xludf.DUMMYFUNCTION("""COMPUTED_VALUE"""),"BLACK")</f>
        <v>BLACK</v>
      </c>
      <c r="G2153" s="28" t="str">
        <f>IFERROR(__xludf.DUMMYFUNCTION("""COMPUTED_VALUE"""),"First Times a Charm Cider")</f>
        <v>First Times a Charm Cider</v>
      </c>
      <c r="H2153" s="27" t="str">
        <f>IFERROR(__xludf.DUMMYFUNCTION("""COMPUTED_VALUE"""),"")</f>
        <v/>
      </c>
    </row>
    <row r="2154">
      <c r="A2154" s="17"/>
      <c r="B2154" s="23"/>
      <c r="C2154" s="17">
        <f>IFERROR(__xludf.DUMMYFUNCTION("""COMPUTED_VALUE"""),43531.375183368)</f>
        <v>43531.37518</v>
      </c>
      <c r="D2154" s="23">
        <f>IFERROR(__xludf.DUMMYFUNCTION("""COMPUTED_VALUE"""),1.052)</f>
        <v>1.052</v>
      </c>
      <c r="E2154" s="24">
        <f>IFERROR(__xludf.DUMMYFUNCTION("""COMPUTED_VALUE"""),64.0)</f>
        <v>64</v>
      </c>
      <c r="F2154" s="27" t="str">
        <f>IFERROR(__xludf.DUMMYFUNCTION("""COMPUTED_VALUE"""),"BLACK")</f>
        <v>BLACK</v>
      </c>
      <c r="G2154" s="28" t="str">
        <f>IFERROR(__xludf.DUMMYFUNCTION("""COMPUTED_VALUE"""),"First Times a Charm Cider")</f>
        <v>First Times a Charm Cider</v>
      </c>
      <c r="H2154" s="27" t="str">
        <f>IFERROR(__xludf.DUMMYFUNCTION("""COMPUTED_VALUE"""),"")</f>
        <v/>
      </c>
    </row>
    <row r="2155">
      <c r="A2155" s="17"/>
      <c r="B2155" s="23"/>
      <c r="C2155" s="17">
        <f>IFERROR(__xludf.DUMMYFUNCTION("""COMPUTED_VALUE"""),43531.3647510416)</f>
        <v>43531.36475</v>
      </c>
      <c r="D2155" s="23">
        <f>IFERROR(__xludf.DUMMYFUNCTION("""COMPUTED_VALUE"""),1.052)</f>
        <v>1.052</v>
      </c>
      <c r="E2155" s="24">
        <f>IFERROR(__xludf.DUMMYFUNCTION("""COMPUTED_VALUE"""),64.0)</f>
        <v>64</v>
      </c>
      <c r="F2155" s="27" t="str">
        <f>IFERROR(__xludf.DUMMYFUNCTION("""COMPUTED_VALUE"""),"BLACK")</f>
        <v>BLACK</v>
      </c>
      <c r="G2155" s="28" t="str">
        <f>IFERROR(__xludf.DUMMYFUNCTION("""COMPUTED_VALUE"""),"First Times a Charm Cider")</f>
        <v>First Times a Charm Cider</v>
      </c>
      <c r="H2155" s="27" t="str">
        <f>IFERROR(__xludf.DUMMYFUNCTION("""COMPUTED_VALUE"""),"")</f>
        <v/>
      </c>
    </row>
    <row r="2156">
      <c r="A2156" s="17"/>
      <c r="B2156" s="23"/>
      <c r="C2156" s="17">
        <f>IFERROR(__xludf.DUMMYFUNCTION("""COMPUTED_VALUE"""),43531.3439092939)</f>
        <v>43531.34391</v>
      </c>
      <c r="D2156" s="23">
        <f>IFERROR(__xludf.DUMMYFUNCTION("""COMPUTED_VALUE"""),1.052)</f>
        <v>1.052</v>
      </c>
      <c r="E2156" s="24">
        <f>IFERROR(__xludf.DUMMYFUNCTION("""COMPUTED_VALUE"""),64.0)</f>
        <v>64</v>
      </c>
      <c r="F2156" s="27" t="str">
        <f>IFERROR(__xludf.DUMMYFUNCTION("""COMPUTED_VALUE"""),"BLACK")</f>
        <v>BLACK</v>
      </c>
      <c r="G2156" s="28" t="str">
        <f>IFERROR(__xludf.DUMMYFUNCTION("""COMPUTED_VALUE"""),"First Times a Charm Cider")</f>
        <v>First Times a Charm Cider</v>
      </c>
      <c r="H2156" s="27" t="str">
        <f>IFERROR(__xludf.DUMMYFUNCTION("""COMPUTED_VALUE"""),"")</f>
        <v/>
      </c>
    </row>
    <row r="2157">
      <c r="A2157" s="17"/>
      <c r="B2157" s="23"/>
      <c r="C2157" s="17">
        <f>IFERROR(__xludf.DUMMYFUNCTION("""COMPUTED_VALUE"""),43531.3334898263)</f>
        <v>43531.33349</v>
      </c>
      <c r="D2157" s="23">
        <f>IFERROR(__xludf.DUMMYFUNCTION("""COMPUTED_VALUE"""),1.052)</f>
        <v>1.052</v>
      </c>
      <c r="E2157" s="24">
        <f>IFERROR(__xludf.DUMMYFUNCTION("""COMPUTED_VALUE"""),64.0)</f>
        <v>64</v>
      </c>
      <c r="F2157" s="27" t="str">
        <f>IFERROR(__xludf.DUMMYFUNCTION("""COMPUTED_VALUE"""),"BLACK")</f>
        <v>BLACK</v>
      </c>
      <c r="G2157" s="28" t="str">
        <f>IFERROR(__xludf.DUMMYFUNCTION("""COMPUTED_VALUE"""),"First Times a Charm Cider")</f>
        <v>First Times a Charm Cider</v>
      </c>
      <c r="H2157" s="27" t="str">
        <f>IFERROR(__xludf.DUMMYFUNCTION("""COMPUTED_VALUE"""),"")</f>
        <v/>
      </c>
    </row>
    <row r="2158">
      <c r="A2158" s="17"/>
      <c r="B2158" s="23"/>
      <c r="C2158" s="17">
        <f>IFERROR(__xludf.DUMMYFUNCTION("""COMPUTED_VALUE"""),43531.3230693402)</f>
        <v>43531.32307</v>
      </c>
      <c r="D2158" s="23">
        <f>IFERROR(__xludf.DUMMYFUNCTION("""COMPUTED_VALUE"""),1.052)</f>
        <v>1.052</v>
      </c>
      <c r="E2158" s="24">
        <f>IFERROR(__xludf.DUMMYFUNCTION("""COMPUTED_VALUE"""),64.0)</f>
        <v>64</v>
      </c>
      <c r="F2158" s="27" t="str">
        <f>IFERROR(__xludf.DUMMYFUNCTION("""COMPUTED_VALUE"""),"BLACK")</f>
        <v>BLACK</v>
      </c>
      <c r="G2158" s="28" t="str">
        <f>IFERROR(__xludf.DUMMYFUNCTION("""COMPUTED_VALUE"""),"First Times a Charm Cider")</f>
        <v>First Times a Charm Cider</v>
      </c>
      <c r="H2158" s="27" t="str">
        <f>IFERROR(__xludf.DUMMYFUNCTION("""COMPUTED_VALUE"""),"")</f>
        <v/>
      </c>
    </row>
    <row r="2159">
      <c r="A2159" s="17"/>
      <c r="B2159" s="23"/>
      <c r="C2159" s="17">
        <f>IFERROR(__xludf.DUMMYFUNCTION("""COMPUTED_VALUE"""),43531.3022265393)</f>
        <v>43531.30223</v>
      </c>
      <c r="D2159" s="23">
        <f>IFERROR(__xludf.DUMMYFUNCTION("""COMPUTED_VALUE"""),1.052)</f>
        <v>1.052</v>
      </c>
      <c r="E2159" s="24">
        <f>IFERROR(__xludf.DUMMYFUNCTION("""COMPUTED_VALUE"""),65.0)</f>
        <v>65</v>
      </c>
      <c r="F2159" s="27" t="str">
        <f>IFERROR(__xludf.DUMMYFUNCTION("""COMPUTED_VALUE"""),"BLACK")</f>
        <v>BLACK</v>
      </c>
      <c r="G2159" s="28" t="str">
        <f>IFERROR(__xludf.DUMMYFUNCTION("""COMPUTED_VALUE"""),"First Times a Charm Cider")</f>
        <v>First Times a Charm Cider</v>
      </c>
      <c r="H2159" s="27" t="str">
        <f>IFERROR(__xludf.DUMMYFUNCTION("""COMPUTED_VALUE"""),"")</f>
        <v/>
      </c>
    </row>
    <row r="2160">
      <c r="A2160" s="17"/>
      <c r="B2160" s="23"/>
      <c r="C2160" s="17">
        <f>IFERROR(__xludf.DUMMYFUNCTION("""COMPUTED_VALUE"""),43531.2918045601)</f>
        <v>43531.2918</v>
      </c>
      <c r="D2160" s="23">
        <f>IFERROR(__xludf.DUMMYFUNCTION("""COMPUTED_VALUE"""),1.052)</f>
        <v>1.052</v>
      </c>
      <c r="E2160" s="24">
        <f>IFERROR(__xludf.DUMMYFUNCTION("""COMPUTED_VALUE"""),65.0)</f>
        <v>65</v>
      </c>
      <c r="F2160" s="27" t="str">
        <f>IFERROR(__xludf.DUMMYFUNCTION("""COMPUTED_VALUE"""),"BLACK")</f>
        <v>BLACK</v>
      </c>
      <c r="G2160" s="28" t="str">
        <f>IFERROR(__xludf.DUMMYFUNCTION("""COMPUTED_VALUE"""),"First Times a Charm Cider")</f>
        <v>First Times a Charm Cider</v>
      </c>
      <c r="H2160" s="27" t="str">
        <f>IFERROR(__xludf.DUMMYFUNCTION("""COMPUTED_VALUE"""),"")</f>
        <v/>
      </c>
    </row>
    <row r="2161">
      <c r="A2161" s="17"/>
      <c r="B2161" s="23"/>
      <c r="C2161" s="17">
        <f>IFERROR(__xludf.DUMMYFUNCTION("""COMPUTED_VALUE"""),43531.2709509953)</f>
        <v>43531.27095</v>
      </c>
      <c r="D2161" s="23">
        <f>IFERROR(__xludf.DUMMYFUNCTION("""COMPUTED_VALUE"""),1.052)</f>
        <v>1.052</v>
      </c>
      <c r="E2161" s="24">
        <f>IFERROR(__xludf.DUMMYFUNCTION("""COMPUTED_VALUE"""),65.0)</f>
        <v>65</v>
      </c>
      <c r="F2161" s="27" t="str">
        <f>IFERROR(__xludf.DUMMYFUNCTION("""COMPUTED_VALUE"""),"BLACK")</f>
        <v>BLACK</v>
      </c>
      <c r="G2161" s="28" t="str">
        <f>IFERROR(__xludf.DUMMYFUNCTION("""COMPUTED_VALUE"""),"First Times a Charm Cider")</f>
        <v>First Times a Charm Cider</v>
      </c>
      <c r="H2161" s="27" t="str">
        <f>IFERROR(__xludf.DUMMYFUNCTION("""COMPUTED_VALUE"""),"")</f>
        <v/>
      </c>
    </row>
    <row r="2162">
      <c r="A2162" s="17"/>
      <c r="B2162" s="23"/>
      <c r="C2162" s="17">
        <f>IFERROR(__xludf.DUMMYFUNCTION("""COMPUTED_VALUE"""),43531.2605286921)</f>
        <v>43531.26053</v>
      </c>
      <c r="D2162" s="23">
        <f>IFERROR(__xludf.DUMMYFUNCTION("""COMPUTED_VALUE"""),1.052)</f>
        <v>1.052</v>
      </c>
      <c r="E2162" s="24">
        <f>IFERROR(__xludf.DUMMYFUNCTION("""COMPUTED_VALUE"""),65.0)</f>
        <v>65</v>
      </c>
      <c r="F2162" s="27" t="str">
        <f>IFERROR(__xludf.DUMMYFUNCTION("""COMPUTED_VALUE"""),"BLACK")</f>
        <v>BLACK</v>
      </c>
      <c r="G2162" s="28" t="str">
        <f>IFERROR(__xludf.DUMMYFUNCTION("""COMPUTED_VALUE"""),"First Times a Charm Cider")</f>
        <v>First Times a Charm Cider</v>
      </c>
      <c r="H2162" s="27" t="str">
        <f>IFERROR(__xludf.DUMMYFUNCTION("""COMPUTED_VALUE"""),"")</f>
        <v/>
      </c>
    </row>
    <row r="2163">
      <c r="A2163" s="17"/>
      <c r="B2163" s="23"/>
      <c r="C2163" s="17">
        <f>IFERROR(__xludf.DUMMYFUNCTION("""COMPUTED_VALUE"""),43531.2500949189)</f>
        <v>43531.25009</v>
      </c>
      <c r="D2163" s="23">
        <f>IFERROR(__xludf.DUMMYFUNCTION("""COMPUTED_VALUE"""),1.052)</f>
        <v>1.052</v>
      </c>
      <c r="E2163" s="24">
        <f>IFERROR(__xludf.DUMMYFUNCTION("""COMPUTED_VALUE"""),65.0)</f>
        <v>65</v>
      </c>
      <c r="F2163" s="27" t="str">
        <f>IFERROR(__xludf.DUMMYFUNCTION("""COMPUTED_VALUE"""),"BLACK")</f>
        <v>BLACK</v>
      </c>
      <c r="G2163" s="28" t="str">
        <f>IFERROR(__xludf.DUMMYFUNCTION("""COMPUTED_VALUE"""),"First Times a Charm Cider")</f>
        <v>First Times a Charm Cider</v>
      </c>
      <c r="H2163" s="27" t="str">
        <f>IFERROR(__xludf.DUMMYFUNCTION("""COMPUTED_VALUE"""),"")</f>
        <v/>
      </c>
    </row>
    <row r="2164">
      <c r="A2164" s="17"/>
      <c r="B2164" s="23"/>
      <c r="C2164" s="17">
        <f>IFERROR(__xludf.DUMMYFUNCTION("""COMPUTED_VALUE"""),43531.2396741782)</f>
        <v>43531.23967</v>
      </c>
      <c r="D2164" s="23">
        <f>IFERROR(__xludf.DUMMYFUNCTION("""COMPUTED_VALUE"""),1.052)</f>
        <v>1.052</v>
      </c>
      <c r="E2164" s="24">
        <f>IFERROR(__xludf.DUMMYFUNCTION("""COMPUTED_VALUE"""),65.0)</f>
        <v>65</v>
      </c>
      <c r="F2164" s="27" t="str">
        <f>IFERROR(__xludf.DUMMYFUNCTION("""COMPUTED_VALUE"""),"BLACK")</f>
        <v>BLACK</v>
      </c>
      <c r="G2164" s="28" t="str">
        <f>IFERROR(__xludf.DUMMYFUNCTION("""COMPUTED_VALUE"""),"First Times a Charm Cider")</f>
        <v>First Times a Charm Cider</v>
      </c>
      <c r="H2164" s="27" t="str">
        <f>IFERROR(__xludf.DUMMYFUNCTION("""COMPUTED_VALUE"""),"")</f>
        <v/>
      </c>
    </row>
    <row r="2165">
      <c r="A2165" s="17"/>
      <c r="B2165" s="23"/>
      <c r="C2165" s="17">
        <f>IFERROR(__xludf.DUMMYFUNCTION("""COMPUTED_VALUE"""),43531.2292528935)</f>
        <v>43531.22925</v>
      </c>
      <c r="D2165" s="23">
        <f>IFERROR(__xludf.DUMMYFUNCTION("""COMPUTED_VALUE"""),1.052)</f>
        <v>1.052</v>
      </c>
      <c r="E2165" s="24">
        <f>IFERROR(__xludf.DUMMYFUNCTION("""COMPUTED_VALUE"""),65.0)</f>
        <v>65</v>
      </c>
      <c r="F2165" s="27" t="str">
        <f>IFERROR(__xludf.DUMMYFUNCTION("""COMPUTED_VALUE"""),"BLACK")</f>
        <v>BLACK</v>
      </c>
      <c r="G2165" s="28" t="str">
        <f>IFERROR(__xludf.DUMMYFUNCTION("""COMPUTED_VALUE"""),"First Times a Charm Cider")</f>
        <v>First Times a Charm Cider</v>
      </c>
      <c r="H2165" s="27" t="str">
        <f>IFERROR(__xludf.DUMMYFUNCTION("""COMPUTED_VALUE"""),"")</f>
        <v/>
      </c>
    </row>
    <row r="2166">
      <c r="A2166" s="17"/>
      <c r="B2166" s="23"/>
      <c r="C2166" s="17">
        <f>IFERROR(__xludf.DUMMYFUNCTION("""COMPUTED_VALUE"""),43531.2188332175)</f>
        <v>43531.21883</v>
      </c>
      <c r="D2166" s="23">
        <f>IFERROR(__xludf.DUMMYFUNCTION("""COMPUTED_VALUE"""),1.052)</f>
        <v>1.052</v>
      </c>
      <c r="E2166" s="24">
        <f>IFERROR(__xludf.DUMMYFUNCTION("""COMPUTED_VALUE"""),65.0)</f>
        <v>65</v>
      </c>
      <c r="F2166" s="27" t="str">
        <f>IFERROR(__xludf.DUMMYFUNCTION("""COMPUTED_VALUE"""),"BLACK")</f>
        <v>BLACK</v>
      </c>
      <c r="G2166" s="28" t="str">
        <f>IFERROR(__xludf.DUMMYFUNCTION("""COMPUTED_VALUE"""),"First Times a Charm Cider")</f>
        <v>First Times a Charm Cider</v>
      </c>
      <c r="H2166" s="27" t="str">
        <f>IFERROR(__xludf.DUMMYFUNCTION("""COMPUTED_VALUE"""),"")</f>
        <v/>
      </c>
    </row>
    <row r="2167">
      <c r="A2167" s="17"/>
      <c r="B2167" s="23"/>
      <c r="C2167" s="17">
        <f>IFERROR(__xludf.DUMMYFUNCTION("""COMPUTED_VALUE"""),43531.2084006481)</f>
        <v>43531.2084</v>
      </c>
      <c r="D2167" s="23">
        <f>IFERROR(__xludf.DUMMYFUNCTION("""COMPUTED_VALUE"""),1.052)</f>
        <v>1.052</v>
      </c>
      <c r="E2167" s="24">
        <f>IFERROR(__xludf.DUMMYFUNCTION("""COMPUTED_VALUE"""),65.0)</f>
        <v>65</v>
      </c>
      <c r="F2167" s="27" t="str">
        <f>IFERROR(__xludf.DUMMYFUNCTION("""COMPUTED_VALUE"""),"BLACK")</f>
        <v>BLACK</v>
      </c>
      <c r="G2167" s="28" t="str">
        <f>IFERROR(__xludf.DUMMYFUNCTION("""COMPUTED_VALUE"""),"First Times a Charm Cider")</f>
        <v>First Times a Charm Cider</v>
      </c>
      <c r="H2167" s="27" t="str">
        <f>IFERROR(__xludf.DUMMYFUNCTION("""COMPUTED_VALUE"""),"")</f>
        <v/>
      </c>
    </row>
    <row r="2168">
      <c r="A2168" s="17"/>
      <c r="B2168" s="23"/>
      <c r="C2168" s="17">
        <f>IFERROR(__xludf.DUMMYFUNCTION("""COMPUTED_VALUE"""),43531.1875588773)</f>
        <v>43531.18756</v>
      </c>
      <c r="D2168" s="23">
        <f>IFERROR(__xludf.DUMMYFUNCTION("""COMPUTED_VALUE"""),1.052)</f>
        <v>1.052</v>
      </c>
      <c r="E2168" s="24">
        <f>IFERROR(__xludf.DUMMYFUNCTION("""COMPUTED_VALUE"""),65.0)</f>
        <v>65</v>
      </c>
      <c r="F2168" s="27" t="str">
        <f>IFERROR(__xludf.DUMMYFUNCTION("""COMPUTED_VALUE"""),"BLACK")</f>
        <v>BLACK</v>
      </c>
      <c r="G2168" s="28" t="str">
        <f>IFERROR(__xludf.DUMMYFUNCTION("""COMPUTED_VALUE"""),"First Times a Charm Cider")</f>
        <v>First Times a Charm Cider</v>
      </c>
      <c r="H2168" s="27" t="str">
        <f>IFERROR(__xludf.DUMMYFUNCTION("""COMPUTED_VALUE"""),"")</f>
        <v/>
      </c>
    </row>
    <row r="2169">
      <c r="A2169" s="17"/>
      <c r="B2169" s="23"/>
      <c r="C2169" s="17">
        <f>IFERROR(__xludf.DUMMYFUNCTION("""COMPUTED_VALUE"""),43531.1667045949)</f>
        <v>43531.1667</v>
      </c>
      <c r="D2169" s="23">
        <f>IFERROR(__xludf.DUMMYFUNCTION("""COMPUTED_VALUE"""),1.053)</f>
        <v>1.053</v>
      </c>
      <c r="E2169" s="24">
        <f>IFERROR(__xludf.DUMMYFUNCTION("""COMPUTED_VALUE"""),65.0)</f>
        <v>65</v>
      </c>
      <c r="F2169" s="27" t="str">
        <f>IFERROR(__xludf.DUMMYFUNCTION("""COMPUTED_VALUE"""),"BLACK")</f>
        <v>BLACK</v>
      </c>
      <c r="G2169" s="28" t="str">
        <f>IFERROR(__xludf.DUMMYFUNCTION("""COMPUTED_VALUE"""),"First Times a Charm Cider")</f>
        <v>First Times a Charm Cider</v>
      </c>
      <c r="H2169" s="27" t="str">
        <f>IFERROR(__xludf.DUMMYFUNCTION("""COMPUTED_VALUE"""),"")</f>
        <v/>
      </c>
    </row>
    <row r="2170">
      <c r="A2170" s="17"/>
      <c r="B2170" s="23"/>
      <c r="C2170" s="17">
        <f>IFERROR(__xludf.DUMMYFUNCTION("""COMPUTED_VALUE"""),43531.1458626041)</f>
        <v>43531.14586</v>
      </c>
      <c r="D2170" s="23">
        <f>IFERROR(__xludf.DUMMYFUNCTION("""COMPUTED_VALUE"""),1.053)</f>
        <v>1.053</v>
      </c>
      <c r="E2170" s="24">
        <f>IFERROR(__xludf.DUMMYFUNCTION("""COMPUTED_VALUE"""),65.0)</f>
        <v>65</v>
      </c>
      <c r="F2170" s="27" t="str">
        <f>IFERROR(__xludf.DUMMYFUNCTION("""COMPUTED_VALUE"""),"BLACK")</f>
        <v>BLACK</v>
      </c>
      <c r="G2170" s="28" t="str">
        <f>IFERROR(__xludf.DUMMYFUNCTION("""COMPUTED_VALUE"""),"First Times a Charm Cider")</f>
        <v>First Times a Charm Cider</v>
      </c>
      <c r="H2170" s="27" t="str">
        <f>IFERROR(__xludf.DUMMYFUNCTION("""COMPUTED_VALUE"""),"")</f>
        <v/>
      </c>
    </row>
    <row r="2171">
      <c r="A2171" s="17"/>
      <c r="B2171" s="23"/>
      <c r="C2171" s="17">
        <f>IFERROR(__xludf.DUMMYFUNCTION("""COMPUTED_VALUE"""),43531.1354431481)</f>
        <v>43531.13544</v>
      </c>
      <c r="D2171" s="23">
        <f>IFERROR(__xludf.DUMMYFUNCTION("""COMPUTED_VALUE"""),1.053)</f>
        <v>1.053</v>
      </c>
      <c r="E2171" s="24">
        <f>IFERROR(__xludf.DUMMYFUNCTION("""COMPUTED_VALUE"""),65.0)</f>
        <v>65</v>
      </c>
      <c r="F2171" s="27" t="str">
        <f>IFERROR(__xludf.DUMMYFUNCTION("""COMPUTED_VALUE"""),"BLACK")</f>
        <v>BLACK</v>
      </c>
      <c r="G2171" s="28" t="str">
        <f>IFERROR(__xludf.DUMMYFUNCTION("""COMPUTED_VALUE"""),"First Times a Charm Cider")</f>
        <v>First Times a Charm Cider</v>
      </c>
      <c r="H2171" s="27" t="str">
        <f>IFERROR(__xludf.DUMMYFUNCTION("""COMPUTED_VALUE"""),"")</f>
        <v/>
      </c>
    </row>
    <row r="2172">
      <c r="A2172" s="17"/>
      <c r="B2172" s="23"/>
      <c r="C2172" s="17">
        <f>IFERROR(__xludf.DUMMYFUNCTION("""COMPUTED_VALUE"""),43531.1146016319)</f>
        <v>43531.1146</v>
      </c>
      <c r="D2172" s="23">
        <f>IFERROR(__xludf.DUMMYFUNCTION("""COMPUTED_VALUE"""),1.052)</f>
        <v>1.052</v>
      </c>
      <c r="E2172" s="24">
        <f>IFERROR(__xludf.DUMMYFUNCTION("""COMPUTED_VALUE"""),65.0)</f>
        <v>65</v>
      </c>
      <c r="F2172" s="27" t="str">
        <f>IFERROR(__xludf.DUMMYFUNCTION("""COMPUTED_VALUE"""),"BLACK")</f>
        <v>BLACK</v>
      </c>
      <c r="G2172" s="28" t="str">
        <f>IFERROR(__xludf.DUMMYFUNCTION("""COMPUTED_VALUE"""),"First Times a Charm Cider")</f>
        <v>First Times a Charm Cider</v>
      </c>
      <c r="H2172" s="27" t="str">
        <f>IFERROR(__xludf.DUMMYFUNCTION("""COMPUTED_VALUE"""),"")</f>
        <v/>
      </c>
    </row>
    <row r="2173">
      <c r="A2173" s="17"/>
      <c r="B2173" s="23"/>
      <c r="C2173" s="17">
        <f>IFERROR(__xludf.DUMMYFUNCTION("""COMPUTED_VALUE"""),43531.0937615972)</f>
        <v>43531.09376</v>
      </c>
      <c r="D2173" s="23">
        <f>IFERROR(__xludf.DUMMYFUNCTION("""COMPUTED_VALUE"""),1.053)</f>
        <v>1.053</v>
      </c>
      <c r="E2173" s="24">
        <f>IFERROR(__xludf.DUMMYFUNCTION("""COMPUTED_VALUE"""),65.0)</f>
        <v>65</v>
      </c>
      <c r="F2173" s="27" t="str">
        <f>IFERROR(__xludf.DUMMYFUNCTION("""COMPUTED_VALUE"""),"BLACK")</f>
        <v>BLACK</v>
      </c>
      <c r="G2173" s="28" t="str">
        <f>IFERROR(__xludf.DUMMYFUNCTION("""COMPUTED_VALUE"""),"First Times a Charm Cider")</f>
        <v>First Times a Charm Cider</v>
      </c>
      <c r="H2173" s="27" t="str">
        <f>IFERROR(__xludf.DUMMYFUNCTION("""COMPUTED_VALUE"""),"")</f>
        <v/>
      </c>
    </row>
    <row r="2174">
      <c r="A2174" s="17"/>
      <c r="B2174" s="23"/>
      <c r="C2174" s="17">
        <f>IFERROR(__xludf.DUMMYFUNCTION("""COMPUTED_VALUE"""),43531.0833290856)</f>
        <v>43531.08333</v>
      </c>
      <c r="D2174" s="23">
        <f>IFERROR(__xludf.DUMMYFUNCTION("""COMPUTED_VALUE"""),1.052)</f>
        <v>1.052</v>
      </c>
      <c r="E2174" s="24">
        <f>IFERROR(__xludf.DUMMYFUNCTION("""COMPUTED_VALUE"""),65.0)</f>
        <v>65</v>
      </c>
      <c r="F2174" s="27" t="str">
        <f>IFERROR(__xludf.DUMMYFUNCTION("""COMPUTED_VALUE"""),"BLACK")</f>
        <v>BLACK</v>
      </c>
      <c r="G2174" s="28" t="str">
        <f>IFERROR(__xludf.DUMMYFUNCTION("""COMPUTED_VALUE"""),"First Times a Charm Cider")</f>
        <v>First Times a Charm Cider</v>
      </c>
      <c r="H2174" s="27" t="str">
        <f>IFERROR(__xludf.DUMMYFUNCTION("""COMPUTED_VALUE"""),"")</f>
        <v/>
      </c>
    </row>
    <row r="2175">
      <c r="A2175" s="17"/>
      <c r="B2175" s="23"/>
      <c r="C2175" s="17">
        <f>IFERROR(__xludf.DUMMYFUNCTION("""COMPUTED_VALUE"""),43531.0728963657)</f>
        <v>43531.0729</v>
      </c>
      <c r="D2175" s="23">
        <f>IFERROR(__xludf.DUMMYFUNCTION("""COMPUTED_VALUE"""),1.053)</f>
        <v>1.053</v>
      </c>
      <c r="E2175" s="24">
        <f>IFERROR(__xludf.DUMMYFUNCTION("""COMPUTED_VALUE"""),65.0)</f>
        <v>65</v>
      </c>
      <c r="F2175" s="27" t="str">
        <f>IFERROR(__xludf.DUMMYFUNCTION("""COMPUTED_VALUE"""),"BLACK")</f>
        <v>BLACK</v>
      </c>
      <c r="G2175" s="28" t="str">
        <f>IFERROR(__xludf.DUMMYFUNCTION("""COMPUTED_VALUE"""),"First Times a Charm Cider")</f>
        <v>First Times a Charm Cider</v>
      </c>
      <c r="H2175" s="27" t="str">
        <f>IFERROR(__xludf.DUMMYFUNCTION("""COMPUTED_VALUE"""),"")</f>
        <v/>
      </c>
    </row>
    <row r="2176">
      <c r="A2176" s="17"/>
      <c r="B2176" s="23"/>
      <c r="C2176" s="17">
        <f>IFERROR(__xludf.DUMMYFUNCTION("""COMPUTED_VALUE"""),43531.0624757986)</f>
        <v>43531.06248</v>
      </c>
      <c r="D2176" s="23">
        <f>IFERROR(__xludf.DUMMYFUNCTION("""COMPUTED_VALUE"""),1.053)</f>
        <v>1.053</v>
      </c>
      <c r="E2176" s="24">
        <f>IFERROR(__xludf.DUMMYFUNCTION("""COMPUTED_VALUE"""),64.0)</f>
        <v>64</v>
      </c>
      <c r="F2176" s="27" t="str">
        <f>IFERROR(__xludf.DUMMYFUNCTION("""COMPUTED_VALUE"""),"BLACK")</f>
        <v>BLACK</v>
      </c>
      <c r="G2176" s="28" t="str">
        <f>IFERROR(__xludf.DUMMYFUNCTION("""COMPUTED_VALUE"""),"First Times a Charm Cider")</f>
        <v>First Times a Charm Cider</v>
      </c>
      <c r="H2176" s="27" t="str">
        <f>IFERROR(__xludf.DUMMYFUNCTION("""COMPUTED_VALUE"""),"")</f>
        <v/>
      </c>
    </row>
    <row r="2177">
      <c r="A2177" s="17"/>
      <c r="B2177" s="23"/>
      <c r="C2177" s="17">
        <f>IFERROR(__xludf.DUMMYFUNCTION("""COMPUTED_VALUE"""),43531.0520564467)</f>
        <v>43531.05206</v>
      </c>
      <c r="D2177" s="23">
        <f>IFERROR(__xludf.DUMMYFUNCTION("""COMPUTED_VALUE"""),1.053)</f>
        <v>1.053</v>
      </c>
      <c r="E2177" s="24">
        <f>IFERROR(__xludf.DUMMYFUNCTION("""COMPUTED_VALUE"""),64.0)</f>
        <v>64</v>
      </c>
      <c r="F2177" s="27" t="str">
        <f>IFERROR(__xludf.DUMMYFUNCTION("""COMPUTED_VALUE"""),"BLACK")</f>
        <v>BLACK</v>
      </c>
      <c r="G2177" s="28" t="str">
        <f>IFERROR(__xludf.DUMMYFUNCTION("""COMPUTED_VALUE"""),"First Times a Charm Cider")</f>
        <v>First Times a Charm Cider</v>
      </c>
      <c r="H2177" s="27" t="str">
        <f>IFERROR(__xludf.DUMMYFUNCTION("""COMPUTED_VALUE"""),"")</f>
        <v/>
      </c>
    </row>
    <row r="2178">
      <c r="A2178" s="17"/>
      <c r="B2178" s="23"/>
      <c r="C2178" s="17">
        <f>IFERROR(__xludf.DUMMYFUNCTION("""COMPUTED_VALUE"""),43531.0416356712)</f>
        <v>43531.04164</v>
      </c>
      <c r="D2178" s="23">
        <f>IFERROR(__xludf.DUMMYFUNCTION("""COMPUTED_VALUE"""),1.053)</f>
        <v>1.053</v>
      </c>
      <c r="E2178" s="24">
        <f>IFERROR(__xludf.DUMMYFUNCTION("""COMPUTED_VALUE"""),64.0)</f>
        <v>64</v>
      </c>
      <c r="F2178" s="27" t="str">
        <f>IFERROR(__xludf.DUMMYFUNCTION("""COMPUTED_VALUE"""),"BLACK")</f>
        <v>BLACK</v>
      </c>
      <c r="G2178" s="28" t="str">
        <f>IFERROR(__xludf.DUMMYFUNCTION("""COMPUTED_VALUE"""),"First Times a Charm Cider")</f>
        <v>First Times a Charm Cider</v>
      </c>
      <c r="H2178" s="27" t="str">
        <f>IFERROR(__xludf.DUMMYFUNCTION("""COMPUTED_VALUE"""),"")</f>
        <v/>
      </c>
    </row>
    <row r="2179">
      <c r="A2179" s="17"/>
      <c r="B2179" s="23"/>
      <c r="C2179" s="17">
        <f>IFERROR(__xludf.DUMMYFUNCTION("""COMPUTED_VALUE"""),43531.0207790277)</f>
        <v>43531.02078</v>
      </c>
      <c r="D2179" s="23">
        <f>IFERROR(__xludf.DUMMYFUNCTION("""COMPUTED_VALUE"""),1.053)</f>
        <v>1.053</v>
      </c>
      <c r="E2179" s="24">
        <f>IFERROR(__xludf.DUMMYFUNCTION("""COMPUTED_VALUE"""),64.0)</f>
        <v>64</v>
      </c>
      <c r="F2179" s="27" t="str">
        <f>IFERROR(__xludf.DUMMYFUNCTION("""COMPUTED_VALUE"""),"BLACK")</f>
        <v>BLACK</v>
      </c>
      <c r="G2179" s="28" t="str">
        <f>IFERROR(__xludf.DUMMYFUNCTION("""COMPUTED_VALUE"""),"First Times a Charm Cider")</f>
        <v>First Times a Charm Cider</v>
      </c>
      <c r="H2179" s="27" t="str">
        <f>IFERROR(__xludf.DUMMYFUNCTION("""COMPUTED_VALUE"""),"")</f>
        <v/>
      </c>
    </row>
    <row r="2180">
      <c r="A2180" s="17"/>
      <c r="B2180" s="23"/>
      <c r="C2180" s="17">
        <f>IFERROR(__xludf.DUMMYFUNCTION("""COMPUTED_VALUE"""),43531.0103599074)</f>
        <v>43531.01036</v>
      </c>
      <c r="D2180" s="23">
        <f>IFERROR(__xludf.DUMMYFUNCTION("""COMPUTED_VALUE"""),1.053)</f>
        <v>1.053</v>
      </c>
      <c r="E2180" s="24">
        <f>IFERROR(__xludf.DUMMYFUNCTION("""COMPUTED_VALUE"""),64.0)</f>
        <v>64</v>
      </c>
      <c r="F2180" s="27" t="str">
        <f>IFERROR(__xludf.DUMMYFUNCTION("""COMPUTED_VALUE"""),"BLACK")</f>
        <v>BLACK</v>
      </c>
      <c r="G2180" s="28" t="str">
        <f>IFERROR(__xludf.DUMMYFUNCTION("""COMPUTED_VALUE"""),"First Times a Charm Cider")</f>
        <v>First Times a Charm Cider</v>
      </c>
      <c r="H2180" s="27" t="str">
        <f>IFERROR(__xludf.DUMMYFUNCTION("""COMPUTED_VALUE"""),"")</f>
        <v/>
      </c>
    </row>
    <row r="2181">
      <c r="A2181" s="17"/>
      <c r="B2181" s="23"/>
      <c r="C2181" s="17">
        <f>IFERROR(__xludf.DUMMYFUNCTION("""COMPUTED_VALUE"""),43530.9999389004)</f>
        <v>43530.99994</v>
      </c>
      <c r="D2181" s="23">
        <f>IFERROR(__xludf.DUMMYFUNCTION("""COMPUTED_VALUE"""),1.053)</f>
        <v>1.053</v>
      </c>
      <c r="E2181" s="24">
        <f>IFERROR(__xludf.DUMMYFUNCTION("""COMPUTED_VALUE"""),64.0)</f>
        <v>64</v>
      </c>
      <c r="F2181" s="27" t="str">
        <f>IFERROR(__xludf.DUMMYFUNCTION("""COMPUTED_VALUE"""),"BLACK")</f>
        <v>BLACK</v>
      </c>
      <c r="G2181" s="28" t="str">
        <f>IFERROR(__xludf.DUMMYFUNCTION("""COMPUTED_VALUE"""),"First Times a Charm Cider")</f>
        <v>First Times a Charm Cider</v>
      </c>
      <c r="H2181" s="27" t="str">
        <f>IFERROR(__xludf.DUMMYFUNCTION("""COMPUTED_VALUE"""),"")</f>
        <v/>
      </c>
    </row>
    <row r="2182">
      <c r="A2182" s="17"/>
      <c r="B2182" s="23"/>
      <c r="C2182" s="17">
        <f>IFERROR(__xludf.DUMMYFUNCTION("""COMPUTED_VALUE"""),43530.9790873148)</f>
        <v>43530.97909</v>
      </c>
      <c r="D2182" s="23">
        <f>IFERROR(__xludf.DUMMYFUNCTION("""COMPUTED_VALUE"""),1.053)</f>
        <v>1.053</v>
      </c>
      <c r="E2182" s="24">
        <f>IFERROR(__xludf.DUMMYFUNCTION("""COMPUTED_VALUE"""),64.0)</f>
        <v>64</v>
      </c>
      <c r="F2182" s="27" t="str">
        <f>IFERROR(__xludf.DUMMYFUNCTION("""COMPUTED_VALUE"""),"BLACK")</f>
        <v>BLACK</v>
      </c>
      <c r="G2182" s="28" t="str">
        <f>IFERROR(__xludf.DUMMYFUNCTION("""COMPUTED_VALUE"""),"First Times a Charm Cider")</f>
        <v>First Times a Charm Cider</v>
      </c>
      <c r="H2182" s="27" t="str">
        <f>IFERROR(__xludf.DUMMYFUNCTION("""COMPUTED_VALUE"""),"")</f>
        <v/>
      </c>
    </row>
    <row r="2183">
      <c r="A2183" s="17"/>
      <c r="B2183" s="23"/>
      <c r="C2183" s="17">
        <f>IFERROR(__xludf.DUMMYFUNCTION("""COMPUTED_VALUE"""),43530.9686653472)</f>
        <v>43530.96867</v>
      </c>
      <c r="D2183" s="23">
        <f>IFERROR(__xludf.DUMMYFUNCTION("""COMPUTED_VALUE"""),1.053)</f>
        <v>1.053</v>
      </c>
      <c r="E2183" s="24">
        <f>IFERROR(__xludf.DUMMYFUNCTION("""COMPUTED_VALUE"""),64.0)</f>
        <v>64</v>
      </c>
      <c r="F2183" s="27" t="str">
        <f>IFERROR(__xludf.DUMMYFUNCTION("""COMPUTED_VALUE"""),"BLACK")</f>
        <v>BLACK</v>
      </c>
      <c r="G2183" s="28" t="str">
        <f>IFERROR(__xludf.DUMMYFUNCTION("""COMPUTED_VALUE"""),"First Times a Charm Cider")</f>
        <v>First Times a Charm Cider</v>
      </c>
      <c r="H2183" s="27" t="str">
        <f>IFERROR(__xludf.DUMMYFUNCTION("""COMPUTED_VALUE"""),"")</f>
        <v/>
      </c>
    </row>
    <row r="2184">
      <c r="A2184" s="17"/>
      <c r="B2184" s="23"/>
      <c r="C2184" s="17">
        <f>IFERROR(__xludf.DUMMYFUNCTION("""COMPUTED_VALUE"""),43530.9582450694)</f>
        <v>43530.95825</v>
      </c>
      <c r="D2184" s="23">
        <f>IFERROR(__xludf.DUMMYFUNCTION("""COMPUTED_VALUE"""),1.053)</f>
        <v>1.053</v>
      </c>
      <c r="E2184" s="24">
        <f>IFERROR(__xludf.DUMMYFUNCTION("""COMPUTED_VALUE"""),64.0)</f>
        <v>64</v>
      </c>
      <c r="F2184" s="27" t="str">
        <f>IFERROR(__xludf.DUMMYFUNCTION("""COMPUTED_VALUE"""),"BLACK")</f>
        <v>BLACK</v>
      </c>
      <c r="G2184" s="28" t="str">
        <f>IFERROR(__xludf.DUMMYFUNCTION("""COMPUTED_VALUE"""),"First Times a Charm Cider")</f>
        <v>First Times a Charm Cider</v>
      </c>
      <c r="H2184" s="27" t="str">
        <f>IFERROR(__xludf.DUMMYFUNCTION("""COMPUTED_VALUE"""),"")</f>
        <v/>
      </c>
    </row>
    <row r="2185">
      <c r="A2185" s="17"/>
      <c r="B2185" s="23"/>
      <c r="C2185" s="17">
        <f>IFERROR(__xludf.DUMMYFUNCTION("""COMPUTED_VALUE"""),43530.9478250347)</f>
        <v>43530.94783</v>
      </c>
      <c r="D2185" s="23">
        <f>IFERROR(__xludf.DUMMYFUNCTION("""COMPUTED_VALUE"""),1.053)</f>
        <v>1.053</v>
      </c>
      <c r="E2185" s="24">
        <f>IFERROR(__xludf.DUMMYFUNCTION("""COMPUTED_VALUE"""),64.0)</f>
        <v>64</v>
      </c>
      <c r="F2185" s="27" t="str">
        <f>IFERROR(__xludf.DUMMYFUNCTION("""COMPUTED_VALUE"""),"BLACK")</f>
        <v>BLACK</v>
      </c>
      <c r="G2185" s="28" t="str">
        <f>IFERROR(__xludf.DUMMYFUNCTION("""COMPUTED_VALUE"""),"First Times a Charm Cider")</f>
        <v>First Times a Charm Cider</v>
      </c>
      <c r="H2185" s="27" t="str">
        <f>IFERROR(__xludf.DUMMYFUNCTION("""COMPUTED_VALUE"""),"")</f>
        <v/>
      </c>
    </row>
    <row r="2186">
      <c r="A2186" s="17"/>
      <c r="B2186" s="23"/>
      <c r="C2186" s="17">
        <f>IFERROR(__xludf.DUMMYFUNCTION("""COMPUTED_VALUE"""),43530.9374025578)</f>
        <v>43530.9374</v>
      </c>
      <c r="D2186" s="23">
        <f>IFERROR(__xludf.DUMMYFUNCTION("""COMPUTED_VALUE"""),1.053)</f>
        <v>1.053</v>
      </c>
      <c r="E2186" s="24">
        <f>IFERROR(__xludf.DUMMYFUNCTION("""COMPUTED_VALUE"""),64.0)</f>
        <v>64</v>
      </c>
      <c r="F2186" s="27" t="str">
        <f>IFERROR(__xludf.DUMMYFUNCTION("""COMPUTED_VALUE"""),"BLACK")</f>
        <v>BLACK</v>
      </c>
      <c r="G2186" s="28" t="str">
        <f>IFERROR(__xludf.DUMMYFUNCTION("""COMPUTED_VALUE"""),"First Times a Charm Cider")</f>
        <v>First Times a Charm Cider</v>
      </c>
      <c r="H2186" s="27" t="str">
        <f>IFERROR(__xludf.DUMMYFUNCTION("""COMPUTED_VALUE"""),"")</f>
        <v/>
      </c>
    </row>
    <row r="2187">
      <c r="A2187" s="17"/>
      <c r="B2187" s="23"/>
      <c r="C2187" s="17">
        <f>IFERROR(__xludf.DUMMYFUNCTION("""COMPUTED_VALUE"""),43530.926980949)</f>
        <v>43530.92698</v>
      </c>
      <c r="D2187" s="23">
        <f>IFERROR(__xludf.DUMMYFUNCTION("""COMPUTED_VALUE"""),1.053)</f>
        <v>1.053</v>
      </c>
      <c r="E2187" s="24">
        <f>IFERROR(__xludf.DUMMYFUNCTION("""COMPUTED_VALUE"""),64.0)</f>
        <v>64</v>
      </c>
      <c r="F2187" s="27" t="str">
        <f>IFERROR(__xludf.DUMMYFUNCTION("""COMPUTED_VALUE"""),"BLACK")</f>
        <v>BLACK</v>
      </c>
      <c r="G2187" s="28" t="str">
        <f>IFERROR(__xludf.DUMMYFUNCTION("""COMPUTED_VALUE"""),"First Times a Charm Cider")</f>
        <v>First Times a Charm Cider</v>
      </c>
      <c r="H2187" s="27" t="str">
        <f>IFERROR(__xludf.DUMMYFUNCTION("""COMPUTED_VALUE"""),"")</f>
        <v/>
      </c>
    </row>
    <row r="2188">
      <c r="A2188" s="17"/>
      <c r="B2188" s="23"/>
      <c r="C2188" s="17">
        <f>IFERROR(__xludf.DUMMYFUNCTION("""COMPUTED_VALUE"""),43530.9165478472)</f>
        <v>43530.91655</v>
      </c>
      <c r="D2188" s="23">
        <f>IFERROR(__xludf.DUMMYFUNCTION("""COMPUTED_VALUE"""),1.053)</f>
        <v>1.053</v>
      </c>
      <c r="E2188" s="24">
        <f>IFERROR(__xludf.DUMMYFUNCTION("""COMPUTED_VALUE"""),64.0)</f>
        <v>64</v>
      </c>
      <c r="F2188" s="27" t="str">
        <f>IFERROR(__xludf.DUMMYFUNCTION("""COMPUTED_VALUE"""),"BLACK")</f>
        <v>BLACK</v>
      </c>
      <c r="G2188" s="28" t="str">
        <f>IFERROR(__xludf.DUMMYFUNCTION("""COMPUTED_VALUE"""),"First Times a Charm Cider")</f>
        <v>First Times a Charm Cider</v>
      </c>
      <c r="H2188" s="27" t="str">
        <f>IFERROR(__xludf.DUMMYFUNCTION("""COMPUTED_VALUE"""),"")</f>
        <v/>
      </c>
    </row>
    <row r="2189">
      <c r="A2189" s="17"/>
      <c r="B2189" s="23"/>
      <c r="C2189" s="17">
        <f>IFERROR(__xludf.DUMMYFUNCTION("""COMPUTED_VALUE"""),43530.9061267361)</f>
        <v>43530.90613</v>
      </c>
      <c r="D2189" s="23">
        <f>IFERROR(__xludf.DUMMYFUNCTION("""COMPUTED_VALUE"""),1.053)</f>
        <v>1.053</v>
      </c>
      <c r="E2189" s="24">
        <f>IFERROR(__xludf.DUMMYFUNCTION("""COMPUTED_VALUE"""),64.0)</f>
        <v>64</v>
      </c>
      <c r="F2189" s="27" t="str">
        <f>IFERROR(__xludf.DUMMYFUNCTION("""COMPUTED_VALUE"""),"BLACK")</f>
        <v>BLACK</v>
      </c>
      <c r="G2189" s="28" t="str">
        <f>IFERROR(__xludf.DUMMYFUNCTION("""COMPUTED_VALUE"""),"First Times a Charm Cider")</f>
        <v>First Times a Charm Cider</v>
      </c>
      <c r="H2189" s="27" t="str">
        <f>IFERROR(__xludf.DUMMYFUNCTION("""COMPUTED_VALUE"""),"")</f>
        <v/>
      </c>
    </row>
    <row r="2190">
      <c r="A2190" s="17"/>
      <c r="B2190" s="23"/>
      <c r="C2190" s="17">
        <f>IFERROR(__xludf.DUMMYFUNCTION("""COMPUTED_VALUE"""),43530.8852607754)</f>
        <v>43530.88526</v>
      </c>
      <c r="D2190" s="23">
        <f>IFERROR(__xludf.DUMMYFUNCTION("""COMPUTED_VALUE"""),1.053)</f>
        <v>1.053</v>
      </c>
      <c r="E2190" s="24">
        <f>IFERROR(__xludf.DUMMYFUNCTION("""COMPUTED_VALUE"""),64.0)</f>
        <v>64</v>
      </c>
      <c r="F2190" s="27" t="str">
        <f>IFERROR(__xludf.DUMMYFUNCTION("""COMPUTED_VALUE"""),"BLACK")</f>
        <v>BLACK</v>
      </c>
      <c r="G2190" s="28" t="str">
        <f>IFERROR(__xludf.DUMMYFUNCTION("""COMPUTED_VALUE"""),"First Times a Charm Cider")</f>
        <v>First Times a Charm Cider</v>
      </c>
      <c r="H2190" s="27" t="str">
        <f>IFERROR(__xludf.DUMMYFUNCTION("""COMPUTED_VALUE"""),"")</f>
        <v/>
      </c>
    </row>
    <row r="2191">
      <c r="A2191" s="17"/>
      <c r="B2191" s="23"/>
      <c r="C2191" s="17">
        <f>IFERROR(__xludf.DUMMYFUNCTION("""COMPUTED_VALUE"""),43530.86442)</f>
        <v>43530.86442</v>
      </c>
      <c r="D2191" s="23">
        <f>IFERROR(__xludf.DUMMYFUNCTION("""COMPUTED_VALUE"""),1.053)</f>
        <v>1.053</v>
      </c>
      <c r="E2191" s="24">
        <f>IFERROR(__xludf.DUMMYFUNCTION("""COMPUTED_VALUE"""),64.0)</f>
        <v>64</v>
      </c>
      <c r="F2191" s="27" t="str">
        <f>IFERROR(__xludf.DUMMYFUNCTION("""COMPUTED_VALUE"""),"BLACK")</f>
        <v>BLACK</v>
      </c>
      <c r="G2191" s="28" t="str">
        <f>IFERROR(__xludf.DUMMYFUNCTION("""COMPUTED_VALUE"""),"First Times a Charm Cider")</f>
        <v>First Times a Charm Cider</v>
      </c>
      <c r="H2191" s="27" t="str">
        <f>IFERROR(__xludf.DUMMYFUNCTION("""COMPUTED_VALUE"""),"")</f>
        <v/>
      </c>
    </row>
    <row r="2192">
      <c r="A2192" s="17"/>
      <c r="B2192" s="23"/>
      <c r="C2192" s="17">
        <f>IFERROR(__xludf.DUMMYFUNCTION("""COMPUTED_VALUE"""),43530.8435663657)</f>
        <v>43530.84357</v>
      </c>
      <c r="D2192" s="23">
        <f>IFERROR(__xludf.DUMMYFUNCTION("""COMPUTED_VALUE"""),1.053)</f>
        <v>1.053</v>
      </c>
      <c r="E2192" s="24">
        <f>IFERROR(__xludf.DUMMYFUNCTION("""COMPUTED_VALUE"""),64.0)</f>
        <v>64</v>
      </c>
      <c r="F2192" s="27" t="str">
        <f>IFERROR(__xludf.DUMMYFUNCTION("""COMPUTED_VALUE"""),"BLACK")</f>
        <v>BLACK</v>
      </c>
      <c r="G2192" s="28" t="str">
        <f>IFERROR(__xludf.DUMMYFUNCTION("""COMPUTED_VALUE"""),"First Times a Charm Cider")</f>
        <v>First Times a Charm Cider</v>
      </c>
      <c r="H2192" s="27" t="str">
        <f>IFERROR(__xludf.DUMMYFUNCTION("""COMPUTED_VALUE"""),"")</f>
        <v/>
      </c>
    </row>
    <row r="2193">
      <c r="A2193" s="17"/>
      <c r="B2193" s="23"/>
      <c r="C2193" s="17">
        <f>IFERROR(__xludf.DUMMYFUNCTION("""COMPUTED_VALUE"""),43530.8331337847)</f>
        <v>43530.83313</v>
      </c>
      <c r="D2193" s="23">
        <f>IFERROR(__xludf.DUMMYFUNCTION("""COMPUTED_VALUE"""),1.053)</f>
        <v>1.053</v>
      </c>
      <c r="E2193" s="24">
        <f>IFERROR(__xludf.DUMMYFUNCTION("""COMPUTED_VALUE"""),64.0)</f>
        <v>64</v>
      </c>
      <c r="F2193" s="27" t="str">
        <f>IFERROR(__xludf.DUMMYFUNCTION("""COMPUTED_VALUE"""),"BLACK")</f>
        <v>BLACK</v>
      </c>
      <c r="G2193" s="28" t="str">
        <f>IFERROR(__xludf.DUMMYFUNCTION("""COMPUTED_VALUE"""),"First Times a Charm Cider")</f>
        <v>First Times a Charm Cider</v>
      </c>
      <c r="H2193" s="27" t="str">
        <f>IFERROR(__xludf.DUMMYFUNCTION("""COMPUTED_VALUE"""),"")</f>
        <v/>
      </c>
    </row>
    <row r="2194">
      <c r="A2194" s="17"/>
      <c r="B2194" s="23"/>
      <c r="C2194" s="17">
        <f>IFERROR(__xludf.DUMMYFUNCTION("""COMPUTED_VALUE"""),43530.8018707407)</f>
        <v>43530.80187</v>
      </c>
      <c r="D2194" s="23">
        <f>IFERROR(__xludf.DUMMYFUNCTION("""COMPUTED_VALUE"""),1.053)</f>
        <v>1.053</v>
      </c>
      <c r="E2194" s="24">
        <f>IFERROR(__xludf.DUMMYFUNCTION("""COMPUTED_VALUE"""),64.0)</f>
        <v>64</v>
      </c>
      <c r="F2194" s="27" t="str">
        <f>IFERROR(__xludf.DUMMYFUNCTION("""COMPUTED_VALUE"""),"BLACK")</f>
        <v>BLACK</v>
      </c>
      <c r="G2194" s="28" t="str">
        <f>IFERROR(__xludf.DUMMYFUNCTION("""COMPUTED_VALUE"""),"First Times a Charm Cider")</f>
        <v>First Times a Charm Cider</v>
      </c>
      <c r="H2194" s="27" t="str">
        <f>IFERROR(__xludf.DUMMYFUNCTION("""COMPUTED_VALUE"""),"")</f>
        <v/>
      </c>
    </row>
    <row r="2195">
      <c r="A2195" s="17"/>
      <c r="B2195" s="23"/>
      <c r="C2195" s="17">
        <f>IFERROR(__xludf.DUMMYFUNCTION("""COMPUTED_VALUE"""),43530.7914478587)</f>
        <v>43530.79145</v>
      </c>
      <c r="D2195" s="23">
        <f>IFERROR(__xludf.DUMMYFUNCTION("""COMPUTED_VALUE"""),1.053)</f>
        <v>1.053</v>
      </c>
      <c r="E2195" s="24">
        <f>IFERROR(__xludf.DUMMYFUNCTION("""COMPUTED_VALUE"""),64.0)</f>
        <v>64</v>
      </c>
      <c r="F2195" s="27" t="str">
        <f>IFERROR(__xludf.DUMMYFUNCTION("""COMPUTED_VALUE"""),"BLACK")</f>
        <v>BLACK</v>
      </c>
      <c r="G2195" s="28" t="str">
        <f>IFERROR(__xludf.DUMMYFUNCTION("""COMPUTED_VALUE"""),"First Times a Charm Cider")</f>
        <v>First Times a Charm Cider</v>
      </c>
      <c r="H2195" s="27" t="str">
        <f>IFERROR(__xludf.DUMMYFUNCTION("""COMPUTED_VALUE"""),"")</f>
        <v/>
      </c>
    </row>
    <row r="2196">
      <c r="A2196" s="17"/>
      <c r="B2196" s="23"/>
      <c r="C2196" s="17">
        <f>IFERROR(__xludf.DUMMYFUNCTION("""COMPUTED_VALUE"""),43530.7810261574)</f>
        <v>43530.78103</v>
      </c>
      <c r="D2196" s="23">
        <f>IFERROR(__xludf.DUMMYFUNCTION("""COMPUTED_VALUE"""),1.053)</f>
        <v>1.053</v>
      </c>
      <c r="E2196" s="24">
        <f>IFERROR(__xludf.DUMMYFUNCTION("""COMPUTED_VALUE"""),64.0)</f>
        <v>64</v>
      </c>
      <c r="F2196" s="27" t="str">
        <f>IFERROR(__xludf.DUMMYFUNCTION("""COMPUTED_VALUE"""),"BLACK")</f>
        <v>BLACK</v>
      </c>
      <c r="G2196" s="28" t="str">
        <f>IFERROR(__xludf.DUMMYFUNCTION("""COMPUTED_VALUE"""),"First Times a Charm Cider")</f>
        <v>First Times a Charm Cider</v>
      </c>
      <c r="H2196" s="27" t="str">
        <f>IFERROR(__xludf.DUMMYFUNCTION("""COMPUTED_VALUE"""),"")</f>
        <v/>
      </c>
    </row>
    <row r="2197">
      <c r="A2197" s="17"/>
      <c r="B2197" s="23"/>
      <c r="C2197" s="17">
        <f>IFERROR(__xludf.DUMMYFUNCTION("""COMPUTED_VALUE"""),43530.7601507986)</f>
        <v>43530.76015</v>
      </c>
      <c r="D2197" s="23">
        <f>IFERROR(__xludf.DUMMYFUNCTION("""COMPUTED_VALUE"""),1.053)</f>
        <v>1.053</v>
      </c>
      <c r="E2197" s="24">
        <f>IFERROR(__xludf.DUMMYFUNCTION("""COMPUTED_VALUE"""),64.0)</f>
        <v>64</v>
      </c>
      <c r="F2197" s="27" t="str">
        <f>IFERROR(__xludf.DUMMYFUNCTION("""COMPUTED_VALUE"""),"BLACK")</f>
        <v>BLACK</v>
      </c>
      <c r="G2197" s="28" t="str">
        <f>IFERROR(__xludf.DUMMYFUNCTION("""COMPUTED_VALUE"""),"First Times a Charm Cider")</f>
        <v>First Times a Charm Cider</v>
      </c>
      <c r="H2197" s="27" t="str">
        <f>IFERROR(__xludf.DUMMYFUNCTION("""COMPUTED_VALUE"""),"")</f>
        <v/>
      </c>
    </row>
    <row r="2198">
      <c r="A2198" s="17"/>
      <c r="B2198" s="23"/>
      <c r="C2198" s="17">
        <f>IFERROR(__xludf.DUMMYFUNCTION("""COMPUTED_VALUE"""),43530.7497296643)</f>
        <v>43530.74973</v>
      </c>
      <c r="D2198" s="23">
        <f>IFERROR(__xludf.DUMMYFUNCTION("""COMPUTED_VALUE"""),1.054)</f>
        <v>1.054</v>
      </c>
      <c r="E2198" s="24">
        <f>IFERROR(__xludf.DUMMYFUNCTION("""COMPUTED_VALUE"""),65.0)</f>
        <v>65</v>
      </c>
      <c r="F2198" s="27" t="str">
        <f>IFERROR(__xludf.DUMMYFUNCTION("""COMPUTED_VALUE"""),"BLACK")</f>
        <v>BLACK</v>
      </c>
      <c r="G2198" s="28" t="str">
        <f>IFERROR(__xludf.DUMMYFUNCTION("""COMPUTED_VALUE"""),"First Times a Charm Cider")</f>
        <v>First Times a Charm Cider</v>
      </c>
      <c r="H2198" s="27" t="str">
        <f>IFERROR(__xludf.DUMMYFUNCTION("""COMPUTED_VALUE"""),"")</f>
        <v/>
      </c>
    </row>
    <row r="2199">
      <c r="A2199" s="17"/>
      <c r="B2199" s="23"/>
      <c r="C2199" s="17">
        <f>IFERROR(__xludf.DUMMYFUNCTION("""COMPUTED_VALUE"""),43530.7393092476)</f>
        <v>43530.73931</v>
      </c>
      <c r="D2199" s="23">
        <f>IFERROR(__xludf.DUMMYFUNCTION("""COMPUTED_VALUE"""),1.053)</f>
        <v>1.053</v>
      </c>
      <c r="E2199" s="24">
        <f>IFERROR(__xludf.DUMMYFUNCTION("""COMPUTED_VALUE"""),65.0)</f>
        <v>65</v>
      </c>
      <c r="F2199" s="27" t="str">
        <f>IFERROR(__xludf.DUMMYFUNCTION("""COMPUTED_VALUE"""),"BLACK")</f>
        <v>BLACK</v>
      </c>
      <c r="G2199" s="28" t="str">
        <f>IFERROR(__xludf.DUMMYFUNCTION("""COMPUTED_VALUE"""),"First Times a Charm Cider")</f>
        <v>First Times a Charm Cider</v>
      </c>
      <c r="H2199" s="27" t="str">
        <f>IFERROR(__xludf.DUMMYFUNCTION("""COMPUTED_VALUE"""),"")</f>
        <v/>
      </c>
    </row>
    <row r="2200">
      <c r="A2200" s="17"/>
      <c r="B2200" s="23"/>
      <c r="C2200" s="17">
        <f>IFERROR(__xludf.DUMMYFUNCTION("""COMPUTED_VALUE"""),43530.7184311111)</f>
        <v>43530.71843</v>
      </c>
      <c r="D2200" s="23">
        <f>IFERROR(__xludf.DUMMYFUNCTION("""COMPUTED_VALUE"""),1.053)</f>
        <v>1.053</v>
      </c>
      <c r="E2200" s="24">
        <f>IFERROR(__xludf.DUMMYFUNCTION("""COMPUTED_VALUE"""),65.0)</f>
        <v>65</v>
      </c>
      <c r="F2200" s="27" t="str">
        <f>IFERROR(__xludf.DUMMYFUNCTION("""COMPUTED_VALUE"""),"BLACK")</f>
        <v>BLACK</v>
      </c>
      <c r="G2200" s="28" t="str">
        <f>IFERROR(__xludf.DUMMYFUNCTION("""COMPUTED_VALUE"""),"First Times a Charm Cider")</f>
        <v>First Times a Charm Cider</v>
      </c>
      <c r="H2200" s="27" t="str">
        <f>IFERROR(__xludf.DUMMYFUNCTION("""COMPUTED_VALUE"""),"")</f>
        <v/>
      </c>
    </row>
    <row r="2201">
      <c r="A2201" s="17"/>
      <c r="B2201" s="23"/>
      <c r="C2201" s="17">
        <f>IFERROR(__xludf.DUMMYFUNCTION("""COMPUTED_VALUE"""),43530.7080079513)</f>
        <v>43530.70801</v>
      </c>
      <c r="D2201" s="23">
        <f>IFERROR(__xludf.DUMMYFUNCTION("""COMPUTED_VALUE"""),1.053)</f>
        <v>1.053</v>
      </c>
      <c r="E2201" s="24">
        <f>IFERROR(__xludf.DUMMYFUNCTION("""COMPUTED_VALUE"""),65.0)</f>
        <v>65</v>
      </c>
      <c r="F2201" s="27" t="str">
        <f>IFERROR(__xludf.DUMMYFUNCTION("""COMPUTED_VALUE"""),"BLACK")</f>
        <v>BLACK</v>
      </c>
      <c r="G2201" s="28" t="str">
        <f>IFERROR(__xludf.DUMMYFUNCTION("""COMPUTED_VALUE"""),"First Times a Charm Cider")</f>
        <v>First Times a Charm Cider</v>
      </c>
      <c r="H2201" s="27" t="str">
        <f>IFERROR(__xludf.DUMMYFUNCTION("""COMPUTED_VALUE"""),"")</f>
        <v/>
      </c>
    </row>
    <row r="2202">
      <c r="A2202" s="17"/>
      <c r="B2202" s="23"/>
      <c r="C2202" s="17">
        <f>IFERROR(__xludf.DUMMYFUNCTION("""COMPUTED_VALUE"""),43530.6663087268)</f>
        <v>43530.66631</v>
      </c>
      <c r="D2202" s="23">
        <f>IFERROR(__xludf.DUMMYFUNCTION("""COMPUTED_VALUE"""),1.053)</f>
        <v>1.053</v>
      </c>
      <c r="E2202" s="24">
        <f>IFERROR(__xludf.DUMMYFUNCTION("""COMPUTED_VALUE"""),65.0)</f>
        <v>65</v>
      </c>
      <c r="F2202" s="27" t="str">
        <f>IFERROR(__xludf.DUMMYFUNCTION("""COMPUTED_VALUE"""),"BLACK")</f>
        <v>BLACK</v>
      </c>
      <c r="G2202" s="28" t="str">
        <f>IFERROR(__xludf.DUMMYFUNCTION("""COMPUTED_VALUE"""),"First Times a Charm Cider")</f>
        <v>First Times a Charm Cider</v>
      </c>
      <c r="H2202" s="27" t="str">
        <f>IFERROR(__xludf.DUMMYFUNCTION("""COMPUTED_VALUE"""),"")</f>
        <v/>
      </c>
    </row>
    <row r="2203">
      <c r="A2203" s="17"/>
      <c r="B2203" s="23"/>
      <c r="C2203" s="17">
        <f>IFERROR(__xludf.DUMMYFUNCTION("""COMPUTED_VALUE"""),43530.6454680092)</f>
        <v>43530.64547</v>
      </c>
      <c r="D2203" s="23">
        <f>IFERROR(__xludf.DUMMYFUNCTION("""COMPUTED_VALUE"""),1.054)</f>
        <v>1.054</v>
      </c>
      <c r="E2203" s="24">
        <f>IFERROR(__xludf.DUMMYFUNCTION("""COMPUTED_VALUE"""),65.0)</f>
        <v>65</v>
      </c>
      <c r="F2203" s="27" t="str">
        <f>IFERROR(__xludf.DUMMYFUNCTION("""COMPUTED_VALUE"""),"BLACK")</f>
        <v>BLACK</v>
      </c>
      <c r="G2203" s="28" t="str">
        <f>IFERROR(__xludf.DUMMYFUNCTION("""COMPUTED_VALUE"""),"First Times a Charm Cider")</f>
        <v>First Times a Charm Cider</v>
      </c>
      <c r="H2203" s="27" t="str">
        <f>IFERROR(__xludf.DUMMYFUNCTION("""COMPUTED_VALUE"""),"")</f>
        <v/>
      </c>
    </row>
    <row r="2204">
      <c r="A2204" s="17"/>
      <c r="B2204" s="23"/>
      <c r="C2204" s="17">
        <f>IFERROR(__xludf.DUMMYFUNCTION("""COMPUTED_VALUE"""),43530.6350243402)</f>
        <v>43530.63502</v>
      </c>
      <c r="D2204" s="23">
        <f>IFERROR(__xludf.DUMMYFUNCTION("""COMPUTED_VALUE"""),1.054)</f>
        <v>1.054</v>
      </c>
      <c r="E2204" s="24">
        <f>IFERROR(__xludf.DUMMYFUNCTION("""COMPUTED_VALUE"""),65.0)</f>
        <v>65</v>
      </c>
      <c r="F2204" s="27" t="str">
        <f>IFERROR(__xludf.DUMMYFUNCTION("""COMPUTED_VALUE"""),"BLACK")</f>
        <v>BLACK</v>
      </c>
      <c r="G2204" s="28" t="str">
        <f>IFERROR(__xludf.DUMMYFUNCTION("""COMPUTED_VALUE"""),"First Times a Charm Cider")</f>
        <v>First Times a Charm Cider</v>
      </c>
      <c r="H2204" s="27" t="str">
        <f>IFERROR(__xludf.DUMMYFUNCTION("""COMPUTED_VALUE"""),"")</f>
        <v/>
      </c>
    </row>
    <row r="2205">
      <c r="A2205" s="17"/>
      <c r="B2205" s="23"/>
      <c r="C2205" s="17">
        <f>IFERROR(__xludf.DUMMYFUNCTION("""COMPUTED_VALUE"""),43530.6245919675)</f>
        <v>43530.62459</v>
      </c>
      <c r="D2205" s="23">
        <f>IFERROR(__xludf.DUMMYFUNCTION("""COMPUTED_VALUE"""),1.053)</f>
        <v>1.053</v>
      </c>
      <c r="E2205" s="24">
        <f>IFERROR(__xludf.DUMMYFUNCTION("""COMPUTED_VALUE"""),65.0)</f>
        <v>65</v>
      </c>
      <c r="F2205" s="27" t="str">
        <f>IFERROR(__xludf.DUMMYFUNCTION("""COMPUTED_VALUE"""),"BLACK")</f>
        <v>BLACK</v>
      </c>
      <c r="G2205" s="28" t="str">
        <f>IFERROR(__xludf.DUMMYFUNCTION("""COMPUTED_VALUE"""),"First Times a Charm Cider")</f>
        <v>First Times a Charm Cider</v>
      </c>
      <c r="H2205" s="27" t="str">
        <f>IFERROR(__xludf.DUMMYFUNCTION("""COMPUTED_VALUE"""),"")</f>
        <v/>
      </c>
    </row>
    <row r="2206">
      <c r="A2206" s="17"/>
      <c r="B2206" s="23"/>
      <c r="C2206" s="17">
        <f>IFERROR(__xludf.DUMMYFUNCTION("""COMPUTED_VALUE"""),43530.6141717939)</f>
        <v>43530.61417</v>
      </c>
      <c r="D2206" s="23">
        <f>IFERROR(__xludf.DUMMYFUNCTION("""COMPUTED_VALUE"""),1.054)</f>
        <v>1.054</v>
      </c>
      <c r="E2206" s="24">
        <f>IFERROR(__xludf.DUMMYFUNCTION("""COMPUTED_VALUE"""),65.0)</f>
        <v>65</v>
      </c>
      <c r="F2206" s="27" t="str">
        <f>IFERROR(__xludf.DUMMYFUNCTION("""COMPUTED_VALUE"""),"BLACK")</f>
        <v>BLACK</v>
      </c>
      <c r="G2206" s="28" t="str">
        <f>IFERROR(__xludf.DUMMYFUNCTION("""COMPUTED_VALUE"""),"First Times a Charm Cider")</f>
        <v>First Times a Charm Cider</v>
      </c>
      <c r="H2206" s="27" t="str">
        <f>IFERROR(__xludf.DUMMYFUNCTION("""COMPUTED_VALUE"""),"")</f>
        <v/>
      </c>
    </row>
    <row r="2207">
      <c r="A2207" s="17"/>
      <c r="B2207" s="23"/>
      <c r="C2207" s="17">
        <f>IFERROR(__xludf.DUMMYFUNCTION("""COMPUTED_VALUE"""),43530.6037384143)</f>
        <v>43530.60374</v>
      </c>
      <c r="D2207" s="23">
        <f>IFERROR(__xludf.DUMMYFUNCTION("""COMPUTED_VALUE"""),1.054)</f>
        <v>1.054</v>
      </c>
      <c r="E2207" s="24">
        <f>IFERROR(__xludf.DUMMYFUNCTION("""COMPUTED_VALUE"""),65.0)</f>
        <v>65</v>
      </c>
      <c r="F2207" s="27" t="str">
        <f>IFERROR(__xludf.DUMMYFUNCTION("""COMPUTED_VALUE"""),"BLACK")</f>
        <v>BLACK</v>
      </c>
      <c r="G2207" s="28" t="str">
        <f>IFERROR(__xludf.DUMMYFUNCTION("""COMPUTED_VALUE"""),"First Times a Charm Cider")</f>
        <v>First Times a Charm Cider</v>
      </c>
      <c r="H2207" s="27" t="str">
        <f>IFERROR(__xludf.DUMMYFUNCTION("""COMPUTED_VALUE"""),"")</f>
        <v/>
      </c>
    </row>
    <row r="2208">
      <c r="A2208" s="17"/>
      <c r="B2208" s="23"/>
      <c r="C2208" s="17">
        <f>IFERROR(__xludf.DUMMYFUNCTION("""COMPUTED_VALUE"""),43530.5515766203)</f>
        <v>43530.55158</v>
      </c>
      <c r="D2208" s="23">
        <f>IFERROR(__xludf.DUMMYFUNCTION("""COMPUTED_VALUE"""),1.054)</f>
        <v>1.054</v>
      </c>
      <c r="E2208" s="24">
        <f>IFERROR(__xludf.DUMMYFUNCTION("""COMPUTED_VALUE"""),65.0)</f>
        <v>65</v>
      </c>
      <c r="F2208" s="27" t="str">
        <f>IFERROR(__xludf.DUMMYFUNCTION("""COMPUTED_VALUE"""),"BLACK")</f>
        <v>BLACK</v>
      </c>
      <c r="G2208" s="28" t="str">
        <f>IFERROR(__xludf.DUMMYFUNCTION("""COMPUTED_VALUE"""),"First Times a Charm Cider")</f>
        <v>First Times a Charm Cider</v>
      </c>
      <c r="H2208" s="27" t="str">
        <f>IFERROR(__xludf.DUMMYFUNCTION("""COMPUTED_VALUE"""),"")</f>
        <v/>
      </c>
    </row>
    <row r="2209">
      <c r="A2209" s="17"/>
      <c r="B2209" s="23"/>
      <c r="C2209" s="17">
        <f>IFERROR(__xludf.DUMMYFUNCTION("""COMPUTED_VALUE"""),43530.5411438888)</f>
        <v>43530.54114</v>
      </c>
      <c r="D2209" s="23">
        <f>IFERROR(__xludf.DUMMYFUNCTION("""COMPUTED_VALUE"""),1.054)</f>
        <v>1.054</v>
      </c>
      <c r="E2209" s="24">
        <f>IFERROR(__xludf.DUMMYFUNCTION("""COMPUTED_VALUE"""),65.0)</f>
        <v>65</v>
      </c>
      <c r="F2209" s="27" t="str">
        <f>IFERROR(__xludf.DUMMYFUNCTION("""COMPUTED_VALUE"""),"BLACK")</f>
        <v>BLACK</v>
      </c>
      <c r="G2209" s="28" t="str">
        <f>IFERROR(__xludf.DUMMYFUNCTION("""COMPUTED_VALUE"""),"First Times a Charm Cider")</f>
        <v>First Times a Charm Cider</v>
      </c>
      <c r="H2209" s="27" t="str">
        <f>IFERROR(__xludf.DUMMYFUNCTION("""COMPUTED_VALUE"""),"")</f>
        <v/>
      </c>
    </row>
    <row r="2210">
      <c r="A2210" s="17"/>
      <c r="B2210" s="23"/>
      <c r="C2210" s="17">
        <f>IFERROR(__xludf.DUMMYFUNCTION("""COMPUTED_VALUE"""),43530.5307225578)</f>
        <v>43530.53072</v>
      </c>
      <c r="D2210" s="23">
        <f>IFERROR(__xludf.DUMMYFUNCTION("""COMPUTED_VALUE"""),1.054)</f>
        <v>1.054</v>
      </c>
      <c r="E2210" s="24">
        <f>IFERROR(__xludf.DUMMYFUNCTION("""COMPUTED_VALUE"""),65.0)</f>
        <v>65</v>
      </c>
      <c r="F2210" s="27" t="str">
        <f>IFERROR(__xludf.DUMMYFUNCTION("""COMPUTED_VALUE"""),"BLACK")</f>
        <v>BLACK</v>
      </c>
      <c r="G2210" s="28" t="str">
        <f>IFERROR(__xludf.DUMMYFUNCTION("""COMPUTED_VALUE"""),"First Times a Charm Cider")</f>
        <v>First Times a Charm Cider</v>
      </c>
      <c r="H2210" s="27" t="str">
        <f>IFERROR(__xludf.DUMMYFUNCTION("""COMPUTED_VALUE"""),"")</f>
        <v/>
      </c>
    </row>
    <row r="2211">
      <c r="A2211" s="17"/>
      <c r="B2211" s="23"/>
      <c r="C2211" s="17">
        <f>IFERROR(__xludf.DUMMYFUNCTION("""COMPUTED_VALUE"""),43530.5098685763)</f>
        <v>43530.50987</v>
      </c>
      <c r="D2211" s="23">
        <f>IFERROR(__xludf.DUMMYFUNCTION("""COMPUTED_VALUE"""),1.054)</f>
        <v>1.054</v>
      </c>
      <c r="E2211" s="24">
        <f>IFERROR(__xludf.DUMMYFUNCTION("""COMPUTED_VALUE"""),65.0)</f>
        <v>65</v>
      </c>
      <c r="F2211" s="27" t="str">
        <f>IFERROR(__xludf.DUMMYFUNCTION("""COMPUTED_VALUE"""),"BLACK")</f>
        <v>BLACK</v>
      </c>
      <c r="G2211" s="28" t="str">
        <f>IFERROR(__xludf.DUMMYFUNCTION("""COMPUTED_VALUE"""),"First Times a Charm Cider")</f>
        <v>First Times a Charm Cider</v>
      </c>
      <c r="H2211" s="27" t="str">
        <f>IFERROR(__xludf.DUMMYFUNCTION("""COMPUTED_VALUE"""),"")</f>
        <v/>
      </c>
    </row>
    <row r="2212">
      <c r="A2212" s="17"/>
      <c r="B2212" s="23"/>
      <c r="C2212" s="17">
        <f>IFERROR(__xludf.DUMMYFUNCTION("""COMPUTED_VALUE"""),43530.4994467361)</f>
        <v>43530.49945</v>
      </c>
      <c r="D2212" s="23">
        <f>IFERROR(__xludf.DUMMYFUNCTION("""COMPUTED_VALUE"""),1.054)</f>
        <v>1.054</v>
      </c>
      <c r="E2212" s="24">
        <f>IFERROR(__xludf.DUMMYFUNCTION("""COMPUTED_VALUE"""),65.0)</f>
        <v>65</v>
      </c>
      <c r="F2212" s="27" t="str">
        <f>IFERROR(__xludf.DUMMYFUNCTION("""COMPUTED_VALUE"""),"BLACK")</f>
        <v>BLACK</v>
      </c>
      <c r="G2212" s="28" t="str">
        <f>IFERROR(__xludf.DUMMYFUNCTION("""COMPUTED_VALUE"""),"First Times a Charm Cider")</f>
        <v>First Times a Charm Cider</v>
      </c>
      <c r="H2212" s="27" t="str">
        <f>IFERROR(__xludf.DUMMYFUNCTION("""COMPUTED_VALUE"""),"")</f>
        <v/>
      </c>
    </row>
    <row r="2213">
      <c r="A2213" s="17"/>
      <c r="B2213" s="23"/>
      <c r="C2213" s="17">
        <f>IFERROR(__xludf.DUMMYFUNCTION("""COMPUTED_VALUE"""),43530.4890251273)</f>
        <v>43530.48903</v>
      </c>
      <c r="D2213" s="23">
        <f>IFERROR(__xludf.DUMMYFUNCTION("""COMPUTED_VALUE"""),1.054)</f>
        <v>1.054</v>
      </c>
      <c r="E2213" s="24">
        <f>IFERROR(__xludf.DUMMYFUNCTION("""COMPUTED_VALUE"""),65.0)</f>
        <v>65</v>
      </c>
      <c r="F2213" s="27" t="str">
        <f>IFERROR(__xludf.DUMMYFUNCTION("""COMPUTED_VALUE"""),"BLACK")</f>
        <v>BLACK</v>
      </c>
      <c r="G2213" s="28" t="str">
        <f>IFERROR(__xludf.DUMMYFUNCTION("""COMPUTED_VALUE"""),"First Times a Charm Cider")</f>
        <v>First Times a Charm Cider</v>
      </c>
      <c r="H2213" s="27" t="str">
        <f>IFERROR(__xludf.DUMMYFUNCTION("""COMPUTED_VALUE"""),"")</f>
        <v/>
      </c>
    </row>
    <row r="2214">
      <c r="A2214" s="17"/>
      <c r="B2214" s="23"/>
      <c r="C2214" s="17">
        <f>IFERROR(__xludf.DUMMYFUNCTION("""COMPUTED_VALUE"""),43530.4785904976)</f>
        <v>43530.47859</v>
      </c>
      <c r="D2214" s="23">
        <f>IFERROR(__xludf.DUMMYFUNCTION("""COMPUTED_VALUE"""),1.054)</f>
        <v>1.054</v>
      </c>
      <c r="E2214" s="24">
        <f>IFERROR(__xludf.DUMMYFUNCTION("""COMPUTED_VALUE"""),65.0)</f>
        <v>65</v>
      </c>
      <c r="F2214" s="27" t="str">
        <f>IFERROR(__xludf.DUMMYFUNCTION("""COMPUTED_VALUE"""),"BLACK")</f>
        <v>BLACK</v>
      </c>
      <c r="G2214" s="28" t="str">
        <f>IFERROR(__xludf.DUMMYFUNCTION("""COMPUTED_VALUE"""),"First Times a Charm Cider")</f>
        <v>First Times a Charm Cider</v>
      </c>
      <c r="H2214" s="27" t="str">
        <f>IFERROR(__xludf.DUMMYFUNCTION("""COMPUTED_VALUE"""),"")</f>
        <v/>
      </c>
    </row>
    <row r="2215">
      <c r="A2215" s="17"/>
      <c r="B2215" s="23"/>
      <c r="C2215" s="17">
        <f>IFERROR(__xludf.DUMMYFUNCTION("""COMPUTED_VALUE"""),43530.4681699305)</f>
        <v>43530.46817</v>
      </c>
      <c r="D2215" s="23">
        <f>IFERROR(__xludf.DUMMYFUNCTION("""COMPUTED_VALUE"""),1.054)</f>
        <v>1.054</v>
      </c>
      <c r="E2215" s="24">
        <f>IFERROR(__xludf.DUMMYFUNCTION("""COMPUTED_VALUE"""),65.0)</f>
        <v>65</v>
      </c>
      <c r="F2215" s="27" t="str">
        <f>IFERROR(__xludf.DUMMYFUNCTION("""COMPUTED_VALUE"""),"BLACK")</f>
        <v>BLACK</v>
      </c>
      <c r="G2215" s="28" t="str">
        <f>IFERROR(__xludf.DUMMYFUNCTION("""COMPUTED_VALUE"""),"First Times a Charm Cider")</f>
        <v>First Times a Charm Cider</v>
      </c>
      <c r="H2215" s="27" t="str">
        <f>IFERROR(__xludf.DUMMYFUNCTION("""COMPUTED_VALUE"""),"")</f>
        <v/>
      </c>
    </row>
    <row r="2216">
      <c r="A2216" s="17"/>
      <c r="B2216" s="23"/>
      <c r="C2216" s="17">
        <f>IFERROR(__xludf.DUMMYFUNCTION("""COMPUTED_VALUE"""),43530.4473140509)</f>
        <v>43530.44731</v>
      </c>
      <c r="D2216" s="23">
        <f>IFERROR(__xludf.DUMMYFUNCTION("""COMPUTED_VALUE"""),1.054)</f>
        <v>1.054</v>
      </c>
      <c r="E2216" s="24">
        <f>IFERROR(__xludf.DUMMYFUNCTION("""COMPUTED_VALUE"""),65.0)</f>
        <v>65</v>
      </c>
      <c r="F2216" s="27" t="str">
        <f>IFERROR(__xludf.DUMMYFUNCTION("""COMPUTED_VALUE"""),"BLACK")</f>
        <v>BLACK</v>
      </c>
      <c r="G2216" s="28" t="str">
        <f>IFERROR(__xludf.DUMMYFUNCTION("""COMPUTED_VALUE"""),"First Times a Charm Cider")</f>
        <v>First Times a Charm Cider</v>
      </c>
      <c r="H2216" s="27" t="str">
        <f>IFERROR(__xludf.DUMMYFUNCTION("""COMPUTED_VALUE"""),"")</f>
        <v/>
      </c>
    </row>
    <row r="2217">
      <c r="A2217" s="17"/>
      <c r="B2217" s="23"/>
      <c r="C2217" s="17">
        <f>IFERROR(__xludf.DUMMYFUNCTION("""COMPUTED_VALUE"""),43530.4160510879)</f>
        <v>43530.41605</v>
      </c>
      <c r="D2217" s="23">
        <f>IFERROR(__xludf.DUMMYFUNCTION("""COMPUTED_VALUE"""),1.054)</f>
        <v>1.054</v>
      </c>
      <c r="E2217" s="24">
        <f>IFERROR(__xludf.DUMMYFUNCTION("""COMPUTED_VALUE"""),65.0)</f>
        <v>65</v>
      </c>
      <c r="F2217" s="27" t="str">
        <f>IFERROR(__xludf.DUMMYFUNCTION("""COMPUTED_VALUE"""),"BLACK")</f>
        <v>BLACK</v>
      </c>
      <c r="G2217" s="28" t="str">
        <f>IFERROR(__xludf.DUMMYFUNCTION("""COMPUTED_VALUE"""),"First Times a Charm Cider")</f>
        <v>First Times a Charm Cider</v>
      </c>
      <c r="H2217" s="27" t="str">
        <f>IFERROR(__xludf.DUMMYFUNCTION("""COMPUTED_VALUE"""),"")</f>
        <v/>
      </c>
    </row>
    <row r="2218">
      <c r="A2218" s="17"/>
      <c r="B2218" s="23"/>
      <c r="C2218" s="17">
        <f>IFERROR(__xludf.DUMMYFUNCTION("""COMPUTED_VALUE"""),43530.3952092129)</f>
        <v>43530.39521</v>
      </c>
      <c r="D2218" s="23">
        <f>IFERROR(__xludf.DUMMYFUNCTION("""COMPUTED_VALUE"""),1.054)</f>
        <v>1.054</v>
      </c>
      <c r="E2218" s="24">
        <f>IFERROR(__xludf.DUMMYFUNCTION("""COMPUTED_VALUE"""),65.0)</f>
        <v>65</v>
      </c>
      <c r="F2218" s="27" t="str">
        <f>IFERROR(__xludf.DUMMYFUNCTION("""COMPUTED_VALUE"""),"BLACK")</f>
        <v>BLACK</v>
      </c>
      <c r="G2218" s="28" t="str">
        <f>IFERROR(__xludf.DUMMYFUNCTION("""COMPUTED_VALUE"""),"First Times a Charm Cider")</f>
        <v>First Times a Charm Cider</v>
      </c>
      <c r="H2218" s="27" t="str">
        <f>IFERROR(__xludf.DUMMYFUNCTION("""COMPUTED_VALUE"""),"")</f>
        <v/>
      </c>
    </row>
    <row r="2219">
      <c r="A2219" s="17"/>
      <c r="B2219" s="23"/>
      <c r="C2219" s="17">
        <f>IFERROR(__xludf.DUMMYFUNCTION("""COMPUTED_VALUE"""),43530.3847876388)</f>
        <v>43530.38479</v>
      </c>
      <c r="D2219" s="23">
        <f>IFERROR(__xludf.DUMMYFUNCTION("""COMPUTED_VALUE"""),1.054)</f>
        <v>1.054</v>
      </c>
      <c r="E2219" s="24">
        <f>IFERROR(__xludf.DUMMYFUNCTION("""COMPUTED_VALUE"""),66.0)</f>
        <v>66</v>
      </c>
      <c r="F2219" s="27" t="str">
        <f>IFERROR(__xludf.DUMMYFUNCTION("""COMPUTED_VALUE"""),"BLACK")</f>
        <v>BLACK</v>
      </c>
      <c r="G2219" s="28" t="str">
        <f>IFERROR(__xludf.DUMMYFUNCTION("""COMPUTED_VALUE"""),"First Times a Charm Cider")</f>
        <v>First Times a Charm Cider</v>
      </c>
      <c r="H2219" s="27" t="str">
        <f>IFERROR(__xludf.DUMMYFUNCTION("""COMPUTED_VALUE"""),"")</f>
        <v/>
      </c>
    </row>
    <row r="2220">
      <c r="A2220" s="17"/>
      <c r="B2220" s="23"/>
      <c r="C2220" s="17">
        <f>IFERROR(__xludf.DUMMYFUNCTION("""COMPUTED_VALUE"""),43530.3431026041)</f>
        <v>43530.3431</v>
      </c>
      <c r="D2220" s="23">
        <f>IFERROR(__xludf.DUMMYFUNCTION("""COMPUTED_VALUE"""),1.054)</f>
        <v>1.054</v>
      </c>
      <c r="E2220" s="24">
        <f>IFERROR(__xludf.DUMMYFUNCTION("""COMPUTED_VALUE"""),66.0)</f>
        <v>66</v>
      </c>
      <c r="F2220" s="27" t="str">
        <f>IFERROR(__xludf.DUMMYFUNCTION("""COMPUTED_VALUE"""),"BLACK")</f>
        <v>BLACK</v>
      </c>
      <c r="G2220" s="28" t="str">
        <f>IFERROR(__xludf.DUMMYFUNCTION("""COMPUTED_VALUE"""),"First Times a Charm Cider")</f>
        <v>First Times a Charm Cider</v>
      </c>
      <c r="H2220" s="27" t="str">
        <f>IFERROR(__xludf.DUMMYFUNCTION("""COMPUTED_VALUE"""),"")</f>
        <v/>
      </c>
    </row>
    <row r="2221">
      <c r="A2221" s="17"/>
      <c r="B2221" s="23"/>
      <c r="C2221" s="17">
        <f>IFERROR(__xludf.DUMMYFUNCTION("""COMPUTED_VALUE"""),43530.3326807407)</f>
        <v>43530.33268</v>
      </c>
      <c r="D2221" s="23">
        <f>IFERROR(__xludf.DUMMYFUNCTION("""COMPUTED_VALUE"""),1.054)</f>
        <v>1.054</v>
      </c>
      <c r="E2221" s="24">
        <f>IFERROR(__xludf.DUMMYFUNCTION("""COMPUTED_VALUE"""),66.0)</f>
        <v>66</v>
      </c>
      <c r="F2221" s="27" t="str">
        <f>IFERROR(__xludf.DUMMYFUNCTION("""COMPUTED_VALUE"""),"BLACK")</f>
        <v>BLACK</v>
      </c>
      <c r="G2221" s="28" t="str">
        <f>IFERROR(__xludf.DUMMYFUNCTION("""COMPUTED_VALUE"""),"First Times a Charm Cider")</f>
        <v>First Times a Charm Cider</v>
      </c>
      <c r="H2221" s="27" t="str">
        <f>IFERROR(__xludf.DUMMYFUNCTION("""COMPUTED_VALUE"""),"")</f>
        <v/>
      </c>
    </row>
    <row r="2222">
      <c r="A2222" s="17"/>
      <c r="B2222" s="23"/>
      <c r="C2222" s="17">
        <f>IFERROR(__xludf.DUMMYFUNCTION("""COMPUTED_VALUE"""),43530.3222591319)</f>
        <v>43530.32226</v>
      </c>
      <c r="D2222" s="23">
        <f>IFERROR(__xludf.DUMMYFUNCTION("""COMPUTED_VALUE"""),1.054)</f>
        <v>1.054</v>
      </c>
      <c r="E2222" s="24">
        <f>IFERROR(__xludf.DUMMYFUNCTION("""COMPUTED_VALUE"""),66.0)</f>
        <v>66</v>
      </c>
      <c r="F2222" s="27" t="str">
        <f>IFERROR(__xludf.DUMMYFUNCTION("""COMPUTED_VALUE"""),"BLACK")</f>
        <v>BLACK</v>
      </c>
      <c r="G2222" s="28" t="str">
        <f>IFERROR(__xludf.DUMMYFUNCTION("""COMPUTED_VALUE"""),"First Times a Charm Cider")</f>
        <v>First Times a Charm Cider</v>
      </c>
      <c r="H2222" s="27" t="str">
        <f>IFERROR(__xludf.DUMMYFUNCTION("""COMPUTED_VALUE"""),"")</f>
        <v/>
      </c>
    </row>
    <row r="2223">
      <c r="A2223" s="17"/>
      <c r="B2223" s="23"/>
      <c r="C2223" s="17">
        <f>IFERROR(__xludf.DUMMYFUNCTION("""COMPUTED_VALUE"""),43530.3118382638)</f>
        <v>43530.31184</v>
      </c>
      <c r="D2223" s="23">
        <f>IFERROR(__xludf.DUMMYFUNCTION("""COMPUTED_VALUE"""),1.054)</f>
        <v>1.054</v>
      </c>
      <c r="E2223" s="24">
        <f>IFERROR(__xludf.DUMMYFUNCTION("""COMPUTED_VALUE"""),66.0)</f>
        <v>66</v>
      </c>
      <c r="F2223" s="27" t="str">
        <f>IFERROR(__xludf.DUMMYFUNCTION("""COMPUTED_VALUE"""),"BLACK")</f>
        <v>BLACK</v>
      </c>
      <c r="G2223" s="28" t="str">
        <f>IFERROR(__xludf.DUMMYFUNCTION("""COMPUTED_VALUE"""),"First Times a Charm Cider")</f>
        <v>First Times a Charm Cider</v>
      </c>
      <c r="H2223" s="27" t="str">
        <f>IFERROR(__xludf.DUMMYFUNCTION("""COMPUTED_VALUE"""),"")</f>
        <v/>
      </c>
    </row>
    <row r="2224">
      <c r="A2224" s="17"/>
      <c r="B2224" s="23"/>
      <c r="C2224" s="17">
        <f>IFERROR(__xludf.DUMMYFUNCTION("""COMPUTED_VALUE"""),43530.3014185995)</f>
        <v>43530.30142</v>
      </c>
      <c r="D2224" s="23">
        <f>IFERROR(__xludf.DUMMYFUNCTION("""COMPUTED_VALUE"""),1.054)</f>
        <v>1.054</v>
      </c>
      <c r="E2224" s="24">
        <f>IFERROR(__xludf.DUMMYFUNCTION("""COMPUTED_VALUE"""),66.0)</f>
        <v>66</v>
      </c>
      <c r="F2224" s="27" t="str">
        <f>IFERROR(__xludf.DUMMYFUNCTION("""COMPUTED_VALUE"""),"BLACK")</f>
        <v>BLACK</v>
      </c>
      <c r="G2224" s="28" t="str">
        <f>IFERROR(__xludf.DUMMYFUNCTION("""COMPUTED_VALUE"""),"First Times a Charm Cider")</f>
        <v>First Times a Charm Cider</v>
      </c>
      <c r="H2224" s="27" t="str">
        <f>IFERROR(__xludf.DUMMYFUNCTION("""COMPUTED_VALUE"""),"")</f>
        <v/>
      </c>
    </row>
    <row r="2225">
      <c r="A2225" s="17"/>
      <c r="B2225" s="23"/>
      <c r="C2225" s="17">
        <f>IFERROR(__xludf.DUMMYFUNCTION("""COMPUTED_VALUE"""),43530.2909976736)</f>
        <v>43530.291</v>
      </c>
      <c r="D2225" s="23">
        <f>IFERROR(__xludf.DUMMYFUNCTION("""COMPUTED_VALUE"""),1.054)</f>
        <v>1.054</v>
      </c>
      <c r="E2225" s="24">
        <f>IFERROR(__xludf.DUMMYFUNCTION("""COMPUTED_VALUE"""),66.0)</f>
        <v>66</v>
      </c>
      <c r="F2225" s="27" t="str">
        <f>IFERROR(__xludf.DUMMYFUNCTION("""COMPUTED_VALUE"""),"BLACK")</f>
        <v>BLACK</v>
      </c>
      <c r="G2225" s="28" t="str">
        <f>IFERROR(__xludf.DUMMYFUNCTION("""COMPUTED_VALUE"""),"First Times a Charm Cider")</f>
        <v>First Times a Charm Cider</v>
      </c>
      <c r="H2225" s="27" t="str">
        <f>IFERROR(__xludf.DUMMYFUNCTION("""COMPUTED_VALUE"""),"")</f>
        <v/>
      </c>
    </row>
    <row r="2226">
      <c r="A2226" s="17"/>
      <c r="B2226" s="23"/>
      <c r="C2226" s="17">
        <f>IFERROR(__xludf.DUMMYFUNCTION("""COMPUTED_VALUE"""),43530.2805768981)</f>
        <v>43530.28058</v>
      </c>
      <c r="D2226" s="23">
        <f>IFERROR(__xludf.DUMMYFUNCTION("""COMPUTED_VALUE"""),1.054)</f>
        <v>1.054</v>
      </c>
      <c r="E2226" s="24">
        <f>IFERROR(__xludf.DUMMYFUNCTION("""COMPUTED_VALUE"""),66.0)</f>
        <v>66</v>
      </c>
      <c r="F2226" s="27" t="str">
        <f>IFERROR(__xludf.DUMMYFUNCTION("""COMPUTED_VALUE"""),"BLACK")</f>
        <v>BLACK</v>
      </c>
      <c r="G2226" s="28" t="str">
        <f>IFERROR(__xludf.DUMMYFUNCTION("""COMPUTED_VALUE"""),"First Times a Charm Cider")</f>
        <v>First Times a Charm Cider</v>
      </c>
      <c r="H2226" s="27" t="str">
        <f>IFERROR(__xludf.DUMMYFUNCTION("""COMPUTED_VALUE"""),"")</f>
        <v/>
      </c>
    </row>
    <row r="2227">
      <c r="A2227" s="17"/>
      <c r="B2227" s="23"/>
      <c r="C2227" s="17">
        <f>IFERROR(__xludf.DUMMYFUNCTION("""COMPUTED_VALUE"""),43530.2701578356)</f>
        <v>43530.27016</v>
      </c>
      <c r="D2227" s="23">
        <f>IFERROR(__xludf.DUMMYFUNCTION("""COMPUTED_VALUE"""),1.054)</f>
        <v>1.054</v>
      </c>
      <c r="E2227" s="24">
        <f>IFERROR(__xludf.DUMMYFUNCTION("""COMPUTED_VALUE"""),66.0)</f>
        <v>66</v>
      </c>
      <c r="F2227" s="27" t="str">
        <f>IFERROR(__xludf.DUMMYFUNCTION("""COMPUTED_VALUE"""),"BLACK")</f>
        <v>BLACK</v>
      </c>
      <c r="G2227" s="28" t="str">
        <f>IFERROR(__xludf.DUMMYFUNCTION("""COMPUTED_VALUE"""),"First Times a Charm Cider")</f>
        <v>First Times a Charm Cider</v>
      </c>
      <c r="H2227" s="27" t="str">
        <f>IFERROR(__xludf.DUMMYFUNCTION("""COMPUTED_VALUE"""),"")</f>
        <v/>
      </c>
    </row>
    <row r="2228">
      <c r="A2228" s="17"/>
      <c r="B2228" s="23"/>
      <c r="C2228" s="17">
        <f>IFERROR(__xludf.DUMMYFUNCTION("""COMPUTED_VALUE"""),43530.259736493)</f>
        <v>43530.25974</v>
      </c>
      <c r="D2228" s="23">
        <f>IFERROR(__xludf.DUMMYFUNCTION("""COMPUTED_VALUE"""),1.054)</f>
        <v>1.054</v>
      </c>
      <c r="E2228" s="24">
        <f>IFERROR(__xludf.DUMMYFUNCTION("""COMPUTED_VALUE"""),66.0)</f>
        <v>66</v>
      </c>
      <c r="F2228" s="27" t="str">
        <f>IFERROR(__xludf.DUMMYFUNCTION("""COMPUTED_VALUE"""),"BLACK")</f>
        <v>BLACK</v>
      </c>
      <c r="G2228" s="28" t="str">
        <f>IFERROR(__xludf.DUMMYFUNCTION("""COMPUTED_VALUE"""),"First Times a Charm Cider")</f>
        <v>First Times a Charm Cider</v>
      </c>
      <c r="H2228" s="27" t="str">
        <f>IFERROR(__xludf.DUMMYFUNCTION("""COMPUTED_VALUE"""),"")</f>
        <v/>
      </c>
    </row>
    <row r="2229">
      <c r="A2229" s="17"/>
      <c r="B2229" s="23"/>
      <c r="C2229" s="17">
        <f>IFERROR(__xludf.DUMMYFUNCTION("""COMPUTED_VALUE"""),43530.2388724305)</f>
        <v>43530.23887</v>
      </c>
      <c r="D2229" s="23">
        <f>IFERROR(__xludf.DUMMYFUNCTION("""COMPUTED_VALUE"""),1.055)</f>
        <v>1.055</v>
      </c>
      <c r="E2229" s="24">
        <f>IFERROR(__xludf.DUMMYFUNCTION("""COMPUTED_VALUE"""),66.0)</f>
        <v>66</v>
      </c>
      <c r="F2229" s="27" t="str">
        <f>IFERROR(__xludf.DUMMYFUNCTION("""COMPUTED_VALUE"""),"BLACK")</f>
        <v>BLACK</v>
      </c>
      <c r="G2229" s="28" t="str">
        <f>IFERROR(__xludf.DUMMYFUNCTION("""COMPUTED_VALUE"""),"First Times a Charm Cider")</f>
        <v>First Times a Charm Cider</v>
      </c>
      <c r="H2229" s="27" t="str">
        <f>IFERROR(__xludf.DUMMYFUNCTION("""COMPUTED_VALUE"""),"")</f>
        <v/>
      </c>
    </row>
    <row r="2230">
      <c r="A2230" s="17"/>
      <c r="B2230" s="23"/>
      <c r="C2230" s="17">
        <f>IFERROR(__xludf.DUMMYFUNCTION("""COMPUTED_VALUE"""),43530.228450405)</f>
        <v>43530.22845</v>
      </c>
      <c r="D2230" s="23">
        <f>IFERROR(__xludf.DUMMYFUNCTION("""COMPUTED_VALUE"""),1.054)</f>
        <v>1.054</v>
      </c>
      <c r="E2230" s="24">
        <f>IFERROR(__xludf.DUMMYFUNCTION("""COMPUTED_VALUE"""),66.0)</f>
        <v>66</v>
      </c>
      <c r="F2230" s="27" t="str">
        <f>IFERROR(__xludf.DUMMYFUNCTION("""COMPUTED_VALUE"""),"BLACK")</f>
        <v>BLACK</v>
      </c>
      <c r="G2230" s="28" t="str">
        <f>IFERROR(__xludf.DUMMYFUNCTION("""COMPUTED_VALUE"""),"First Times a Charm Cider")</f>
        <v>First Times a Charm Cider</v>
      </c>
      <c r="H2230" s="27" t="str">
        <f>IFERROR(__xludf.DUMMYFUNCTION("""COMPUTED_VALUE"""),"")</f>
        <v/>
      </c>
    </row>
    <row r="2231">
      <c r="A2231" s="17"/>
      <c r="B2231" s="23"/>
      <c r="C2231" s="17">
        <f>IFERROR(__xludf.DUMMYFUNCTION("""COMPUTED_VALUE"""),43530.2076078356)</f>
        <v>43530.20761</v>
      </c>
      <c r="D2231" s="23">
        <f>IFERROR(__xludf.DUMMYFUNCTION("""COMPUTED_VALUE"""),1.054)</f>
        <v>1.054</v>
      </c>
      <c r="E2231" s="24">
        <f>IFERROR(__xludf.DUMMYFUNCTION("""COMPUTED_VALUE"""),66.0)</f>
        <v>66</v>
      </c>
      <c r="F2231" s="27" t="str">
        <f>IFERROR(__xludf.DUMMYFUNCTION("""COMPUTED_VALUE"""),"BLACK")</f>
        <v>BLACK</v>
      </c>
      <c r="G2231" s="28" t="str">
        <f>IFERROR(__xludf.DUMMYFUNCTION("""COMPUTED_VALUE"""),"First Times a Charm Cider")</f>
        <v>First Times a Charm Cider</v>
      </c>
      <c r="H2231" s="27" t="str">
        <f>IFERROR(__xludf.DUMMYFUNCTION("""COMPUTED_VALUE"""),"")</f>
        <v/>
      </c>
    </row>
    <row r="2232">
      <c r="A2232" s="17"/>
      <c r="B2232" s="23"/>
      <c r="C2232" s="17">
        <f>IFERROR(__xludf.DUMMYFUNCTION("""COMPUTED_VALUE"""),43530.1971876504)</f>
        <v>43530.19719</v>
      </c>
      <c r="D2232" s="23">
        <f>IFERROR(__xludf.DUMMYFUNCTION("""COMPUTED_VALUE"""),1.055)</f>
        <v>1.055</v>
      </c>
      <c r="E2232" s="24">
        <f>IFERROR(__xludf.DUMMYFUNCTION("""COMPUTED_VALUE"""),66.0)</f>
        <v>66</v>
      </c>
      <c r="F2232" s="27" t="str">
        <f>IFERROR(__xludf.DUMMYFUNCTION("""COMPUTED_VALUE"""),"BLACK")</f>
        <v>BLACK</v>
      </c>
      <c r="G2232" s="28" t="str">
        <f>IFERROR(__xludf.DUMMYFUNCTION("""COMPUTED_VALUE"""),"First Times a Charm Cider")</f>
        <v>First Times a Charm Cider</v>
      </c>
      <c r="H2232" s="27" t="str">
        <f>IFERROR(__xludf.DUMMYFUNCTION("""COMPUTED_VALUE"""),"")</f>
        <v/>
      </c>
    </row>
    <row r="2233">
      <c r="A2233" s="17"/>
      <c r="B2233" s="23"/>
      <c r="C2233" s="17">
        <f>IFERROR(__xludf.DUMMYFUNCTION("""COMPUTED_VALUE"""),43530.1867681828)</f>
        <v>43530.18677</v>
      </c>
      <c r="D2233" s="23">
        <f>IFERROR(__xludf.DUMMYFUNCTION("""COMPUTED_VALUE"""),1.055)</f>
        <v>1.055</v>
      </c>
      <c r="E2233" s="24">
        <f>IFERROR(__xludf.DUMMYFUNCTION("""COMPUTED_VALUE"""),66.0)</f>
        <v>66</v>
      </c>
      <c r="F2233" s="27" t="str">
        <f>IFERROR(__xludf.DUMMYFUNCTION("""COMPUTED_VALUE"""),"BLACK")</f>
        <v>BLACK</v>
      </c>
      <c r="G2233" s="28" t="str">
        <f>IFERROR(__xludf.DUMMYFUNCTION("""COMPUTED_VALUE"""),"First Times a Charm Cider")</f>
        <v>First Times a Charm Cider</v>
      </c>
      <c r="H2233" s="27" t="str">
        <f>IFERROR(__xludf.DUMMYFUNCTION("""COMPUTED_VALUE"""),"")</f>
        <v/>
      </c>
    </row>
    <row r="2234">
      <c r="A2234" s="17"/>
      <c r="B2234" s="23"/>
      <c r="C2234" s="17">
        <f>IFERROR(__xludf.DUMMYFUNCTION("""COMPUTED_VALUE"""),43530.1763444213)</f>
        <v>43530.17634</v>
      </c>
      <c r="D2234" s="23">
        <f>IFERROR(__xludf.DUMMYFUNCTION("""COMPUTED_VALUE"""),1.055)</f>
        <v>1.055</v>
      </c>
      <c r="E2234" s="24">
        <f>IFERROR(__xludf.DUMMYFUNCTION("""COMPUTED_VALUE"""),66.0)</f>
        <v>66</v>
      </c>
      <c r="F2234" s="27" t="str">
        <f>IFERROR(__xludf.DUMMYFUNCTION("""COMPUTED_VALUE"""),"BLACK")</f>
        <v>BLACK</v>
      </c>
      <c r="G2234" s="28" t="str">
        <f>IFERROR(__xludf.DUMMYFUNCTION("""COMPUTED_VALUE"""),"First Times a Charm Cider")</f>
        <v>First Times a Charm Cider</v>
      </c>
      <c r="H2234" s="27" t="str">
        <f>IFERROR(__xludf.DUMMYFUNCTION("""COMPUTED_VALUE"""),"")</f>
        <v/>
      </c>
    </row>
    <row r="2235">
      <c r="A2235" s="17"/>
      <c r="B2235" s="23"/>
      <c r="C2235" s="17">
        <f>IFERROR(__xludf.DUMMYFUNCTION("""COMPUTED_VALUE"""),43530.1555041666)</f>
        <v>43530.1555</v>
      </c>
      <c r="D2235" s="23">
        <f>IFERROR(__xludf.DUMMYFUNCTION("""COMPUTED_VALUE"""),1.055)</f>
        <v>1.055</v>
      </c>
      <c r="E2235" s="24">
        <f>IFERROR(__xludf.DUMMYFUNCTION("""COMPUTED_VALUE"""),66.0)</f>
        <v>66</v>
      </c>
      <c r="F2235" s="27" t="str">
        <f>IFERROR(__xludf.DUMMYFUNCTION("""COMPUTED_VALUE"""),"BLACK")</f>
        <v>BLACK</v>
      </c>
      <c r="G2235" s="28" t="str">
        <f>IFERROR(__xludf.DUMMYFUNCTION("""COMPUTED_VALUE"""),"First Times a Charm Cider")</f>
        <v>First Times a Charm Cider</v>
      </c>
      <c r="H2235" s="27" t="str">
        <f>IFERROR(__xludf.DUMMYFUNCTION("""COMPUTED_VALUE"""),"")</f>
        <v/>
      </c>
    </row>
    <row r="2236">
      <c r="A2236" s="17"/>
      <c r="B2236" s="23"/>
      <c r="C2236" s="17">
        <f>IFERROR(__xludf.DUMMYFUNCTION("""COMPUTED_VALUE"""),43530.1138070138)</f>
        <v>43530.11381</v>
      </c>
      <c r="D2236" s="23">
        <f>IFERROR(__xludf.DUMMYFUNCTION("""COMPUTED_VALUE"""),1.055)</f>
        <v>1.055</v>
      </c>
      <c r="E2236" s="24">
        <f>IFERROR(__xludf.DUMMYFUNCTION("""COMPUTED_VALUE"""),66.0)</f>
        <v>66</v>
      </c>
      <c r="F2236" s="27" t="str">
        <f>IFERROR(__xludf.DUMMYFUNCTION("""COMPUTED_VALUE"""),"BLACK")</f>
        <v>BLACK</v>
      </c>
      <c r="G2236" s="28" t="str">
        <f>IFERROR(__xludf.DUMMYFUNCTION("""COMPUTED_VALUE"""),"First Times a Charm Cider")</f>
        <v>First Times a Charm Cider</v>
      </c>
      <c r="H2236" s="27" t="str">
        <f>IFERROR(__xludf.DUMMYFUNCTION("""COMPUTED_VALUE"""),"")</f>
        <v/>
      </c>
    </row>
    <row r="2237">
      <c r="A2237" s="17"/>
      <c r="B2237" s="23"/>
      <c r="C2237" s="17">
        <f>IFERROR(__xludf.DUMMYFUNCTION("""COMPUTED_VALUE"""),43530.0721018287)</f>
        <v>43530.0721</v>
      </c>
      <c r="D2237" s="23">
        <f>IFERROR(__xludf.DUMMYFUNCTION("""COMPUTED_VALUE"""),1.055)</f>
        <v>1.055</v>
      </c>
      <c r="E2237" s="24">
        <f>IFERROR(__xludf.DUMMYFUNCTION("""COMPUTED_VALUE"""),66.0)</f>
        <v>66</v>
      </c>
      <c r="F2237" s="27" t="str">
        <f>IFERROR(__xludf.DUMMYFUNCTION("""COMPUTED_VALUE"""),"BLACK")</f>
        <v>BLACK</v>
      </c>
      <c r="G2237" s="28" t="str">
        <f>IFERROR(__xludf.DUMMYFUNCTION("""COMPUTED_VALUE"""),"First Times a Charm Cider")</f>
        <v>First Times a Charm Cider</v>
      </c>
      <c r="H2237" s="27" t="str">
        <f>IFERROR(__xludf.DUMMYFUNCTION("""COMPUTED_VALUE"""),"")</f>
        <v/>
      </c>
    </row>
    <row r="2238">
      <c r="A2238" s="17"/>
      <c r="B2238" s="23"/>
      <c r="C2238" s="17">
        <f>IFERROR(__xludf.DUMMYFUNCTION("""COMPUTED_VALUE"""),43530.0512602083)</f>
        <v>43530.05126</v>
      </c>
      <c r="D2238" s="23">
        <f>IFERROR(__xludf.DUMMYFUNCTION("""COMPUTED_VALUE"""),1.055)</f>
        <v>1.055</v>
      </c>
      <c r="E2238" s="24">
        <f>IFERROR(__xludf.DUMMYFUNCTION("""COMPUTED_VALUE"""),66.0)</f>
        <v>66</v>
      </c>
      <c r="F2238" s="27" t="str">
        <f>IFERROR(__xludf.DUMMYFUNCTION("""COMPUTED_VALUE"""),"BLACK")</f>
        <v>BLACK</v>
      </c>
      <c r="G2238" s="28" t="str">
        <f>IFERROR(__xludf.DUMMYFUNCTION("""COMPUTED_VALUE"""),"First Times a Charm Cider")</f>
        <v>First Times a Charm Cider</v>
      </c>
      <c r="H2238" s="27" t="str">
        <f>IFERROR(__xludf.DUMMYFUNCTION("""COMPUTED_VALUE"""),"")</f>
        <v/>
      </c>
    </row>
    <row r="2239">
      <c r="A2239" s="17"/>
      <c r="B2239" s="23"/>
      <c r="C2239" s="17">
        <f>IFERROR(__xludf.DUMMYFUNCTION("""COMPUTED_VALUE"""),43530.0304167245)</f>
        <v>43530.03042</v>
      </c>
      <c r="D2239" s="23">
        <f>IFERROR(__xludf.DUMMYFUNCTION("""COMPUTED_VALUE"""),1.055)</f>
        <v>1.055</v>
      </c>
      <c r="E2239" s="24">
        <f>IFERROR(__xludf.DUMMYFUNCTION("""COMPUTED_VALUE"""),66.0)</f>
        <v>66</v>
      </c>
      <c r="F2239" s="27" t="str">
        <f>IFERROR(__xludf.DUMMYFUNCTION("""COMPUTED_VALUE"""),"BLACK")</f>
        <v>BLACK</v>
      </c>
      <c r="G2239" s="28" t="str">
        <f>IFERROR(__xludf.DUMMYFUNCTION("""COMPUTED_VALUE"""),"First Times a Charm Cider")</f>
        <v>First Times a Charm Cider</v>
      </c>
      <c r="H2239" s="27" t="str">
        <f>IFERROR(__xludf.DUMMYFUNCTION("""COMPUTED_VALUE"""),"")</f>
        <v/>
      </c>
    </row>
    <row r="2240">
      <c r="A2240" s="17"/>
      <c r="B2240" s="23"/>
      <c r="C2240" s="17">
        <f>IFERROR(__xludf.DUMMYFUNCTION("""COMPUTED_VALUE"""),43530.0199954513)</f>
        <v>43530.02</v>
      </c>
      <c r="D2240" s="23">
        <f>IFERROR(__xludf.DUMMYFUNCTION("""COMPUTED_VALUE"""),1.055)</f>
        <v>1.055</v>
      </c>
      <c r="E2240" s="24">
        <f>IFERROR(__xludf.DUMMYFUNCTION("""COMPUTED_VALUE"""),66.0)</f>
        <v>66</v>
      </c>
      <c r="F2240" s="27" t="str">
        <f>IFERROR(__xludf.DUMMYFUNCTION("""COMPUTED_VALUE"""),"BLACK")</f>
        <v>BLACK</v>
      </c>
      <c r="G2240" s="28" t="str">
        <f>IFERROR(__xludf.DUMMYFUNCTION("""COMPUTED_VALUE"""),"First Times a Charm Cider")</f>
        <v>First Times a Charm Cider</v>
      </c>
      <c r="H2240" s="27" t="str">
        <f>IFERROR(__xludf.DUMMYFUNCTION("""COMPUTED_VALUE"""),"")</f>
        <v/>
      </c>
    </row>
    <row r="2241">
      <c r="A2241" s="17"/>
      <c r="B2241" s="23"/>
      <c r="C2241" s="17">
        <f>IFERROR(__xludf.DUMMYFUNCTION("""COMPUTED_VALUE"""),43529.9991442939)</f>
        <v>43529.99914</v>
      </c>
      <c r="D2241" s="23">
        <f>IFERROR(__xludf.DUMMYFUNCTION("""COMPUTED_VALUE"""),1.055)</f>
        <v>1.055</v>
      </c>
      <c r="E2241" s="24">
        <f>IFERROR(__xludf.DUMMYFUNCTION("""COMPUTED_VALUE"""),66.0)</f>
        <v>66</v>
      </c>
      <c r="F2241" s="27" t="str">
        <f>IFERROR(__xludf.DUMMYFUNCTION("""COMPUTED_VALUE"""),"BLACK")</f>
        <v>BLACK</v>
      </c>
      <c r="G2241" s="28" t="str">
        <f>IFERROR(__xludf.DUMMYFUNCTION("""COMPUTED_VALUE"""),"First Times a Charm Cider")</f>
        <v>First Times a Charm Cider</v>
      </c>
      <c r="H2241" s="27" t="str">
        <f>IFERROR(__xludf.DUMMYFUNCTION("""COMPUTED_VALUE"""),"")</f>
        <v/>
      </c>
    </row>
    <row r="2242">
      <c r="A2242" s="17"/>
      <c r="B2242" s="23"/>
      <c r="C2242" s="17">
        <f>IFERROR(__xludf.DUMMYFUNCTION("""COMPUTED_VALUE"""),43529.9782901273)</f>
        <v>43529.97829</v>
      </c>
      <c r="D2242" s="23">
        <f>IFERROR(__xludf.DUMMYFUNCTION("""COMPUTED_VALUE"""),1.055)</f>
        <v>1.055</v>
      </c>
      <c r="E2242" s="24">
        <f>IFERROR(__xludf.DUMMYFUNCTION("""COMPUTED_VALUE"""),66.0)</f>
        <v>66</v>
      </c>
      <c r="F2242" s="27" t="str">
        <f>IFERROR(__xludf.DUMMYFUNCTION("""COMPUTED_VALUE"""),"BLACK")</f>
        <v>BLACK</v>
      </c>
      <c r="G2242" s="28" t="str">
        <f>IFERROR(__xludf.DUMMYFUNCTION("""COMPUTED_VALUE"""),"First Times a Charm Cider")</f>
        <v>First Times a Charm Cider</v>
      </c>
      <c r="H2242" s="27" t="str">
        <f>IFERROR(__xludf.DUMMYFUNCTION("""COMPUTED_VALUE"""),"")</f>
        <v/>
      </c>
    </row>
    <row r="2243">
      <c r="A2243" s="17"/>
      <c r="B2243" s="23"/>
      <c r="C2243" s="17">
        <f>IFERROR(__xludf.DUMMYFUNCTION("""COMPUTED_VALUE"""),43529.9678569907)</f>
        <v>43529.96786</v>
      </c>
      <c r="D2243" s="23">
        <f>IFERROR(__xludf.DUMMYFUNCTION("""COMPUTED_VALUE"""),1.055)</f>
        <v>1.055</v>
      </c>
      <c r="E2243" s="24">
        <f>IFERROR(__xludf.DUMMYFUNCTION("""COMPUTED_VALUE"""),66.0)</f>
        <v>66</v>
      </c>
      <c r="F2243" s="27" t="str">
        <f>IFERROR(__xludf.DUMMYFUNCTION("""COMPUTED_VALUE"""),"BLACK")</f>
        <v>BLACK</v>
      </c>
      <c r="G2243" s="28" t="str">
        <f>IFERROR(__xludf.DUMMYFUNCTION("""COMPUTED_VALUE"""),"First Times a Charm Cider")</f>
        <v>First Times a Charm Cider</v>
      </c>
      <c r="H2243" s="27" t="str">
        <f>IFERROR(__xludf.DUMMYFUNCTION("""COMPUTED_VALUE"""),"")</f>
        <v/>
      </c>
    </row>
    <row r="2244">
      <c r="A2244" s="17"/>
      <c r="B2244" s="23"/>
      <c r="C2244" s="17">
        <f>IFERROR(__xludf.DUMMYFUNCTION("""COMPUTED_VALUE"""),43529.9470132523)</f>
        <v>43529.94701</v>
      </c>
      <c r="D2244" s="23">
        <f>IFERROR(__xludf.DUMMYFUNCTION("""COMPUTED_VALUE"""),1.055)</f>
        <v>1.055</v>
      </c>
      <c r="E2244" s="24">
        <f>IFERROR(__xludf.DUMMYFUNCTION("""COMPUTED_VALUE"""),66.0)</f>
        <v>66</v>
      </c>
      <c r="F2244" s="27" t="str">
        <f>IFERROR(__xludf.DUMMYFUNCTION("""COMPUTED_VALUE"""),"BLACK")</f>
        <v>BLACK</v>
      </c>
      <c r="G2244" s="28" t="str">
        <f>IFERROR(__xludf.DUMMYFUNCTION("""COMPUTED_VALUE"""),"First Times a Charm Cider")</f>
        <v>First Times a Charm Cider</v>
      </c>
      <c r="H2244" s="27" t="str">
        <f>IFERROR(__xludf.DUMMYFUNCTION("""COMPUTED_VALUE"""),"")</f>
        <v/>
      </c>
    </row>
    <row r="2245">
      <c r="A2245" s="17"/>
      <c r="B2245" s="23"/>
      <c r="C2245" s="17">
        <f>IFERROR(__xludf.DUMMYFUNCTION("""COMPUTED_VALUE"""),43529.9365931713)</f>
        <v>43529.93659</v>
      </c>
      <c r="D2245" s="23">
        <f>IFERROR(__xludf.DUMMYFUNCTION("""COMPUTED_VALUE"""),1.055)</f>
        <v>1.055</v>
      </c>
      <c r="E2245" s="24">
        <f>IFERROR(__xludf.DUMMYFUNCTION("""COMPUTED_VALUE"""),66.0)</f>
        <v>66</v>
      </c>
      <c r="F2245" s="27" t="str">
        <f>IFERROR(__xludf.DUMMYFUNCTION("""COMPUTED_VALUE"""),"BLACK")</f>
        <v>BLACK</v>
      </c>
      <c r="G2245" s="28" t="str">
        <f>IFERROR(__xludf.DUMMYFUNCTION("""COMPUTED_VALUE"""),"First Times a Charm Cider")</f>
        <v>First Times a Charm Cider</v>
      </c>
      <c r="H2245" s="27" t="str">
        <f>IFERROR(__xludf.DUMMYFUNCTION("""COMPUTED_VALUE"""),"")</f>
        <v/>
      </c>
    </row>
    <row r="2246">
      <c r="A2246" s="17"/>
      <c r="B2246" s="23"/>
      <c r="C2246" s="17">
        <f>IFERROR(__xludf.DUMMYFUNCTION("""COMPUTED_VALUE"""),43529.9261723611)</f>
        <v>43529.92617</v>
      </c>
      <c r="D2246" s="23">
        <f>IFERROR(__xludf.DUMMYFUNCTION("""COMPUTED_VALUE"""),1.055)</f>
        <v>1.055</v>
      </c>
      <c r="E2246" s="24">
        <f>IFERROR(__xludf.DUMMYFUNCTION("""COMPUTED_VALUE"""),66.0)</f>
        <v>66</v>
      </c>
      <c r="F2246" s="27" t="str">
        <f>IFERROR(__xludf.DUMMYFUNCTION("""COMPUTED_VALUE"""),"BLACK")</f>
        <v>BLACK</v>
      </c>
      <c r="G2246" s="28" t="str">
        <f>IFERROR(__xludf.DUMMYFUNCTION("""COMPUTED_VALUE"""),"First Times a Charm Cider")</f>
        <v>First Times a Charm Cider</v>
      </c>
      <c r="H2246" s="27" t="str">
        <f>IFERROR(__xludf.DUMMYFUNCTION("""COMPUTED_VALUE"""),"")</f>
        <v/>
      </c>
    </row>
    <row r="2247">
      <c r="A2247" s="17"/>
      <c r="B2247" s="23"/>
      <c r="C2247" s="17">
        <f>IFERROR(__xludf.DUMMYFUNCTION("""COMPUTED_VALUE"""),43529.9157513194)</f>
        <v>43529.91575</v>
      </c>
      <c r="D2247" s="23">
        <f>IFERROR(__xludf.DUMMYFUNCTION("""COMPUTED_VALUE"""),1.055)</f>
        <v>1.055</v>
      </c>
      <c r="E2247" s="24">
        <f>IFERROR(__xludf.DUMMYFUNCTION("""COMPUTED_VALUE"""),66.0)</f>
        <v>66</v>
      </c>
      <c r="F2247" s="27" t="str">
        <f>IFERROR(__xludf.DUMMYFUNCTION("""COMPUTED_VALUE"""),"BLACK")</f>
        <v>BLACK</v>
      </c>
      <c r="G2247" s="28" t="str">
        <f>IFERROR(__xludf.DUMMYFUNCTION("""COMPUTED_VALUE"""),"First Times a Charm Cider")</f>
        <v>First Times a Charm Cider</v>
      </c>
      <c r="H2247" s="27" t="str">
        <f>IFERROR(__xludf.DUMMYFUNCTION("""COMPUTED_VALUE"""),"")</f>
        <v/>
      </c>
    </row>
    <row r="2248">
      <c r="A2248" s="17"/>
      <c r="B2248" s="23"/>
      <c r="C2248" s="17">
        <f>IFERROR(__xludf.DUMMYFUNCTION("""COMPUTED_VALUE"""),43529.9053327199)</f>
        <v>43529.90533</v>
      </c>
      <c r="D2248" s="23">
        <f>IFERROR(__xludf.DUMMYFUNCTION("""COMPUTED_VALUE"""),1.055)</f>
        <v>1.055</v>
      </c>
      <c r="E2248" s="24">
        <f>IFERROR(__xludf.DUMMYFUNCTION("""COMPUTED_VALUE"""),66.0)</f>
        <v>66</v>
      </c>
      <c r="F2248" s="27" t="str">
        <f>IFERROR(__xludf.DUMMYFUNCTION("""COMPUTED_VALUE"""),"BLACK")</f>
        <v>BLACK</v>
      </c>
      <c r="G2248" s="28" t="str">
        <f>IFERROR(__xludf.DUMMYFUNCTION("""COMPUTED_VALUE"""),"First Times a Charm Cider")</f>
        <v>First Times a Charm Cider</v>
      </c>
      <c r="H2248" s="27" t="str">
        <f>IFERROR(__xludf.DUMMYFUNCTION("""COMPUTED_VALUE"""),"")</f>
        <v/>
      </c>
    </row>
    <row r="2249">
      <c r="A2249" s="17"/>
      <c r="B2249" s="23"/>
      <c r="C2249" s="17">
        <f>IFERROR(__xludf.DUMMYFUNCTION("""COMPUTED_VALUE"""),43529.8949121296)</f>
        <v>43529.89491</v>
      </c>
      <c r="D2249" s="23">
        <f>IFERROR(__xludf.DUMMYFUNCTION("""COMPUTED_VALUE"""),1.055)</f>
        <v>1.055</v>
      </c>
      <c r="E2249" s="24">
        <f>IFERROR(__xludf.DUMMYFUNCTION("""COMPUTED_VALUE"""),66.0)</f>
        <v>66</v>
      </c>
      <c r="F2249" s="27" t="str">
        <f>IFERROR(__xludf.DUMMYFUNCTION("""COMPUTED_VALUE"""),"BLACK")</f>
        <v>BLACK</v>
      </c>
      <c r="G2249" s="28" t="str">
        <f>IFERROR(__xludf.DUMMYFUNCTION("""COMPUTED_VALUE"""),"First Times a Charm Cider")</f>
        <v>First Times a Charm Cider</v>
      </c>
      <c r="H2249" s="27" t="str">
        <f>IFERROR(__xludf.DUMMYFUNCTION("""COMPUTED_VALUE"""),"")</f>
        <v/>
      </c>
    </row>
    <row r="2250">
      <c r="A2250" s="17"/>
      <c r="B2250" s="23"/>
      <c r="C2250" s="17">
        <f>IFERROR(__xludf.DUMMYFUNCTION("""COMPUTED_VALUE"""),43529.8844786574)</f>
        <v>43529.88448</v>
      </c>
      <c r="D2250" s="23">
        <f>IFERROR(__xludf.DUMMYFUNCTION("""COMPUTED_VALUE"""),1.055)</f>
        <v>1.055</v>
      </c>
      <c r="E2250" s="24">
        <f>IFERROR(__xludf.DUMMYFUNCTION("""COMPUTED_VALUE"""),66.0)</f>
        <v>66</v>
      </c>
      <c r="F2250" s="27" t="str">
        <f>IFERROR(__xludf.DUMMYFUNCTION("""COMPUTED_VALUE"""),"BLACK")</f>
        <v>BLACK</v>
      </c>
      <c r="G2250" s="28" t="str">
        <f>IFERROR(__xludf.DUMMYFUNCTION("""COMPUTED_VALUE"""),"First Times a Charm Cider")</f>
        <v>First Times a Charm Cider</v>
      </c>
      <c r="H2250" s="27" t="str">
        <f>IFERROR(__xludf.DUMMYFUNCTION("""COMPUTED_VALUE"""),"")</f>
        <v/>
      </c>
    </row>
    <row r="2251">
      <c r="A2251" s="17"/>
      <c r="B2251" s="23"/>
      <c r="C2251" s="17">
        <f>IFERROR(__xludf.DUMMYFUNCTION("""COMPUTED_VALUE"""),43529.8740442824)</f>
        <v>43529.87404</v>
      </c>
      <c r="D2251" s="23">
        <f>IFERROR(__xludf.DUMMYFUNCTION("""COMPUTED_VALUE"""),1.055)</f>
        <v>1.055</v>
      </c>
      <c r="E2251" s="24">
        <f>IFERROR(__xludf.DUMMYFUNCTION("""COMPUTED_VALUE"""),66.0)</f>
        <v>66</v>
      </c>
      <c r="F2251" s="27" t="str">
        <f>IFERROR(__xludf.DUMMYFUNCTION("""COMPUTED_VALUE"""),"BLACK")</f>
        <v>BLACK</v>
      </c>
      <c r="G2251" s="28" t="str">
        <f>IFERROR(__xludf.DUMMYFUNCTION("""COMPUTED_VALUE"""),"First Times a Charm Cider")</f>
        <v>First Times a Charm Cider</v>
      </c>
      <c r="H2251" s="27" t="str">
        <f>IFERROR(__xludf.DUMMYFUNCTION("""COMPUTED_VALUE"""),"")</f>
        <v/>
      </c>
    </row>
    <row r="2252">
      <c r="A2252" s="17"/>
      <c r="B2252" s="23"/>
      <c r="C2252" s="17">
        <f>IFERROR(__xludf.DUMMYFUNCTION("""COMPUTED_VALUE"""),43529.8636234375)</f>
        <v>43529.86362</v>
      </c>
      <c r="D2252" s="23">
        <f>IFERROR(__xludf.DUMMYFUNCTION("""COMPUTED_VALUE"""),1.055)</f>
        <v>1.055</v>
      </c>
      <c r="E2252" s="24">
        <f>IFERROR(__xludf.DUMMYFUNCTION("""COMPUTED_VALUE"""),66.0)</f>
        <v>66</v>
      </c>
      <c r="F2252" s="27" t="str">
        <f>IFERROR(__xludf.DUMMYFUNCTION("""COMPUTED_VALUE"""),"BLACK")</f>
        <v>BLACK</v>
      </c>
      <c r="G2252" s="28" t="str">
        <f>IFERROR(__xludf.DUMMYFUNCTION("""COMPUTED_VALUE"""),"First Times a Charm Cider")</f>
        <v>First Times a Charm Cider</v>
      </c>
      <c r="H2252" s="27" t="str">
        <f>IFERROR(__xludf.DUMMYFUNCTION("""COMPUTED_VALUE"""),"")</f>
        <v/>
      </c>
    </row>
    <row r="2253">
      <c r="A2253" s="17"/>
      <c r="B2253" s="23"/>
      <c r="C2253" s="17">
        <f>IFERROR(__xludf.DUMMYFUNCTION("""COMPUTED_VALUE"""),43529.8531930092)</f>
        <v>43529.85319</v>
      </c>
      <c r="D2253" s="23">
        <f>IFERROR(__xludf.DUMMYFUNCTION("""COMPUTED_VALUE"""),1.055)</f>
        <v>1.055</v>
      </c>
      <c r="E2253" s="24">
        <f>IFERROR(__xludf.DUMMYFUNCTION("""COMPUTED_VALUE"""),66.0)</f>
        <v>66</v>
      </c>
      <c r="F2253" s="27" t="str">
        <f>IFERROR(__xludf.DUMMYFUNCTION("""COMPUTED_VALUE"""),"BLACK")</f>
        <v>BLACK</v>
      </c>
      <c r="G2253" s="28" t="str">
        <f>IFERROR(__xludf.DUMMYFUNCTION("""COMPUTED_VALUE"""),"First Times a Charm Cider")</f>
        <v>First Times a Charm Cider</v>
      </c>
      <c r="H2253" s="27" t="str">
        <f>IFERROR(__xludf.DUMMYFUNCTION("""COMPUTED_VALUE"""),"")</f>
        <v/>
      </c>
    </row>
    <row r="2254">
      <c r="A2254" s="17"/>
      <c r="B2254" s="23"/>
      <c r="C2254" s="17">
        <f>IFERROR(__xludf.DUMMYFUNCTION("""COMPUTED_VALUE"""),43529.8323278588)</f>
        <v>43529.83233</v>
      </c>
      <c r="D2254" s="23">
        <f>IFERROR(__xludf.DUMMYFUNCTION("""COMPUTED_VALUE"""),1.055)</f>
        <v>1.055</v>
      </c>
      <c r="E2254" s="24">
        <f>IFERROR(__xludf.DUMMYFUNCTION("""COMPUTED_VALUE"""),66.0)</f>
        <v>66</v>
      </c>
      <c r="F2254" s="27" t="str">
        <f>IFERROR(__xludf.DUMMYFUNCTION("""COMPUTED_VALUE"""),"BLACK")</f>
        <v>BLACK</v>
      </c>
      <c r="G2254" s="28" t="str">
        <f>IFERROR(__xludf.DUMMYFUNCTION("""COMPUTED_VALUE"""),"First Times a Charm Cider")</f>
        <v>First Times a Charm Cider</v>
      </c>
      <c r="H2254" s="27" t="str">
        <f>IFERROR(__xludf.DUMMYFUNCTION("""COMPUTED_VALUE"""),"")</f>
        <v/>
      </c>
    </row>
    <row r="2255">
      <c r="A2255" s="17"/>
      <c r="B2255" s="23"/>
      <c r="C2255" s="17">
        <f>IFERROR(__xludf.DUMMYFUNCTION("""COMPUTED_VALUE"""),43529.821895162)</f>
        <v>43529.8219</v>
      </c>
      <c r="D2255" s="23">
        <f>IFERROR(__xludf.DUMMYFUNCTION("""COMPUTED_VALUE"""),1.055)</f>
        <v>1.055</v>
      </c>
      <c r="E2255" s="24">
        <f>IFERROR(__xludf.DUMMYFUNCTION("""COMPUTED_VALUE"""),66.0)</f>
        <v>66</v>
      </c>
      <c r="F2255" s="27" t="str">
        <f>IFERROR(__xludf.DUMMYFUNCTION("""COMPUTED_VALUE"""),"BLACK")</f>
        <v>BLACK</v>
      </c>
      <c r="G2255" s="28" t="str">
        <f>IFERROR(__xludf.DUMMYFUNCTION("""COMPUTED_VALUE"""),"First Times a Charm Cider")</f>
        <v>First Times a Charm Cider</v>
      </c>
      <c r="H2255" s="27" t="str">
        <f>IFERROR(__xludf.DUMMYFUNCTION("""COMPUTED_VALUE"""),"")</f>
        <v/>
      </c>
    </row>
    <row r="2256">
      <c r="A2256" s="17"/>
      <c r="B2256" s="23"/>
      <c r="C2256" s="17">
        <f>IFERROR(__xludf.DUMMYFUNCTION("""COMPUTED_VALUE"""),43529.8114525925)</f>
        <v>43529.81145</v>
      </c>
      <c r="D2256" s="23">
        <f>IFERROR(__xludf.DUMMYFUNCTION("""COMPUTED_VALUE"""),1.055)</f>
        <v>1.055</v>
      </c>
      <c r="E2256" s="24">
        <f>IFERROR(__xludf.DUMMYFUNCTION("""COMPUTED_VALUE"""),66.0)</f>
        <v>66</v>
      </c>
      <c r="F2256" s="27" t="str">
        <f>IFERROR(__xludf.DUMMYFUNCTION("""COMPUTED_VALUE"""),"BLACK")</f>
        <v>BLACK</v>
      </c>
      <c r="G2256" s="28" t="str">
        <f>IFERROR(__xludf.DUMMYFUNCTION("""COMPUTED_VALUE"""),"First Times a Charm Cider")</f>
        <v>First Times a Charm Cider</v>
      </c>
      <c r="H2256" s="27" t="str">
        <f>IFERROR(__xludf.DUMMYFUNCTION("""COMPUTED_VALUE"""),"")</f>
        <v/>
      </c>
    </row>
    <row r="2257">
      <c r="A2257" s="17"/>
      <c r="B2257" s="23"/>
      <c r="C2257" s="17">
        <f>IFERROR(__xludf.DUMMYFUNCTION("""COMPUTED_VALUE"""),43529.8010313657)</f>
        <v>43529.80103</v>
      </c>
      <c r="D2257" s="23">
        <f>IFERROR(__xludf.DUMMYFUNCTION("""COMPUTED_VALUE"""),1.055)</f>
        <v>1.055</v>
      </c>
      <c r="E2257" s="24">
        <f>IFERROR(__xludf.DUMMYFUNCTION("""COMPUTED_VALUE"""),66.0)</f>
        <v>66</v>
      </c>
      <c r="F2257" s="27" t="str">
        <f>IFERROR(__xludf.DUMMYFUNCTION("""COMPUTED_VALUE"""),"BLACK")</f>
        <v>BLACK</v>
      </c>
      <c r="G2257" s="28" t="str">
        <f>IFERROR(__xludf.DUMMYFUNCTION("""COMPUTED_VALUE"""),"First Times a Charm Cider")</f>
        <v>First Times a Charm Cider</v>
      </c>
      <c r="H2257" s="27" t="str">
        <f>IFERROR(__xludf.DUMMYFUNCTION("""COMPUTED_VALUE"""),"")</f>
        <v/>
      </c>
    </row>
    <row r="2258">
      <c r="A2258" s="17"/>
      <c r="B2258" s="23"/>
      <c r="C2258" s="17">
        <f>IFERROR(__xludf.DUMMYFUNCTION("""COMPUTED_VALUE"""),43529.7801885185)</f>
        <v>43529.78019</v>
      </c>
      <c r="D2258" s="23">
        <f>IFERROR(__xludf.DUMMYFUNCTION("""COMPUTED_VALUE"""),1.055)</f>
        <v>1.055</v>
      </c>
      <c r="E2258" s="24">
        <f>IFERROR(__xludf.DUMMYFUNCTION("""COMPUTED_VALUE"""),66.0)</f>
        <v>66</v>
      </c>
      <c r="F2258" s="27" t="str">
        <f>IFERROR(__xludf.DUMMYFUNCTION("""COMPUTED_VALUE"""),"BLACK")</f>
        <v>BLACK</v>
      </c>
      <c r="G2258" s="28" t="str">
        <f>IFERROR(__xludf.DUMMYFUNCTION("""COMPUTED_VALUE"""),"First Times a Charm Cider")</f>
        <v>First Times a Charm Cider</v>
      </c>
      <c r="H2258" s="27" t="str">
        <f>IFERROR(__xludf.DUMMYFUNCTION("""COMPUTED_VALUE"""),"")</f>
        <v/>
      </c>
    </row>
    <row r="2259">
      <c r="A2259" s="17"/>
      <c r="B2259" s="23"/>
      <c r="C2259" s="17">
        <f>IFERROR(__xludf.DUMMYFUNCTION("""COMPUTED_VALUE"""),43529.7697678009)</f>
        <v>43529.76977</v>
      </c>
      <c r="D2259" s="23">
        <f>IFERROR(__xludf.DUMMYFUNCTION("""COMPUTED_VALUE"""),1.055)</f>
        <v>1.055</v>
      </c>
      <c r="E2259" s="24">
        <f>IFERROR(__xludf.DUMMYFUNCTION("""COMPUTED_VALUE"""),66.0)</f>
        <v>66</v>
      </c>
      <c r="F2259" s="27" t="str">
        <f>IFERROR(__xludf.DUMMYFUNCTION("""COMPUTED_VALUE"""),"BLACK")</f>
        <v>BLACK</v>
      </c>
      <c r="G2259" s="28" t="str">
        <f>IFERROR(__xludf.DUMMYFUNCTION("""COMPUTED_VALUE"""),"First Times a Charm Cider")</f>
        <v>First Times a Charm Cider</v>
      </c>
      <c r="H2259" s="27" t="str">
        <f>IFERROR(__xludf.DUMMYFUNCTION("""COMPUTED_VALUE"""),"")</f>
        <v/>
      </c>
    </row>
    <row r="2260">
      <c r="A2260" s="17"/>
      <c r="B2260" s="23"/>
      <c r="C2260" s="17">
        <f>IFERROR(__xludf.DUMMYFUNCTION("""COMPUTED_VALUE"""),43529.7593486111)</f>
        <v>43529.75935</v>
      </c>
      <c r="D2260" s="23">
        <f>IFERROR(__xludf.DUMMYFUNCTION("""COMPUTED_VALUE"""),1.055)</f>
        <v>1.055</v>
      </c>
      <c r="E2260" s="24">
        <f>IFERROR(__xludf.DUMMYFUNCTION("""COMPUTED_VALUE"""),66.0)</f>
        <v>66</v>
      </c>
      <c r="F2260" s="27" t="str">
        <f>IFERROR(__xludf.DUMMYFUNCTION("""COMPUTED_VALUE"""),"BLACK")</f>
        <v>BLACK</v>
      </c>
      <c r="G2260" s="28" t="str">
        <f>IFERROR(__xludf.DUMMYFUNCTION("""COMPUTED_VALUE"""),"First Times a Charm Cider")</f>
        <v>First Times a Charm Cider</v>
      </c>
      <c r="H2260" s="27" t="str">
        <f>IFERROR(__xludf.DUMMYFUNCTION("""COMPUTED_VALUE"""),"")</f>
        <v/>
      </c>
    </row>
    <row r="2261">
      <c r="A2261" s="17"/>
      <c r="B2261" s="23"/>
      <c r="C2261" s="17">
        <f>IFERROR(__xludf.DUMMYFUNCTION("""COMPUTED_VALUE"""),43529.7489160069)</f>
        <v>43529.74892</v>
      </c>
      <c r="D2261" s="23">
        <f>IFERROR(__xludf.DUMMYFUNCTION("""COMPUTED_VALUE"""),1.055)</f>
        <v>1.055</v>
      </c>
      <c r="E2261" s="24">
        <f>IFERROR(__xludf.DUMMYFUNCTION("""COMPUTED_VALUE"""),66.0)</f>
        <v>66</v>
      </c>
      <c r="F2261" s="27" t="str">
        <f>IFERROR(__xludf.DUMMYFUNCTION("""COMPUTED_VALUE"""),"BLACK")</f>
        <v>BLACK</v>
      </c>
      <c r="G2261" s="28" t="str">
        <f>IFERROR(__xludf.DUMMYFUNCTION("""COMPUTED_VALUE"""),"First Times a Charm Cider")</f>
        <v>First Times a Charm Cider</v>
      </c>
      <c r="H2261" s="27" t="str">
        <f>IFERROR(__xludf.DUMMYFUNCTION("""COMPUTED_VALUE"""),"")</f>
        <v/>
      </c>
    </row>
    <row r="2262">
      <c r="A2262" s="17"/>
      <c r="B2262" s="23"/>
      <c r="C2262" s="17">
        <f>IFERROR(__xludf.DUMMYFUNCTION("""COMPUTED_VALUE"""),43529.7384824305)</f>
        <v>43529.73848</v>
      </c>
      <c r="D2262" s="23">
        <f>IFERROR(__xludf.DUMMYFUNCTION("""COMPUTED_VALUE"""),1.055)</f>
        <v>1.055</v>
      </c>
      <c r="E2262" s="24">
        <f>IFERROR(__xludf.DUMMYFUNCTION("""COMPUTED_VALUE"""),66.0)</f>
        <v>66</v>
      </c>
      <c r="F2262" s="27" t="str">
        <f>IFERROR(__xludf.DUMMYFUNCTION("""COMPUTED_VALUE"""),"BLACK")</f>
        <v>BLACK</v>
      </c>
      <c r="G2262" s="28" t="str">
        <f>IFERROR(__xludf.DUMMYFUNCTION("""COMPUTED_VALUE"""),"First Times a Charm Cider")</f>
        <v>First Times a Charm Cider</v>
      </c>
      <c r="H2262" s="27" t="str">
        <f>IFERROR(__xludf.DUMMYFUNCTION("""COMPUTED_VALUE"""),"")</f>
        <v/>
      </c>
    </row>
    <row r="2263">
      <c r="A2263" s="17"/>
      <c r="B2263" s="23"/>
      <c r="C2263" s="17">
        <f>IFERROR(__xludf.DUMMYFUNCTION("""COMPUTED_VALUE"""),43529.7280604513)</f>
        <v>43529.72806</v>
      </c>
      <c r="D2263" s="23">
        <f>IFERROR(__xludf.DUMMYFUNCTION("""COMPUTED_VALUE"""),1.055)</f>
        <v>1.055</v>
      </c>
      <c r="E2263" s="24">
        <f>IFERROR(__xludf.DUMMYFUNCTION("""COMPUTED_VALUE"""),66.0)</f>
        <v>66</v>
      </c>
      <c r="F2263" s="27" t="str">
        <f>IFERROR(__xludf.DUMMYFUNCTION("""COMPUTED_VALUE"""),"BLACK")</f>
        <v>BLACK</v>
      </c>
      <c r="G2263" s="28" t="str">
        <f>IFERROR(__xludf.DUMMYFUNCTION("""COMPUTED_VALUE"""),"First Times a Charm Cider")</f>
        <v>First Times a Charm Cider</v>
      </c>
      <c r="H2263" s="27" t="str">
        <f>IFERROR(__xludf.DUMMYFUNCTION("""COMPUTED_VALUE"""),"")</f>
        <v/>
      </c>
    </row>
    <row r="2264">
      <c r="A2264" s="17"/>
      <c r="B2264" s="23"/>
      <c r="C2264" s="17">
        <f>IFERROR(__xludf.DUMMYFUNCTION("""COMPUTED_VALUE"""),43529.7176410879)</f>
        <v>43529.71764</v>
      </c>
      <c r="D2264" s="23">
        <f>IFERROR(__xludf.DUMMYFUNCTION("""COMPUTED_VALUE"""),1.055)</f>
        <v>1.055</v>
      </c>
      <c r="E2264" s="24">
        <f>IFERROR(__xludf.DUMMYFUNCTION("""COMPUTED_VALUE"""),66.0)</f>
        <v>66</v>
      </c>
      <c r="F2264" s="27" t="str">
        <f>IFERROR(__xludf.DUMMYFUNCTION("""COMPUTED_VALUE"""),"BLACK")</f>
        <v>BLACK</v>
      </c>
      <c r="G2264" s="28" t="str">
        <f>IFERROR(__xludf.DUMMYFUNCTION("""COMPUTED_VALUE"""),"First Times a Charm Cider")</f>
        <v>First Times a Charm Cider</v>
      </c>
      <c r="H2264" s="27" t="str">
        <f>IFERROR(__xludf.DUMMYFUNCTION("""COMPUTED_VALUE"""),"")</f>
        <v/>
      </c>
    </row>
    <row r="2265">
      <c r="A2265" s="17"/>
      <c r="B2265" s="23"/>
      <c r="C2265" s="17">
        <f>IFERROR(__xludf.DUMMYFUNCTION("""COMPUTED_VALUE"""),43529.7072198032)</f>
        <v>43529.70722</v>
      </c>
      <c r="D2265" s="23">
        <f>IFERROR(__xludf.DUMMYFUNCTION("""COMPUTED_VALUE"""),1.056)</f>
        <v>1.056</v>
      </c>
      <c r="E2265" s="24">
        <f>IFERROR(__xludf.DUMMYFUNCTION("""COMPUTED_VALUE"""),66.0)</f>
        <v>66</v>
      </c>
      <c r="F2265" s="27" t="str">
        <f>IFERROR(__xludf.DUMMYFUNCTION("""COMPUTED_VALUE"""),"BLACK")</f>
        <v>BLACK</v>
      </c>
      <c r="G2265" s="28" t="str">
        <f>IFERROR(__xludf.DUMMYFUNCTION("""COMPUTED_VALUE"""),"First Times a Charm Cider")</f>
        <v>First Times a Charm Cider</v>
      </c>
      <c r="H2265" s="27" t="str">
        <f>IFERROR(__xludf.DUMMYFUNCTION("""COMPUTED_VALUE"""),"")</f>
        <v/>
      </c>
    </row>
    <row r="2266">
      <c r="A2266" s="17"/>
      <c r="B2266" s="23"/>
      <c r="C2266" s="17">
        <f>IFERROR(__xludf.DUMMYFUNCTION("""COMPUTED_VALUE"""),43529.6863764004)</f>
        <v>43529.68638</v>
      </c>
      <c r="D2266" s="23">
        <f>IFERROR(__xludf.DUMMYFUNCTION("""COMPUTED_VALUE"""),1.056)</f>
        <v>1.056</v>
      </c>
      <c r="E2266" s="24">
        <f>IFERROR(__xludf.DUMMYFUNCTION("""COMPUTED_VALUE"""),66.0)</f>
        <v>66</v>
      </c>
      <c r="F2266" s="27" t="str">
        <f>IFERROR(__xludf.DUMMYFUNCTION("""COMPUTED_VALUE"""),"BLACK")</f>
        <v>BLACK</v>
      </c>
      <c r="G2266" s="28" t="str">
        <f>IFERROR(__xludf.DUMMYFUNCTION("""COMPUTED_VALUE"""),"First Times a Charm Cider")</f>
        <v>First Times a Charm Cider</v>
      </c>
      <c r="H2266" s="27" t="str">
        <f>IFERROR(__xludf.DUMMYFUNCTION("""COMPUTED_VALUE"""),"")</f>
        <v/>
      </c>
    </row>
    <row r="2267">
      <c r="A2267" s="17"/>
      <c r="B2267" s="23"/>
      <c r="C2267" s="17">
        <f>IFERROR(__xludf.DUMMYFUNCTION("""COMPUTED_VALUE"""),43529.6759557176)</f>
        <v>43529.67596</v>
      </c>
      <c r="D2267" s="23">
        <f>IFERROR(__xludf.DUMMYFUNCTION("""COMPUTED_VALUE"""),1.056)</f>
        <v>1.056</v>
      </c>
      <c r="E2267" s="24">
        <f>IFERROR(__xludf.DUMMYFUNCTION("""COMPUTED_VALUE"""),66.0)</f>
        <v>66</v>
      </c>
      <c r="F2267" s="27" t="str">
        <f>IFERROR(__xludf.DUMMYFUNCTION("""COMPUTED_VALUE"""),"BLACK")</f>
        <v>BLACK</v>
      </c>
      <c r="G2267" s="28" t="str">
        <f>IFERROR(__xludf.DUMMYFUNCTION("""COMPUTED_VALUE"""),"First Times a Charm Cider")</f>
        <v>First Times a Charm Cider</v>
      </c>
      <c r="H2267" s="27" t="str">
        <f>IFERROR(__xludf.DUMMYFUNCTION("""COMPUTED_VALUE"""),"")</f>
        <v/>
      </c>
    </row>
    <row r="2268">
      <c r="A2268" s="17"/>
      <c r="B2268" s="23"/>
      <c r="C2268" s="17">
        <f>IFERROR(__xludf.DUMMYFUNCTION("""COMPUTED_VALUE"""),43529.644680949)</f>
        <v>43529.64468</v>
      </c>
      <c r="D2268" s="23">
        <f>IFERROR(__xludf.DUMMYFUNCTION("""COMPUTED_VALUE"""),1.056)</f>
        <v>1.056</v>
      </c>
      <c r="E2268" s="24">
        <f>IFERROR(__xludf.DUMMYFUNCTION("""COMPUTED_VALUE"""),65.0)</f>
        <v>65</v>
      </c>
      <c r="F2268" s="27" t="str">
        <f>IFERROR(__xludf.DUMMYFUNCTION("""COMPUTED_VALUE"""),"BLACK")</f>
        <v>BLACK</v>
      </c>
      <c r="G2268" s="28" t="str">
        <f>IFERROR(__xludf.DUMMYFUNCTION("""COMPUTED_VALUE"""),"First Times a Charm Cider")</f>
        <v>First Times a Charm Cider</v>
      </c>
      <c r="H2268" s="27" t="str">
        <f>IFERROR(__xludf.DUMMYFUNCTION("""COMPUTED_VALUE"""),"")</f>
        <v/>
      </c>
    </row>
    <row r="2269">
      <c r="A2269" s="17"/>
      <c r="B2269" s="23"/>
      <c r="C2269" s="17">
        <f>IFERROR(__xludf.DUMMYFUNCTION("""COMPUTED_VALUE"""),43529.623840081)</f>
        <v>43529.62384</v>
      </c>
      <c r="D2269" s="23">
        <f>IFERROR(__xludf.DUMMYFUNCTION("""COMPUTED_VALUE"""),1.056)</f>
        <v>1.056</v>
      </c>
      <c r="E2269" s="24">
        <f>IFERROR(__xludf.DUMMYFUNCTION("""COMPUTED_VALUE"""),65.0)</f>
        <v>65</v>
      </c>
      <c r="F2269" s="27" t="str">
        <f>IFERROR(__xludf.DUMMYFUNCTION("""COMPUTED_VALUE"""),"BLACK")</f>
        <v>BLACK</v>
      </c>
      <c r="G2269" s="28" t="str">
        <f>IFERROR(__xludf.DUMMYFUNCTION("""COMPUTED_VALUE"""),"First Times a Charm Cider")</f>
        <v>First Times a Charm Cider</v>
      </c>
      <c r="H2269" s="27" t="str">
        <f>IFERROR(__xludf.DUMMYFUNCTION("""COMPUTED_VALUE"""),"")</f>
        <v/>
      </c>
    </row>
    <row r="2270">
      <c r="A2270" s="17"/>
      <c r="B2270" s="23"/>
      <c r="C2270" s="17">
        <f>IFERROR(__xludf.DUMMYFUNCTION("""COMPUTED_VALUE"""),43529.6134189004)</f>
        <v>43529.61342</v>
      </c>
      <c r="D2270" s="23">
        <f>IFERROR(__xludf.DUMMYFUNCTION("""COMPUTED_VALUE"""),1.056)</f>
        <v>1.056</v>
      </c>
      <c r="E2270" s="24">
        <f>IFERROR(__xludf.DUMMYFUNCTION("""COMPUTED_VALUE"""),66.0)</f>
        <v>66</v>
      </c>
      <c r="F2270" s="27" t="str">
        <f>IFERROR(__xludf.DUMMYFUNCTION("""COMPUTED_VALUE"""),"BLACK")</f>
        <v>BLACK</v>
      </c>
      <c r="G2270" s="28" t="str">
        <f>IFERROR(__xludf.DUMMYFUNCTION("""COMPUTED_VALUE"""),"First Times a Charm Cider")</f>
        <v>First Times a Charm Cider</v>
      </c>
      <c r="H2270" s="27" t="str">
        <f>IFERROR(__xludf.DUMMYFUNCTION("""COMPUTED_VALUE"""),"")</f>
        <v/>
      </c>
    </row>
    <row r="2271">
      <c r="A2271" s="17"/>
      <c r="B2271" s="23"/>
      <c r="C2271" s="17">
        <f>IFERROR(__xludf.DUMMYFUNCTION("""COMPUTED_VALUE"""),43529.6029973263)</f>
        <v>43529.603</v>
      </c>
      <c r="D2271" s="23">
        <f>IFERROR(__xludf.DUMMYFUNCTION("""COMPUTED_VALUE"""),1.056)</f>
        <v>1.056</v>
      </c>
      <c r="E2271" s="24">
        <f>IFERROR(__xludf.DUMMYFUNCTION("""COMPUTED_VALUE"""),65.0)</f>
        <v>65</v>
      </c>
      <c r="F2271" s="27" t="str">
        <f>IFERROR(__xludf.DUMMYFUNCTION("""COMPUTED_VALUE"""),"BLACK")</f>
        <v>BLACK</v>
      </c>
      <c r="G2271" s="28" t="str">
        <f>IFERROR(__xludf.DUMMYFUNCTION("""COMPUTED_VALUE"""),"First Times a Charm Cider")</f>
        <v>First Times a Charm Cider</v>
      </c>
      <c r="H2271" s="27" t="str">
        <f>IFERROR(__xludf.DUMMYFUNCTION("""COMPUTED_VALUE"""),"")</f>
        <v/>
      </c>
    </row>
    <row r="2272">
      <c r="A2272" s="17"/>
      <c r="B2272" s="23"/>
      <c r="C2272" s="17">
        <f>IFERROR(__xludf.DUMMYFUNCTION("""COMPUTED_VALUE"""),43529.5925755092)</f>
        <v>43529.59258</v>
      </c>
      <c r="D2272" s="23">
        <f>IFERROR(__xludf.DUMMYFUNCTION("""COMPUTED_VALUE"""),1.056)</f>
        <v>1.056</v>
      </c>
      <c r="E2272" s="24">
        <f>IFERROR(__xludf.DUMMYFUNCTION("""COMPUTED_VALUE"""),65.0)</f>
        <v>65</v>
      </c>
      <c r="F2272" s="27" t="str">
        <f>IFERROR(__xludf.DUMMYFUNCTION("""COMPUTED_VALUE"""),"BLACK")</f>
        <v>BLACK</v>
      </c>
      <c r="G2272" s="28" t="str">
        <f>IFERROR(__xludf.DUMMYFUNCTION("""COMPUTED_VALUE"""),"First Times a Charm Cider")</f>
        <v>First Times a Charm Cider</v>
      </c>
      <c r="H2272" s="27" t="str">
        <f>IFERROR(__xludf.DUMMYFUNCTION("""COMPUTED_VALUE"""),"")</f>
        <v/>
      </c>
    </row>
    <row r="2273">
      <c r="A2273" s="17"/>
      <c r="B2273" s="23"/>
      <c r="C2273" s="17">
        <f>IFERROR(__xludf.DUMMYFUNCTION("""COMPUTED_VALUE"""),43529.5821564351)</f>
        <v>43529.58216</v>
      </c>
      <c r="D2273" s="23">
        <f>IFERROR(__xludf.DUMMYFUNCTION("""COMPUTED_VALUE"""),1.056)</f>
        <v>1.056</v>
      </c>
      <c r="E2273" s="24">
        <f>IFERROR(__xludf.DUMMYFUNCTION("""COMPUTED_VALUE"""),65.0)</f>
        <v>65</v>
      </c>
      <c r="F2273" s="27" t="str">
        <f>IFERROR(__xludf.DUMMYFUNCTION("""COMPUTED_VALUE"""),"BLACK")</f>
        <v>BLACK</v>
      </c>
      <c r="G2273" s="28" t="str">
        <f>IFERROR(__xludf.DUMMYFUNCTION("""COMPUTED_VALUE"""),"First Times a Charm Cider")</f>
        <v>First Times a Charm Cider</v>
      </c>
      <c r="H2273" s="27" t="str">
        <f>IFERROR(__xludf.DUMMYFUNCTION("""COMPUTED_VALUE"""),"")</f>
        <v/>
      </c>
    </row>
    <row r="2274">
      <c r="A2274" s="17"/>
      <c r="B2274" s="23"/>
      <c r="C2274" s="17">
        <f>IFERROR(__xludf.DUMMYFUNCTION("""COMPUTED_VALUE"""),43529.571725)</f>
        <v>43529.57173</v>
      </c>
      <c r="D2274" s="23">
        <f>IFERROR(__xludf.DUMMYFUNCTION("""COMPUTED_VALUE"""),1.056)</f>
        <v>1.056</v>
      </c>
      <c r="E2274" s="24">
        <f>IFERROR(__xludf.DUMMYFUNCTION("""COMPUTED_VALUE"""),65.0)</f>
        <v>65</v>
      </c>
      <c r="F2274" s="27" t="str">
        <f>IFERROR(__xludf.DUMMYFUNCTION("""COMPUTED_VALUE"""),"BLACK")</f>
        <v>BLACK</v>
      </c>
      <c r="G2274" s="28" t="str">
        <f>IFERROR(__xludf.DUMMYFUNCTION("""COMPUTED_VALUE"""),"First Times a Charm Cider")</f>
        <v>First Times a Charm Cider</v>
      </c>
      <c r="H2274" s="27" t="str">
        <f>IFERROR(__xludf.DUMMYFUNCTION("""COMPUTED_VALUE"""),"")</f>
        <v/>
      </c>
    </row>
    <row r="2275">
      <c r="A2275" s="17"/>
      <c r="B2275" s="23"/>
      <c r="C2275" s="17">
        <f>IFERROR(__xludf.DUMMYFUNCTION("""COMPUTED_VALUE"""),43529.5613032175)</f>
        <v>43529.5613</v>
      </c>
      <c r="D2275" s="23">
        <f>IFERROR(__xludf.DUMMYFUNCTION("""COMPUTED_VALUE"""),1.056)</f>
        <v>1.056</v>
      </c>
      <c r="E2275" s="24">
        <f>IFERROR(__xludf.DUMMYFUNCTION("""COMPUTED_VALUE"""),65.0)</f>
        <v>65</v>
      </c>
      <c r="F2275" s="27" t="str">
        <f>IFERROR(__xludf.DUMMYFUNCTION("""COMPUTED_VALUE"""),"BLACK")</f>
        <v>BLACK</v>
      </c>
      <c r="G2275" s="28" t="str">
        <f>IFERROR(__xludf.DUMMYFUNCTION("""COMPUTED_VALUE"""),"First Times a Charm Cider")</f>
        <v>First Times a Charm Cider</v>
      </c>
      <c r="H2275" s="27" t="str">
        <f>IFERROR(__xludf.DUMMYFUNCTION("""COMPUTED_VALUE"""),"")</f>
        <v/>
      </c>
    </row>
    <row r="2276">
      <c r="A2276" s="17"/>
      <c r="B2276" s="23"/>
      <c r="C2276" s="17">
        <f>IFERROR(__xludf.DUMMYFUNCTION("""COMPUTED_VALUE"""),43529.5508836574)</f>
        <v>43529.55088</v>
      </c>
      <c r="D2276" s="23">
        <f>IFERROR(__xludf.DUMMYFUNCTION("""COMPUTED_VALUE"""),1.056)</f>
        <v>1.056</v>
      </c>
      <c r="E2276" s="24">
        <f>IFERROR(__xludf.DUMMYFUNCTION("""COMPUTED_VALUE"""),65.0)</f>
        <v>65</v>
      </c>
      <c r="F2276" s="27" t="str">
        <f>IFERROR(__xludf.DUMMYFUNCTION("""COMPUTED_VALUE"""),"BLACK")</f>
        <v>BLACK</v>
      </c>
      <c r="G2276" s="28" t="str">
        <f>IFERROR(__xludf.DUMMYFUNCTION("""COMPUTED_VALUE"""),"First Times a Charm Cider")</f>
        <v>First Times a Charm Cider</v>
      </c>
      <c r="H2276" s="27" t="str">
        <f>IFERROR(__xludf.DUMMYFUNCTION("""COMPUTED_VALUE"""),"")</f>
        <v/>
      </c>
    </row>
    <row r="2277">
      <c r="A2277" s="17"/>
      <c r="B2277" s="23"/>
      <c r="C2277" s="17">
        <f>IFERROR(__xludf.DUMMYFUNCTION("""COMPUTED_VALUE"""),43529.5404617939)</f>
        <v>43529.54046</v>
      </c>
      <c r="D2277" s="23">
        <f>IFERROR(__xludf.DUMMYFUNCTION("""COMPUTED_VALUE"""),1.056)</f>
        <v>1.056</v>
      </c>
      <c r="E2277" s="24">
        <f>IFERROR(__xludf.DUMMYFUNCTION("""COMPUTED_VALUE"""),65.0)</f>
        <v>65</v>
      </c>
      <c r="F2277" s="27" t="str">
        <f>IFERROR(__xludf.DUMMYFUNCTION("""COMPUTED_VALUE"""),"BLACK")</f>
        <v>BLACK</v>
      </c>
      <c r="G2277" s="28" t="str">
        <f>IFERROR(__xludf.DUMMYFUNCTION("""COMPUTED_VALUE"""),"First Times a Charm Cider")</f>
        <v>First Times a Charm Cider</v>
      </c>
      <c r="H2277" s="27" t="str">
        <f>IFERROR(__xludf.DUMMYFUNCTION("""COMPUTED_VALUE"""),"")</f>
        <v/>
      </c>
    </row>
    <row r="2278">
      <c r="A2278" s="17"/>
      <c r="B2278" s="23"/>
      <c r="C2278" s="17">
        <f>IFERROR(__xludf.DUMMYFUNCTION("""COMPUTED_VALUE"""),43529.5300386574)</f>
        <v>43529.53004</v>
      </c>
      <c r="D2278" s="23">
        <f>IFERROR(__xludf.DUMMYFUNCTION("""COMPUTED_VALUE"""),1.056)</f>
        <v>1.056</v>
      </c>
      <c r="E2278" s="24">
        <f>IFERROR(__xludf.DUMMYFUNCTION("""COMPUTED_VALUE"""),65.0)</f>
        <v>65</v>
      </c>
      <c r="F2278" s="27" t="str">
        <f>IFERROR(__xludf.DUMMYFUNCTION("""COMPUTED_VALUE"""),"BLACK")</f>
        <v>BLACK</v>
      </c>
      <c r="G2278" s="28" t="str">
        <f>IFERROR(__xludf.DUMMYFUNCTION("""COMPUTED_VALUE"""),"First Times a Charm Cider")</f>
        <v>First Times a Charm Cider</v>
      </c>
      <c r="H2278" s="27" t="str">
        <f>IFERROR(__xludf.DUMMYFUNCTION("""COMPUTED_VALUE"""),"")</f>
        <v/>
      </c>
    </row>
    <row r="2279">
      <c r="A2279" s="17"/>
      <c r="B2279" s="23"/>
      <c r="C2279" s="17">
        <f>IFERROR(__xludf.DUMMYFUNCTION("""COMPUTED_VALUE"""),43529.519616956)</f>
        <v>43529.51962</v>
      </c>
      <c r="D2279" s="23">
        <f>IFERROR(__xludf.DUMMYFUNCTION("""COMPUTED_VALUE"""),1.056)</f>
        <v>1.056</v>
      </c>
      <c r="E2279" s="24">
        <f>IFERROR(__xludf.DUMMYFUNCTION("""COMPUTED_VALUE"""),65.0)</f>
        <v>65</v>
      </c>
      <c r="F2279" s="27" t="str">
        <f>IFERROR(__xludf.DUMMYFUNCTION("""COMPUTED_VALUE"""),"BLACK")</f>
        <v>BLACK</v>
      </c>
      <c r="G2279" s="28" t="str">
        <f>IFERROR(__xludf.DUMMYFUNCTION("""COMPUTED_VALUE"""),"First Times a Charm Cider")</f>
        <v>First Times a Charm Cider</v>
      </c>
      <c r="H2279" s="27" t="str">
        <f>IFERROR(__xludf.DUMMYFUNCTION("""COMPUTED_VALUE"""),"")</f>
        <v/>
      </c>
    </row>
    <row r="2280">
      <c r="A2280" s="17"/>
      <c r="B2280" s="23"/>
      <c r="C2280" s="17">
        <f>IFERROR(__xludf.DUMMYFUNCTION("""COMPUTED_VALUE"""),43529.5091959027)</f>
        <v>43529.5092</v>
      </c>
      <c r="D2280" s="23">
        <f>IFERROR(__xludf.DUMMYFUNCTION("""COMPUTED_VALUE"""),1.056)</f>
        <v>1.056</v>
      </c>
      <c r="E2280" s="24">
        <f>IFERROR(__xludf.DUMMYFUNCTION("""COMPUTED_VALUE"""),65.0)</f>
        <v>65</v>
      </c>
      <c r="F2280" s="27" t="str">
        <f>IFERROR(__xludf.DUMMYFUNCTION("""COMPUTED_VALUE"""),"BLACK")</f>
        <v>BLACK</v>
      </c>
      <c r="G2280" s="28" t="str">
        <f>IFERROR(__xludf.DUMMYFUNCTION("""COMPUTED_VALUE"""),"First Times a Charm Cider")</f>
        <v>First Times a Charm Cider</v>
      </c>
      <c r="H2280" s="27" t="str">
        <f>IFERROR(__xludf.DUMMYFUNCTION("""COMPUTED_VALUE"""),"")</f>
        <v/>
      </c>
    </row>
    <row r="2281">
      <c r="A2281" s="17"/>
      <c r="B2281" s="23"/>
      <c r="C2281" s="17">
        <f>IFERROR(__xludf.DUMMYFUNCTION("""COMPUTED_VALUE"""),43529.4987620601)</f>
        <v>43529.49876</v>
      </c>
      <c r="D2281" s="23">
        <f>IFERROR(__xludf.DUMMYFUNCTION("""COMPUTED_VALUE"""),1.056)</f>
        <v>1.056</v>
      </c>
      <c r="E2281" s="24">
        <f>IFERROR(__xludf.DUMMYFUNCTION("""COMPUTED_VALUE"""),65.0)</f>
        <v>65</v>
      </c>
      <c r="F2281" s="27" t="str">
        <f>IFERROR(__xludf.DUMMYFUNCTION("""COMPUTED_VALUE"""),"BLACK")</f>
        <v>BLACK</v>
      </c>
      <c r="G2281" s="28" t="str">
        <f>IFERROR(__xludf.DUMMYFUNCTION("""COMPUTED_VALUE"""),"First Times a Charm Cider")</f>
        <v>First Times a Charm Cider</v>
      </c>
      <c r="H2281" s="27" t="str">
        <f>IFERROR(__xludf.DUMMYFUNCTION("""COMPUTED_VALUE"""),"")</f>
        <v/>
      </c>
    </row>
    <row r="2282">
      <c r="A2282" s="17"/>
      <c r="B2282" s="23"/>
      <c r="C2282" s="17">
        <f>IFERROR(__xludf.DUMMYFUNCTION("""COMPUTED_VALUE"""),43529.4883401157)</f>
        <v>43529.48834</v>
      </c>
      <c r="D2282" s="23">
        <f>IFERROR(__xludf.DUMMYFUNCTION("""COMPUTED_VALUE"""),1.056)</f>
        <v>1.056</v>
      </c>
      <c r="E2282" s="24">
        <f>IFERROR(__xludf.DUMMYFUNCTION("""COMPUTED_VALUE"""),65.0)</f>
        <v>65</v>
      </c>
      <c r="F2282" s="27" t="str">
        <f>IFERROR(__xludf.DUMMYFUNCTION("""COMPUTED_VALUE"""),"BLACK")</f>
        <v>BLACK</v>
      </c>
      <c r="G2282" s="28" t="str">
        <f>IFERROR(__xludf.DUMMYFUNCTION("""COMPUTED_VALUE"""),"First Times a Charm Cider")</f>
        <v>First Times a Charm Cider</v>
      </c>
      <c r="H2282" s="27" t="str">
        <f>IFERROR(__xludf.DUMMYFUNCTION("""COMPUTED_VALUE"""),"")</f>
        <v/>
      </c>
    </row>
    <row r="2283">
      <c r="A2283" s="17"/>
      <c r="B2283" s="23"/>
      <c r="C2283" s="17">
        <f>IFERROR(__xludf.DUMMYFUNCTION("""COMPUTED_VALUE"""),43529.477919537)</f>
        <v>43529.47792</v>
      </c>
      <c r="D2283" s="23">
        <f>IFERROR(__xludf.DUMMYFUNCTION("""COMPUTED_VALUE"""),1.056)</f>
        <v>1.056</v>
      </c>
      <c r="E2283" s="24">
        <f>IFERROR(__xludf.DUMMYFUNCTION("""COMPUTED_VALUE"""),65.0)</f>
        <v>65</v>
      </c>
      <c r="F2283" s="27" t="str">
        <f>IFERROR(__xludf.DUMMYFUNCTION("""COMPUTED_VALUE"""),"BLACK")</f>
        <v>BLACK</v>
      </c>
      <c r="G2283" s="28" t="str">
        <f>IFERROR(__xludf.DUMMYFUNCTION("""COMPUTED_VALUE"""),"First Times a Charm Cider")</f>
        <v>First Times a Charm Cider</v>
      </c>
      <c r="H2283" s="27" t="str">
        <f>IFERROR(__xludf.DUMMYFUNCTION("""COMPUTED_VALUE"""),"")</f>
        <v/>
      </c>
    </row>
    <row r="2284">
      <c r="A2284" s="17"/>
      <c r="B2284" s="23"/>
      <c r="C2284" s="17">
        <f>IFERROR(__xludf.DUMMYFUNCTION("""COMPUTED_VALUE"""),43529.467496493)</f>
        <v>43529.4675</v>
      </c>
      <c r="D2284" s="23">
        <f>IFERROR(__xludf.DUMMYFUNCTION("""COMPUTED_VALUE"""),1.056)</f>
        <v>1.056</v>
      </c>
      <c r="E2284" s="24">
        <f>IFERROR(__xludf.DUMMYFUNCTION("""COMPUTED_VALUE"""),65.0)</f>
        <v>65</v>
      </c>
      <c r="F2284" s="27" t="str">
        <f>IFERROR(__xludf.DUMMYFUNCTION("""COMPUTED_VALUE"""),"BLACK")</f>
        <v>BLACK</v>
      </c>
      <c r="G2284" s="28" t="str">
        <f>IFERROR(__xludf.DUMMYFUNCTION("""COMPUTED_VALUE"""),"First Times a Charm Cider")</f>
        <v>First Times a Charm Cider</v>
      </c>
      <c r="H2284" s="27" t="str">
        <f>IFERROR(__xludf.DUMMYFUNCTION("""COMPUTED_VALUE"""),"")</f>
        <v/>
      </c>
    </row>
    <row r="2285">
      <c r="A2285" s="17"/>
      <c r="B2285" s="23"/>
      <c r="C2285" s="17">
        <f>IFERROR(__xludf.DUMMYFUNCTION("""COMPUTED_VALUE"""),43529.4362313773)</f>
        <v>43529.43623</v>
      </c>
      <c r="D2285" s="23">
        <f>IFERROR(__xludf.DUMMYFUNCTION("""COMPUTED_VALUE"""),1.056)</f>
        <v>1.056</v>
      </c>
      <c r="E2285" s="24">
        <f>IFERROR(__xludf.DUMMYFUNCTION("""COMPUTED_VALUE"""),65.0)</f>
        <v>65</v>
      </c>
      <c r="F2285" s="27" t="str">
        <f>IFERROR(__xludf.DUMMYFUNCTION("""COMPUTED_VALUE"""),"BLACK")</f>
        <v>BLACK</v>
      </c>
      <c r="G2285" s="28" t="str">
        <f>IFERROR(__xludf.DUMMYFUNCTION("""COMPUTED_VALUE"""),"First Times a Charm Cider")</f>
        <v>First Times a Charm Cider</v>
      </c>
      <c r="H2285" s="27" t="str">
        <f>IFERROR(__xludf.DUMMYFUNCTION("""COMPUTED_VALUE"""),"")</f>
        <v/>
      </c>
    </row>
    <row r="2286">
      <c r="A2286" s="17"/>
      <c r="B2286" s="23"/>
      <c r="C2286" s="17">
        <f>IFERROR(__xludf.DUMMYFUNCTION("""COMPUTED_VALUE"""),43529.4258096643)</f>
        <v>43529.42581</v>
      </c>
      <c r="D2286" s="23">
        <f>IFERROR(__xludf.DUMMYFUNCTION("""COMPUTED_VALUE"""),1.056)</f>
        <v>1.056</v>
      </c>
      <c r="E2286" s="24">
        <f>IFERROR(__xludf.DUMMYFUNCTION("""COMPUTED_VALUE"""),65.0)</f>
        <v>65</v>
      </c>
      <c r="F2286" s="27" t="str">
        <f>IFERROR(__xludf.DUMMYFUNCTION("""COMPUTED_VALUE"""),"BLACK")</f>
        <v>BLACK</v>
      </c>
      <c r="G2286" s="28" t="str">
        <f>IFERROR(__xludf.DUMMYFUNCTION("""COMPUTED_VALUE"""),"First Times a Charm Cider")</f>
        <v>First Times a Charm Cider</v>
      </c>
      <c r="H2286" s="27" t="str">
        <f>IFERROR(__xludf.DUMMYFUNCTION("""COMPUTED_VALUE"""),"")</f>
        <v/>
      </c>
    </row>
    <row r="2287">
      <c r="A2287" s="17"/>
      <c r="B2287" s="23"/>
      <c r="C2287" s="17">
        <f>IFERROR(__xludf.DUMMYFUNCTION("""COMPUTED_VALUE"""),43529.4153901157)</f>
        <v>43529.41539</v>
      </c>
      <c r="D2287" s="23">
        <f>IFERROR(__xludf.DUMMYFUNCTION("""COMPUTED_VALUE"""),1.056)</f>
        <v>1.056</v>
      </c>
      <c r="E2287" s="24">
        <f>IFERROR(__xludf.DUMMYFUNCTION("""COMPUTED_VALUE"""),65.0)</f>
        <v>65</v>
      </c>
      <c r="F2287" s="27" t="str">
        <f>IFERROR(__xludf.DUMMYFUNCTION("""COMPUTED_VALUE"""),"BLACK")</f>
        <v>BLACK</v>
      </c>
      <c r="G2287" s="28" t="str">
        <f>IFERROR(__xludf.DUMMYFUNCTION("""COMPUTED_VALUE"""),"First Times a Charm Cider")</f>
        <v>First Times a Charm Cider</v>
      </c>
      <c r="H2287" s="27" t="str">
        <f>IFERROR(__xludf.DUMMYFUNCTION("""COMPUTED_VALUE"""),"")</f>
        <v/>
      </c>
    </row>
    <row r="2288">
      <c r="A2288" s="17"/>
      <c r="B2288" s="23"/>
      <c r="C2288" s="17">
        <f>IFERROR(__xludf.DUMMYFUNCTION("""COMPUTED_VALUE"""),43529.4049685532)</f>
        <v>43529.40497</v>
      </c>
      <c r="D2288" s="23">
        <f>IFERROR(__xludf.DUMMYFUNCTION("""COMPUTED_VALUE"""),1.056)</f>
        <v>1.056</v>
      </c>
      <c r="E2288" s="24">
        <f>IFERROR(__xludf.DUMMYFUNCTION("""COMPUTED_VALUE"""),65.0)</f>
        <v>65</v>
      </c>
      <c r="F2288" s="27" t="str">
        <f>IFERROR(__xludf.DUMMYFUNCTION("""COMPUTED_VALUE"""),"BLACK")</f>
        <v>BLACK</v>
      </c>
      <c r="G2288" s="28" t="str">
        <f>IFERROR(__xludf.DUMMYFUNCTION("""COMPUTED_VALUE"""),"First Times a Charm Cider")</f>
        <v>First Times a Charm Cider</v>
      </c>
      <c r="H2288" s="27" t="str">
        <f>IFERROR(__xludf.DUMMYFUNCTION("""COMPUTED_VALUE"""),"")</f>
        <v/>
      </c>
    </row>
    <row r="2289">
      <c r="A2289" s="17"/>
      <c r="B2289" s="23"/>
      <c r="C2289" s="17">
        <f>IFERROR(__xludf.DUMMYFUNCTION("""COMPUTED_VALUE"""),43529.3737031018)</f>
        <v>43529.3737</v>
      </c>
      <c r="D2289" s="23">
        <f>IFERROR(__xludf.DUMMYFUNCTION("""COMPUTED_VALUE"""),1.056)</f>
        <v>1.056</v>
      </c>
      <c r="E2289" s="24">
        <f>IFERROR(__xludf.DUMMYFUNCTION("""COMPUTED_VALUE"""),66.0)</f>
        <v>66</v>
      </c>
      <c r="F2289" s="27" t="str">
        <f>IFERROR(__xludf.DUMMYFUNCTION("""COMPUTED_VALUE"""),"BLACK")</f>
        <v>BLACK</v>
      </c>
      <c r="G2289" s="28" t="str">
        <f>IFERROR(__xludf.DUMMYFUNCTION("""COMPUTED_VALUE"""),"First Times a Charm Cider")</f>
        <v>First Times a Charm Cider</v>
      </c>
      <c r="H2289" s="27" t="str">
        <f>IFERROR(__xludf.DUMMYFUNCTION("""COMPUTED_VALUE"""),"")</f>
        <v/>
      </c>
    </row>
    <row r="2290">
      <c r="A2290" s="17"/>
      <c r="B2290" s="23"/>
      <c r="C2290" s="17">
        <f>IFERROR(__xludf.DUMMYFUNCTION("""COMPUTED_VALUE"""),43529.3632813657)</f>
        <v>43529.36328</v>
      </c>
      <c r="D2290" s="23">
        <f>IFERROR(__xludf.DUMMYFUNCTION("""COMPUTED_VALUE"""),1.056)</f>
        <v>1.056</v>
      </c>
      <c r="E2290" s="24">
        <f>IFERROR(__xludf.DUMMYFUNCTION("""COMPUTED_VALUE"""),66.0)</f>
        <v>66</v>
      </c>
      <c r="F2290" s="27" t="str">
        <f>IFERROR(__xludf.DUMMYFUNCTION("""COMPUTED_VALUE"""),"BLACK")</f>
        <v>BLACK</v>
      </c>
      <c r="G2290" s="28" t="str">
        <f>IFERROR(__xludf.DUMMYFUNCTION("""COMPUTED_VALUE"""),"First Times a Charm Cider")</f>
        <v>First Times a Charm Cider</v>
      </c>
      <c r="H2290" s="27" t="str">
        <f>IFERROR(__xludf.DUMMYFUNCTION("""COMPUTED_VALUE"""),"")</f>
        <v/>
      </c>
    </row>
    <row r="2291">
      <c r="A2291" s="17"/>
      <c r="B2291" s="23"/>
      <c r="C2291" s="17">
        <f>IFERROR(__xludf.DUMMYFUNCTION("""COMPUTED_VALUE"""),43529.3528603472)</f>
        <v>43529.35286</v>
      </c>
      <c r="D2291" s="23">
        <f>IFERROR(__xludf.DUMMYFUNCTION("""COMPUTED_VALUE"""),1.056)</f>
        <v>1.056</v>
      </c>
      <c r="E2291" s="24">
        <f>IFERROR(__xludf.DUMMYFUNCTION("""COMPUTED_VALUE"""),66.0)</f>
        <v>66</v>
      </c>
      <c r="F2291" s="27" t="str">
        <f>IFERROR(__xludf.DUMMYFUNCTION("""COMPUTED_VALUE"""),"BLACK")</f>
        <v>BLACK</v>
      </c>
      <c r="G2291" s="28" t="str">
        <f>IFERROR(__xludf.DUMMYFUNCTION("""COMPUTED_VALUE"""),"First Times a Charm Cider")</f>
        <v>First Times a Charm Cider</v>
      </c>
      <c r="H2291" s="27" t="str">
        <f>IFERROR(__xludf.DUMMYFUNCTION("""COMPUTED_VALUE"""),"")</f>
        <v/>
      </c>
    </row>
    <row r="2292">
      <c r="A2292" s="17"/>
      <c r="B2292" s="23"/>
      <c r="C2292" s="17">
        <f>IFERROR(__xludf.DUMMYFUNCTION("""COMPUTED_VALUE"""),43529.3424268981)</f>
        <v>43529.34243</v>
      </c>
      <c r="D2292" s="23">
        <f>IFERROR(__xludf.DUMMYFUNCTION("""COMPUTED_VALUE"""),1.056)</f>
        <v>1.056</v>
      </c>
      <c r="E2292" s="24">
        <f>IFERROR(__xludf.DUMMYFUNCTION("""COMPUTED_VALUE"""),66.0)</f>
        <v>66</v>
      </c>
      <c r="F2292" s="27" t="str">
        <f>IFERROR(__xludf.DUMMYFUNCTION("""COMPUTED_VALUE"""),"BLACK")</f>
        <v>BLACK</v>
      </c>
      <c r="G2292" s="28" t="str">
        <f>IFERROR(__xludf.DUMMYFUNCTION("""COMPUTED_VALUE"""),"First Times a Charm Cider")</f>
        <v>First Times a Charm Cider</v>
      </c>
      <c r="H2292" s="27" t="str">
        <f>IFERROR(__xludf.DUMMYFUNCTION("""COMPUTED_VALUE"""),"")</f>
        <v/>
      </c>
    </row>
    <row r="2293">
      <c r="A2293" s="17"/>
      <c r="B2293" s="23"/>
      <c r="C2293" s="17">
        <f>IFERROR(__xludf.DUMMYFUNCTION("""COMPUTED_VALUE"""),43529.3320056597)</f>
        <v>43529.33201</v>
      </c>
      <c r="D2293" s="23">
        <f>IFERROR(__xludf.DUMMYFUNCTION("""COMPUTED_VALUE"""),1.056)</f>
        <v>1.056</v>
      </c>
      <c r="E2293" s="24">
        <f>IFERROR(__xludf.DUMMYFUNCTION("""COMPUTED_VALUE"""),66.0)</f>
        <v>66</v>
      </c>
      <c r="F2293" s="27" t="str">
        <f>IFERROR(__xludf.DUMMYFUNCTION("""COMPUTED_VALUE"""),"BLACK")</f>
        <v>BLACK</v>
      </c>
      <c r="G2293" s="28" t="str">
        <f>IFERROR(__xludf.DUMMYFUNCTION("""COMPUTED_VALUE"""),"First Times a Charm Cider")</f>
        <v>First Times a Charm Cider</v>
      </c>
      <c r="H2293" s="27" t="str">
        <f>IFERROR(__xludf.DUMMYFUNCTION("""COMPUTED_VALUE"""),"")</f>
        <v/>
      </c>
    </row>
    <row r="2294">
      <c r="A2294" s="17"/>
      <c r="B2294" s="23"/>
      <c r="C2294" s="17">
        <f>IFERROR(__xludf.DUMMYFUNCTION("""COMPUTED_VALUE"""),43529.2903117939)</f>
        <v>43529.29031</v>
      </c>
      <c r="D2294" s="23">
        <f>IFERROR(__xludf.DUMMYFUNCTION("""COMPUTED_VALUE"""),1.056)</f>
        <v>1.056</v>
      </c>
      <c r="E2294" s="24">
        <f>IFERROR(__xludf.DUMMYFUNCTION("""COMPUTED_VALUE"""),66.0)</f>
        <v>66</v>
      </c>
      <c r="F2294" s="27" t="str">
        <f>IFERROR(__xludf.DUMMYFUNCTION("""COMPUTED_VALUE"""),"BLACK")</f>
        <v>BLACK</v>
      </c>
      <c r="G2294" s="28" t="str">
        <f>IFERROR(__xludf.DUMMYFUNCTION("""COMPUTED_VALUE"""),"First Times a Charm Cider")</f>
        <v>First Times a Charm Cider</v>
      </c>
      <c r="H2294" s="27" t="str">
        <f>IFERROR(__xludf.DUMMYFUNCTION("""COMPUTED_VALUE"""),"")</f>
        <v/>
      </c>
    </row>
    <row r="2295">
      <c r="A2295" s="17"/>
      <c r="B2295" s="23"/>
      <c r="C2295" s="17">
        <f>IFERROR(__xludf.DUMMYFUNCTION("""COMPUTED_VALUE"""),43529.2590483101)</f>
        <v>43529.25905</v>
      </c>
      <c r="D2295" s="23">
        <f>IFERROR(__xludf.DUMMYFUNCTION("""COMPUTED_VALUE"""),1.057)</f>
        <v>1.057</v>
      </c>
      <c r="E2295" s="24">
        <f>IFERROR(__xludf.DUMMYFUNCTION("""COMPUTED_VALUE"""),66.0)</f>
        <v>66</v>
      </c>
      <c r="F2295" s="27" t="str">
        <f>IFERROR(__xludf.DUMMYFUNCTION("""COMPUTED_VALUE"""),"BLACK")</f>
        <v>BLACK</v>
      </c>
      <c r="G2295" s="28" t="str">
        <f>IFERROR(__xludf.DUMMYFUNCTION("""COMPUTED_VALUE"""),"First Times a Charm Cider")</f>
        <v>First Times a Charm Cider</v>
      </c>
      <c r="H2295" s="27" t="str">
        <f>IFERROR(__xludf.DUMMYFUNCTION("""COMPUTED_VALUE"""),"")</f>
        <v/>
      </c>
    </row>
    <row r="2296">
      <c r="A2296" s="17"/>
      <c r="B2296" s="23"/>
      <c r="C2296" s="17">
        <f>IFERROR(__xludf.DUMMYFUNCTION("""COMPUTED_VALUE"""),43529.2486284027)</f>
        <v>43529.24863</v>
      </c>
      <c r="D2296" s="23">
        <f>IFERROR(__xludf.DUMMYFUNCTION("""COMPUTED_VALUE"""),1.057)</f>
        <v>1.057</v>
      </c>
      <c r="E2296" s="24">
        <f>IFERROR(__xludf.DUMMYFUNCTION("""COMPUTED_VALUE"""),66.0)</f>
        <v>66</v>
      </c>
      <c r="F2296" s="27" t="str">
        <f>IFERROR(__xludf.DUMMYFUNCTION("""COMPUTED_VALUE"""),"BLACK")</f>
        <v>BLACK</v>
      </c>
      <c r="G2296" s="28" t="str">
        <f>IFERROR(__xludf.DUMMYFUNCTION("""COMPUTED_VALUE"""),"First Times a Charm Cider")</f>
        <v>First Times a Charm Cider</v>
      </c>
      <c r="H2296" s="27" t="str">
        <f>IFERROR(__xludf.DUMMYFUNCTION("""COMPUTED_VALUE"""),"")</f>
        <v/>
      </c>
    </row>
    <row r="2297">
      <c r="A2297" s="17"/>
      <c r="B2297" s="23"/>
      <c r="C2297" s="17">
        <f>IFERROR(__xludf.DUMMYFUNCTION("""COMPUTED_VALUE"""),43529.2382069213)</f>
        <v>43529.23821</v>
      </c>
      <c r="D2297" s="23">
        <f>IFERROR(__xludf.DUMMYFUNCTION("""COMPUTED_VALUE"""),1.057)</f>
        <v>1.057</v>
      </c>
      <c r="E2297" s="24">
        <f>IFERROR(__xludf.DUMMYFUNCTION("""COMPUTED_VALUE"""),66.0)</f>
        <v>66</v>
      </c>
      <c r="F2297" s="27" t="str">
        <f>IFERROR(__xludf.DUMMYFUNCTION("""COMPUTED_VALUE"""),"BLACK")</f>
        <v>BLACK</v>
      </c>
      <c r="G2297" s="28" t="str">
        <f>IFERROR(__xludf.DUMMYFUNCTION("""COMPUTED_VALUE"""),"First Times a Charm Cider")</f>
        <v>First Times a Charm Cider</v>
      </c>
      <c r="H2297" s="27" t="str">
        <f>IFERROR(__xludf.DUMMYFUNCTION("""COMPUTED_VALUE"""),"")</f>
        <v/>
      </c>
    </row>
    <row r="2298">
      <c r="A2298" s="17"/>
      <c r="B2298" s="23"/>
      <c r="C2298" s="17">
        <f>IFERROR(__xludf.DUMMYFUNCTION("""COMPUTED_VALUE"""),43529.2277749537)</f>
        <v>43529.22777</v>
      </c>
      <c r="D2298" s="23">
        <f>IFERROR(__xludf.DUMMYFUNCTION("""COMPUTED_VALUE"""),1.057)</f>
        <v>1.057</v>
      </c>
      <c r="E2298" s="24">
        <f>IFERROR(__xludf.DUMMYFUNCTION("""COMPUTED_VALUE"""),66.0)</f>
        <v>66</v>
      </c>
      <c r="F2298" s="27" t="str">
        <f>IFERROR(__xludf.DUMMYFUNCTION("""COMPUTED_VALUE"""),"BLACK")</f>
        <v>BLACK</v>
      </c>
      <c r="G2298" s="28" t="str">
        <f>IFERROR(__xludf.DUMMYFUNCTION("""COMPUTED_VALUE"""),"First Times a Charm Cider")</f>
        <v>First Times a Charm Cider</v>
      </c>
      <c r="H2298" s="27" t="str">
        <f>IFERROR(__xludf.DUMMYFUNCTION("""COMPUTED_VALUE"""),"")</f>
        <v/>
      </c>
    </row>
    <row r="2299">
      <c r="A2299" s="17"/>
      <c r="B2299" s="23"/>
      <c r="C2299" s="17">
        <f>IFERROR(__xludf.DUMMYFUNCTION("""COMPUTED_VALUE"""),43529.2173434259)</f>
        <v>43529.21734</v>
      </c>
      <c r="D2299" s="23">
        <f>IFERROR(__xludf.DUMMYFUNCTION("""COMPUTED_VALUE"""),1.057)</f>
        <v>1.057</v>
      </c>
      <c r="E2299" s="24">
        <f>IFERROR(__xludf.DUMMYFUNCTION("""COMPUTED_VALUE"""),66.0)</f>
        <v>66</v>
      </c>
      <c r="F2299" s="27" t="str">
        <f>IFERROR(__xludf.DUMMYFUNCTION("""COMPUTED_VALUE"""),"BLACK")</f>
        <v>BLACK</v>
      </c>
      <c r="G2299" s="28" t="str">
        <f>IFERROR(__xludf.DUMMYFUNCTION("""COMPUTED_VALUE"""),"First Times a Charm Cider")</f>
        <v>First Times a Charm Cider</v>
      </c>
      <c r="H2299" s="27" t="str">
        <f>IFERROR(__xludf.DUMMYFUNCTION("""COMPUTED_VALUE"""),"")</f>
        <v/>
      </c>
    </row>
    <row r="2300">
      <c r="A2300" s="17"/>
      <c r="B2300" s="23"/>
      <c r="C2300" s="17">
        <f>IFERROR(__xludf.DUMMYFUNCTION("""COMPUTED_VALUE"""),43529.2069218171)</f>
        <v>43529.20692</v>
      </c>
      <c r="D2300" s="23">
        <f>IFERROR(__xludf.DUMMYFUNCTION("""COMPUTED_VALUE"""),1.057)</f>
        <v>1.057</v>
      </c>
      <c r="E2300" s="24">
        <f>IFERROR(__xludf.DUMMYFUNCTION("""COMPUTED_VALUE"""),66.0)</f>
        <v>66</v>
      </c>
      <c r="F2300" s="27" t="str">
        <f>IFERROR(__xludf.DUMMYFUNCTION("""COMPUTED_VALUE"""),"BLACK")</f>
        <v>BLACK</v>
      </c>
      <c r="G2300" s="28" t="str">
        <f>IFERROR(__xludf.DUMMYFUNCTION("""COMPUTED_VALUE"""),"First Times a Charm Cider")</f>
        <v>First Times a Charm Cider</v>
      </c>
      <c r="H2300" s="27" t="str">
        <f>IFERROR(__xludf.DUMMYFUNCTION("""COMPUTED_VALUE"""),"")</f>
        <v/>
      </c>
    </row>
    <row r="2301">
      <c r="A2301" s="17"/>
      <c r="B2301" s="23"/>
      <c r="C2301" s="17">
        <f>IFERROR(__xludf.DUMMYFUNCTION("""COMPUTED_VALUE"""),43529.1965023495)</f>
        <v>43529.1965</v>
      </c>
      <c r="D2301" s="23">
        <f>IFERROR(__xludf.DUMMYFUNCTION("""COMPUTED_VALUE"""),1.057)</f>
        <v>1.057</v>
      </c>
      <c r="E2301" s="24">
        <f>IFERROR(__xludf.DUMMYFUNCTION("""COMPUTED_VALUE"""),66.0)</f>
        <v>66</v>
      </c>
      <c r="F2301" s="27" t="str">
        <f>IFERROR(__xludf.DUMMYFUNCTION("""COMPUTED_VALUE"""),"BLACK")</f>
        <v>BLACK</v>
      </c>
      <c r="G2301" s="28" t="str">
        <f>IFERROR(__xludf.DUMMYFUNCTION("""COMPUTED_VALUE"""),"First Times a Charm Cider")</f>
        <v>First Times a Charm Cider</v>
      </c>
      <c r="H2301" s="27" t="str">
        <f>IFERROR(__xludf.DUMMYFUNCTION("""COMPUTED_VALUE"""),"")</f>
        <v/>
      </c>
    </row>
    <row r="2302">
      <c r="A2302" s="17"/>
      <c r="B2302" s="23"/>
      <c r="C2302" s="17">
        <f>IFERROR(__xludf.DUMMYFUNCTION("""COMPUTED_VALUE"""),43529.1860702893)</f>
        <v>43529.18607</v>
      </c>
      <c r="D2302" s="23">
        <f>IFERROR(__xludf.DUMMYFUNCTION("""COMPUTED_VALUE"""),1.057)</f>
        <v>1.057</v>
      </c>
      <c r="E2302" s="24">
        <f>IFERROR(__xludf.DUMMYFUNCTION("""COMPUTED_VALUE"""),66.0)</f>
        <v>66</v>
      </c>
      <c r="F2302" s="27" t="str">
        <f>IFERROR(__xludf.DUMMYFUNCTION("""COMPUTED_VALUE"""),"BLACK")</f>
        <v>BLACK</v>
      </c>
      <c r="G2302" s="28" t="str">
        <f>IFERROR(__xludf.DUMMYFUNCTION("""COMPUTED_VALUE"""),"First Times a Charm Cider")</f>
        <v>First Times a Charm Cider</v>
      </c>
      <c r="H2302" s="27" t="str">
        <f>IFERROR(__xludf.DUMMYFUNCTION("""COMPUTED_VALUE"""),"")</f>
        <v/>
      </c>
    </row>
    <row r="2303">
      <c r="A2303" s="17"/>
      <c r="B2303" s="23"/>
      <c r="C2303" s="17">
        <f>IFERROR(__xludf.DUMMYFUNCTION("""COMPUTED_VALUE"""),43529.1756497337)</f>
        <v>43529.17565</v>
      </c>
      <c r="D2303" s="23">
        <f>IFERROR(__xludf.DUMMYFUNCTION("""COMPUTED_VALUE"""),1.057)</f>
        <v>1.057</v>
      </c>
      <c r="E2303" s="24">
        <f>IFERROR(__xludf.DUMMYFUNCTION("""COMPUTED_VALUE"""),66.0)</f>
        <v>66</v>
      </c>
      <c r="F2303" s="27" t="str">
        <f>IFERROR(__xludf.DUMMYFUNCTION("""COMPUTED_VALUE"""),"BLACK")</f>
        <v>BLACK</v>
      </c>
      <c r="G2303" s="28" t="str">
        <f>IFERROR(__xludf.DUMMYFUNCTION("""COMPUTED_VALUE"""),"First Times a Charm Cider")</f>
        <v>First Times a Charm Cider</v>
      </c>
      <c r="H2303" s="27" t="str">
        <f>IFERROR(__xludf.DUMMYFUNCTION("""COMPUTED_VALUE"""),"")</f>
        <v/>
      </c>
    </row>
    <row r="2304">
      <c r="A2304" s="17"/>
      <c r="B2304" s="23"/>
      <c r="C2304" s="17">
        <f>IFERROR(__xludf.DUMMYFUNCTION("""COMPUTED_VALUE"""),43529.1652180324)</f>
        <v>43529.16522</v>
      </c>
      <c r="D2304" s="23">
        <f>IFERROR(__xludf.DUMMYFUNCTION("""COMPUTED_VALUE"""),1.057)</f>
        <v>1.057</v>
      </c>
      <c r="E2304" s="24">
        <f>IFERROR(__xludf.DUMMYFUNCTION("""COMPUTED_VALUE"""),66.0)</f>
        <v>66</v>
      </c>
      <c r="F2304" s="27" t="str">
        <f>IFERROR(__xludf.DUMMYFUNCTION("""COMPUTED_VALUE"""),"BLACK")</f>
        <v>BLACK</v>
      </c>
      <c r="G2304" s="28" t="str">
        <f>IFERROR(__xludf.DUMMYFUNCTION("""COMPUTED_VALUE"""),"First Times a Charm Cider")</f>
        <v>First Times a Charm Cider</v>
      </c>
      <c r="H2304" s="27" t="str">
        <f>IFERROR(__xludf.DUMMYFUNCTION("""COMPUTED_VALUE"""),"")</f>
        <v/>
      </c>
    </row>
    <row r="2305">
      <c r="A2305" s="17"/>
      <c r="B2305" s="23"/>
      <c r="C2305" s="17">
        <f>IFERROR(__xludf.DUMMYFUNCTION("""COMPUTED_VALUE"""),43529.1547968518)</f>
        <v>43529.1548</v>
      </c>
      <c r="D2305" s="23">
        <f>IFERROR(__xludf.DUMMYFUNCTION("""COMPUTED_VALUE"""),1.057)</f>
        <v>1.057</v>
      </c>
      <c r="E2305" s="24">
        <f>IFERROR(__xludf.DUMMYFUNCTION("""COMPUTED_VALUE"""),66.0)</f>
        <v>66</v>
      </c>
      <c r="F2305" s="27" t="str">
        <f>IFERROR(__xludf.DUMMYFUNCTION("""COMPUTED_VALUE"""),"BLACK")</f>
        <v>BLACK</v>
      </c>
      <c r="G2305" s="28" t="str">
        <f>IFERROR(__xludf.DUMMYFUNCTION("""COMPUTED_VALUE"""),"First Times a Charm Cider")</f>
        <v>First Times a Charm Cider</v>
      </c>
      <c r="H2305" s="27" t="str">
        <f>IFERROR(__xludf.DUMMYFUNCTION("""COMPUTED_VALUE"""),"")</f>
        <v/>
      </c>
    </row>
    <row r="2306">
      <c r="A2306" s="17"/>
      <c r="B2306" s="23"/>
      <c r="C2306" s="17">
        <f>IFERROR(__xludf.DUMMYFUNCTION("""COMPUTED_VALUE"""),43529.1443631365)</f>
        <v>43529.14436</v>
      </c>
      <c r="D2306" s="23">
        <f>IFERROR(__xludf.DUMMYFUNCTION("""COMPUTED_VALUE"""),1.057)</f>
        <v>1.057</v>
      </c>
      <c r="E2306" s="24">
        <f>IFERROR(__xludf.DUMMYFUNCTION("""COMPUTED_VALUE"""),66.0)</f>
        <v>66</v>
      </c>
      <c r="F2306" s="27" t="str">
        <f>IFERROR(__xludf.DUMMYFUNCTION("""COMPUTED_VALUE"""),"BLACK")</f>
        <v>BLACK</v>
      </c>
      <c r="G2306" s="28" t="str">
        <f>IFERROR(__xludf.DUMMYFUNCTION("""COMPUTED_VALUE"""),"First Times a Charm Cider")</f>
        <v>First Times a Charm Cider</v>
      </c>
      <c r="H2306" s="27" t="str">
        <f>IFERROR(__xludf.DUMMYFUNCTION("""COMPUTED_VALUE"""),"")</f>
        <v/>
      </c>
    </row>
    <row r="2307">
      <c r="A2307" s="17"/>
      <c r="B2307" s="23"/>
      <c r="C2307" s="17">
        <f>IFERROR(__xludf.DUMMYFUNCTION("""COMPUTED_VALUE"""),43529.1339184606)</f>
        <v>43529.13392</v>
      </c>
      <c r="D2307" s="23">
        <f>IFERROR(__xludf.DUMMYFUNCTION("""COMPUTED_VALUE"""),1.057)</f>
        <v>1.057</v>
      </c>
      <c r="E2307" s="24">
        <f>IFERROR(__xludf.DUMMYFUNCTION("""COMPUTED_VALUE"""),66.0)</f>
        <v>66</v>
      </c>
      <c r="F2307" s="27" t="str">
        <f>IFERROR(__xludf.DUMMYFUNCTION("""COMPUTED_VALUE"""),"BLACK")</f>
        <v>BLACK</v>
      </c>
      <c r="G2307" s="28" t="str">
        <f>IFERROR(__xludf.DUMMYFUNCTION("""COMPUTED_VALUE"""),"First Times a Charm Cider")</f>
        <v>First Times a Charm Cider</v>
      </c>
      <c r="H2307" s="27" t="str">
        <f>IFERROR(__xludf.DUMMYFUNCTION("""COMPUTED_VALUE"""),"")</f>
        <v/>
      </c>
    </row>
    <row r="2308">
      <c r="A2308" s="17"/>
      <c r="B2308" s="23"/>
      <c r="C2308" s="17">
        <f>IFERROR(__xludf.DUMMYFUNCTION("""COMPUTED_VALUE"""),43529.1130759259)</f>
        <v>43529.11308</v>
      </c>
      <c r="D2308" s="23">
        <f>IFERROR(__xludf.DUMMYFUNCTION("""COMPUTED_VALUE"""),1.057)</f>
        <v>1.057</v>
      </c>
      <c r="E2308" s="24">
        <f>IFERROR(__xludf.DUMMYFUNCTION("""COMPUTED_VALUE"""),66.0)</f>
        <v>66</v>
      </c>
      <c r="F2308" s="27" t="str">
        <f>IFERROR(__xludf.DUMMYFUNCTION("""COMPUTED_VALUE"""),"BLACK")</f>
        <v>BLACK</v>
      </c>
      <c r="G2308" s="28" t="str">
        <f>IFERROR(__xludf.DUMMYFUNCTION("""COMPUTED_VALUE"""),"First Times a Charm Cider")</f>
        <v>First Times a Charm Cider</v>
      </c>
      <c r="H2308" s="27" t="str">
        <f>IFERROR(__xludf.DUMMYFUNCTION("""COMPUTED_VALUE"""),"")</f>
        <v/>
      </c>
    </row>
    <row r="2309">
      <c r="A2309" s="17"/>
      <c r="B2309" s="23"/>
      <c r="C2309" s="17">
        <f>IFERROR(__xludf.DUMMYFUNCTION("""COMPUTED_VALUE"""),43529.1026552083)</f>
        <v>43529.10266</v>
      </c>
      <c r="D2309" s="23">
        <f>IFERROR(__xludf.DUMMYFUNCTION("""COMPUTED_VALUE"""),1.057)</f>
        <v>1.057</v>
      </c>
      <c r="E2309" s="24">
        <f>IFERROR(__xludf.DUMMYFUNCTION("""COMPUTED_VALUE"""),66.0)</f>
        <v>66</v>
      </c>
      <c r="F2309" s="27" t="str">
        <f>IFERROR(__xludf.DUMMYFUNCTION("""COMPUTED_VALUE"""),"BLACK")</f>
        <v>BLACK</v>
      </c>
      <c r="G2309" s="28" t="str">
        <f>IFERROR(__xludf.DUMMYFUNCTION("""COMPUTED_VALUE"""),"First Times a Charm Cider")</f>
        <v>First Times a Charm Cider</v>
      </c>
      <c r="H2309" s="27" t="str">
        <f>IFERROR(__xludf.DUMMYFUNCTION("""COMPUTED_VALUE"""),"")</f>
        <v/>
      </c>
    </row>
    <row r="2310">
      <c r="A2310" s="17"/>
      <c r="B2310" s="23"/>
      <c r="C2310" s="17">
        <f>IFERROR(__xludf.DUMMYFUNCTION("""COMPUTED_VALUE"""),43529.0922343865)</f>
        <v>43529.09223</v>
      </c>
      <c r="D2310" s="23">
        <f>IFERROR(__xludf.DUMMYFUNCTION("""COMPUTED_VALUE"""),1.057)</f>
        <v>1.057</v>
      </c>
      <c r="E2310" s="24">
        <f>IFERROR(__xludf.DUMMYFUNCTION("""COMPUTED_VALUE"""),66.0)</f>
        <v>66</v>
      </c>
      <c r="F2310" s="27" t="str">
        <f>IFERROR(__xludf.DUMMYFUNCTION("""COMPUTED_VALUE"""),"BLACK")</f>
        <v>BLACK</v>
      </c>
      <c r="G2310" s="28" t="str">
        <f>IFERROR(__xludf.DUMMYFUNCTION("""COMPUTED_VALUE"""),"First Times a Charm Cider")</f>
        <v>First Times a Charm Cider</v>
      </c>
      <c r="H2310" s="27" t="str">
        <f>IFERROR(__xludf.DUMMYFUNCTION("""COMPUTED_VALUE"""),"")</f>
        <v/>
      </c>
    </row>
    <row r="2311">
      <c r="A2311" s="17"/>
      <c r="B2311" s="23"/>
      <c r="C2311" s="17">
        <f>IFERROR(__xludf.DUMMYFUNCTION("""COMPUTED_VALUE"""),43529.0817998148)</f>
        <v>43529.0818</v>
      </c>
      <c r="D2311" s="23">
        <f>IFERROR(__xludf.DUMMYFUNCTION("""COMPUTED_VALUE"""),1.057)</f>
        <v>1.057</v>
      </c>
      <c r="E2311" s="24">
        <f>IFERROR(__xludf.DUMMYFUNCTION("""COMPUTED_VALUE"""),66.0)</f>
        <v>66</v>
      </c>
      <c r="F2311" s="27" t="str">
        <f>IFERROR(__xludf.DUMMYFUNCTION("""COMPUTED_VALUE"""),"BLACK")</f>
        <v>BLACK</v>
      </c>
      <c r="G2311" s="28" t="str">
        <f>IFERROR(__xludf.DUMMYFUNCTION("""COMPUTED_VALUE"""),"First Times a Charm Cider")</f>
        <v>First Times a Charm Cider</v>
      </c>
      <c r="H2311" s="27" t="str">
        <f>IFERROR(__xludf.DUMMYFUNCTION("""COMPUTED_VALUE"""),"")</f>
        <v/>
      </c>
    </row>
    <row r="2312">
      <c r="A2312" s="17"/>
      <c r="B2312" s="23"/>
      <c r="C2312" s="17">
        <f>IFERROR(__xludf.DUMMYFUNCTION("""COMPUTED_VALUE"""),43529.0713786805)</f>
        <v>43529.07138</v>
      </c>
      <c r="D2312" s="23">
        <f>IFERROR(__xludf.DUMMYFUNCTION("""COMPUTED_VALUE"""),1.057)</f>
        <v>1.057</v>
      </c>
      <c r="E2312" s="24">
        <f>IFERROR(__xludf.DUMMYFUNCTION("""COMPUTED_VALUE"""),66.0)</f>
        <v>66</v>
      </c>
      <c r="F2312" s="27" t="str">
        <f>IFERROR(__xludf.DUMMYFUNCTION("""COMPUTED_VALUE"""),"BLACK")</f>
        <v>BLACK</v>
      </c>
      <c r="G2312" s="28" t="str">
        <f>IFERROR(__xludf.DUMMYFUNCTION("""COMPUTED_VALUE"""),"First Times a Charm Cider")</f>
        <v>First Times a Charm Cider</v>
      </c>
      <c r="H2312" s="27" t="str">
        <f>IFERROR(__xludf.DUMMYFUNCTION("""COMPUTED_VALUE"""),"")</f>
        <v/>
      </c>
    </row>
    <row r="2313">
      <c r="A2313" s="17"/>
      <c r="B2313" s="23"/>
      <c r="C2313" s="17">
        <f>IFERROR(__xludf.DUMMYFUNCTION("""COMPUTED_VALUE"""),43529.0609563426)</f>
        <v>43529.06096</v>
      </c>
      <c r="D2313" s="23">
        <f>IFERROR(__xludf.DUMMYFUNCTION("""COMPUTED_VALUE"""),1.057)</f>
        <v>1.057</v>
      </c>
      <c r="E2313" s="24">
        <f>IFERROR(__xludf.DUMMYFUNCTION("""COMPUTED_VALUE"""),66.0)</f>
        <v>66</v>
      </c>
      <c r="F2313" s="27" t="str">
        <f>IFERROR(__xludf.DUMMYFUNCTION("""COMPUTED_VALUE"""),"BLACK")</f>
        <v>BLACK</v>
      </c>
      <c r="G2313" s="28" t="str">
        <f>IFERROR(__xludf.DUMMYFUNCTION("""COMPUTED_VALUE"""),"First Times a Charm Cider")</f>
        <v>First Times a Charm Cider</v>
      </c>
      <c r="H2313" s="27" t="str">
        <f>IFERROR(__xludf.DUMMYFUNCTION("""COMPUTED_VALUE"""),"")</f>
        <v/>
      </c>
    </row>
    <row r="2314">
      <c r="A2314" s="17"/>
      <c r="B2314" s="23"/>
      <c r="C2314" s="17">
        <f>IFERROR(__xludf.DUMMYFUNCTION("""COMPUTED_VALUE"""),43529.0505214004)</f>
        <v>43529.05052</v>
      </c>
      <c r="D2314" s="23">
        <f>IFERROR(__xludf.DUMMYFUNCTION("""COMPUTED_VALUE"""),1.057)</f>
        <v>1.057</v>
      </c>
      <c r="E2314" s="24">
        <f>IFERROR(__xludf.DUMMYFUNCTION("""COMPUTED_VALUE"""),66.0)</f>
        <v>66</v>
      </c>
      <c r="F2314" s="27" t="str">
        <f>IFERROR(__xludf.DUMMYFUNCTION("""COMPUTED_VALUE"""),"BLACK")</f>
        <v>BLACK</v>
      </c>
      <c r="G2314" s="28" t="str">
        <f>IFERROR(__xludf.DUMMYFUNCTION("""COMPUTED_VALUE"""),"First Times a Charm Cider")</f>
        <v>First Times a Charm Cider</v>
      </c>
      <c r="H2314" s="27" t="str">
        <f>IFERROR(__xludf.DUMMYFUNCTION("""COMPUTED_VALUE"""),"")</f>
        <v/>
      </c>
    </row>
    <row r="2315">
      <c r="A2315" s="17"/>
      <c r="B2315" s="23"/>
      <c r="C2315" s="17">
        <f>IFERROR(__xludf.DUMMYFUNCTION("""COMPUTED_VALUE"""),43529.0296664699)</f>
        <v>43529.02967</v>
      </c>
      <c r="D2315" s="23">
        <f>IFERROR(__xludf.DUMMYFUNCTION("""COMPUTED_VALUE"""),1.057)</f>
        <v>1.057</v>
      </c>
      <c r="E2315" s="24">
        <f>IFERROR(__xludf.DUMMYFUNCTION("""COMPUTED_VALUE"""),66.0)</f>
        <v>66</v>
      </c>
      <c r="F2315" s="27" t="str">
        <f>IFERROR(__xludf.DUMMYFUNCTION("""COMPUTED_VALUE"""),"BLACK")</f>
        <v>BLACK</v>
      </c>
      <c r="G2315" s="28" t="str">
        <f>IFERROR(__xludf.DUMMYFUNCTION("""COMPUTED_VALUE"""),"First Times a Charm Cider")</f>
        <v>First Times a Charm Cider</v>
      </c>
      <c r="H2315" s="27" t="str">
        <f>IFERROR(__xludf.DUMMYFUNCTION("""COMPUTED_VALUE"""),"")</f>
        <v/>
      </c>
    </row>
    <row r="2316">
      <c r="A2316" s="17"/>
      <c r="B2316" s="23"/>
      <c r="C2316" s="17">
        <f>IFERROR(__xludf.DUMMYFUNCTION("""COMPUTED_VALUE"""),43529.0192445949)</f>
        <v>43529.01924</v>
      </c>
      <c r="D2316" s="23">
        <f>IFERROR(__xludf.DUMMYFUNCTION("""COMPUTED_VALUE"""),1.057)</f>
        <v>1.057</v>
      </c>
      <c r="E2316" s="24">
        <f>IFERROR(__xludf.DUMMYFUNCTION("""COMPUTED_VALUE"""),66.0)</f>
        <v>66</v>
      </c>
      <c r="F2316" s="27" t="str">
        <f>IFERROR(__xludf.DUMMYFUNCTION("""COMPUTED_VALUE"""),"BLACK")</f>
        <v>BLACK</v>
      </c>
      <c r="G2316" s="28" t="str">
        <f>IFERROR(__xludf.DUMMYFUNCTION("""COMPUTED_VALUE"""),"First Times a Charm Cider")</f>
        <v>First Times a Charm Cider</v>
      </c>
      <c r="H2316" s="27" t="str">
        <f>IFERROR(__xludf.DUMMYFUNCTION("""COMPUTED_VALUE"""),"")</f>
        <v/>
      </c>
    </row>
    <row r="2317">
      <c r="A2317" s="17"/>
      <c r="B2317" s="23"/>
      <c r="C2317" s="17">
        <f>IFERROR(__xludf.DUMMYFUNCTION("""COMPUTED_VALUE"""),43529.0088230439)</f>
        <v>43529.00882</v>
      </c>
      <c r="D2317" s="23">
        <f>IFERROR(__xludf.DUMMYFUNCTION("""COMPUTED_VALUE"""),1.057)</f>
        <v>1.057</v>
      </c>
      <c r="E2317" s="24">
        <f>IFERROR(__xludf.DUMMYFUNCTION("""COMPUTED_VALUE"""),66.0)</f>
        <v>66</v>
      </c>
      <c r="F2317" s="27" t="str">
        <f>IFERROR(__xludf.DUMMYFUNCTION("""COMPUTED_VALUE"""),"BLACK")</f>
        <v>BLACK</v>
      </c>
      <c r="G2317" s="28" t="str">
        <f>IFERROR(__xludf.DUMMYFUNCTION("""COMPUTED_VALUE"""),"First Times a Charm Cider")</f>
        <v>First Times a Charm Cider</v>
      </c>
      <c r="H2317" s="27" t="str">
        <f>IFERROR(__xludf.DUMMYFUNCTION("""COMPUTED_VALUE"""),"")</f>
        <v/>
      </c>
    </row>
    <row r="2318">
      <c r="A2318" s="17"/>
      <c r="B2318" s="23"/>
      <c r="C2318" s="17">
        <f>IFERROR(__xludf.DUMMYFUNCTION("""COMPUTED_VALUE"""),43528.99840125)</f>
        <v>43528.9984</v>
      </c>
      <c r="D2318" s="23">
        <f>IFERROR(__xludf.DUMMYFUNCTION("""COMPUTED_VALUE"""),1.057)</f>
        <v>1.057</v>
      </c>
      <c r="E2318" s="24">
        <f>IFERROR(__xludf.DUMMYFUNCTION("""COMPUTED_VALUE"""),66.0)</f>
        <v>66</v>
      </c>
      <c r="F2318" s="27" t="str">
        <f>IFERROR(__xludf.DUMMYFUNCTION("""COMPUTED_VALUE"""),"BLACK")</f>
        <v>BLACK</v>
      </c>
      <c r="G2318" s="28" t="str">
        <f>IFERROR(__xludf.DUMMYFUNCTION("""COMPUTED_VALUE"""),"First Times a Charm Cider")</f>
        <v>First Times a Charm Cider</v>
      </c>
      <c r="H2318" s="27" t="str">
        <f>IFERROR(__xludf.DUMMYFUNCTION("""COMPUTED_VALUE"""),"")</f>
        <v/>
      </c>
    </row>
    <row r="2319">
      <c r="A2319" s="17"/>
      <c r="B2319" s="23"/>
      <c r="C2319" s="17">
        <f>IFERROR(__xludf.DUMMYFUNCTION("""COMPUTED_VALUE"""),43528.9879797801)</f>
        <v>43528.98798</v>
      </c>
      <c r="D2319" s="23">
        <f>IFERROR(__xludf.DUMMYFUNCTION("""COMPUTED_VALUE"""),1.057)</f>
        <v>1.057</v>
      </c>
      <c r="E2319" s="24">
        <f>IFERROR(__xludf.DUMMYFUNCTION("""COMPUTED_VALUE"""),66.0)</f>
        <v>66</v>
      </c>
      <c r="F2319" s="27" t="str">
        <f>IFERROR(__xludf.DUMMYFUNCTION("""COMPUTED_VALUE"""),"BLACK")</f>
        <v>BLACK</v>
      </c>
      <c r="G2319" s="28" t="str">
        <f>IFERROR(__xludf.DUMMYFUNCTION("""COMPUTED_VALUE"""),"First Times a Charm Cider")</f>
        <v>First Times a Charm Cider</v>
      </c>
      <c r="H2319" s="27" t="str">
        <f>IFERROR(__xludf.DUMMYFUNCTION("""COMPUTED_VALUE"""),"")</f>
        <v/>
      </c>
    </row>
    <row r="2320">
      <c r="A2320" s="17"/>
      <c r="B2320" s="23"/>
      <c r="C2320" s="17">
        <f>IFERROR(__xludf.DUMMYFUNCTION("""COMPUTED_VALUE"""),43528.9775582407)</f>
        <v>43528.97756</v>
      </c>
      <c r="D2320" s="23">
        <f>IFERROR(__xludf.DUMMYFUNCTION("""COMPUTED_VALUE"""),1.058)</f>
        <v>1.058</v>
      </c>
      <c r="E2320" s="24">
        <f>IFERROR(__xludf.DUMMYFUNCTION("""COMPUTED_VALUE"""),66.0)</f>
        <v>66</v>
      </c>
      <c r="F2320" s="27" t="str">
        <f>IFERROR(__xludf.DUMMYFUNCTION("""COMPUTED_VALUE"""),"BLACK")</f>
        <v>BLACK</v>
      </c>
      <c r="G2320" s="28" t="str">
        <f>IFERROR(__xludf.DUMMYFUNCTION("""COMPUTED_VALUE"""),"First Times a Charm Cider")</f>
        <v>First Times a Charm Cider</v>
      </c>
      <c r="H2320" s="27" t="str">
        <f>IFERROR(__xludf.DUMMYFUNCTION("""COMPUTED_VALUE"""),"")</f>
        <v/>
      </c>
    </row>
    <row r="2321">
      <c r="A2321" s="17"/>
      <c r="B2321" s="23"/>
      <c r="C2321" s="17">
        <f>IFERROR(__xludf.DUMMYFUNCTION("""COMPUTED_VALUE"""),43528.9671363541)</f>
        <v>43528.96714</v>
      </c>
      <c r="D2321" s="23">
        <f>IFERROR(__xludf.DUMMYFUNCTION("""COMPUTED_VALUE"""),1.058)</f>
        <v>1.058</v>
      </c>
      <c r="E2321" s="24">
        <f>IFERROR(__xludf.DUMMYFUNCTION("""COMPUTED_VALUE"""),66.0)</f>
        <v>66</v>
      </c>
      <c r="F2321" s="27" t="str">
        <f>IFERROR(__xludf.DUMMYFUNCTION("""COMPUTED_VALUE"""),"BLACK")</f>
        <v>BLACK</v>
      </c>
      <c r="G2321" s="28" t="str">
        <f>IFERROR(__xludf.DUMMYFUNCTION("""COMPUTED_VALUE"""),"First Times a Charm Cider")</f>
        <v>First Times a Charm Cider</v>
      </c>
      <c r="H2321" s="27" t="str">
        <f>IFERROR(__xludf.DUMMYFUNCTION("""COMPUTED_VALUE"""),"")</f>
        <v/>
      </c>
    </row>
    <row r="2322">
      <c r="A2322" s="17"/>
      <c r="B2322" s="23"/>
      <c r="C2322" s="17">
        <f>IFERROR(__xludf.DUMMYFUNCTION("""COMPUTED_VALUE"""),43528.956682199)</f>
        <v>43528.95668</v>
      </c>
      <c r="D2322" s="23">
        <f>IFERROR(__xludf.DUMMYFUNCTION("""COMPUTED_VALUE"""),1.058)</f>
        <v>1.058</v>
      </c>
      <c r="E2322" s="24">
        <f>IFERROR(__xludf.DUMMYFUNCTION("""COMPUTED_VALUE"""),66.0)</f>
        <v>66</v>
      </c>
      <c r="F2322" s="27" t="str">
        <f>IFERROR(__xludf.DUMMYFUNCTION("""COMPUTED_VALUE"""),"BLACK")</f>
        <v>BLACK</v>
      </c>
      <c r="G2322" s="28" t="str">
        <f>IFERROR(__xludf.DUMMYFUNCTION("""COMPUTED_VALUE"""),"First Times a Charm Cider")</f>
        <v>First Times a Charm Cider</v>
      </c>
      <c r="H2322" s="27" t="str">
        <f>IFERROR(__xludf.DUMMYFUNCTION("""COMPUTED_VALUE"""),"")</f>
        <v/>
      </c>
    </row>
    <row r="2323">
      <c r="A2323" s="17"/>
      <c r="B2323" s="23"/>
      <c r="C2323" s="17">
        <f>IFERROR(__xludf.DUMMYFUNCTION("""COMPUTED_VALUE"""),43528.9462609143)</f>
        <v>43528.94626</v>
      </c>
      <c r="D2323" s="23">
        <f>IFERROR(__xludf.DUMMYFUNCTION("""COMPUTED_VALUE"""),1.057)</f>
        <v>1.057</v>
      </c>
      <c r="E2323" s="24">
        <f>IFERROR(__xludf.DUMMYFUNCTION("""COMPUTED_VALUE"""),66.0)</f>
        <v>66</v>
      </c>
      <c r="F2323" s="27" t="str">
        <f>IFERROR(__xludf.DUMMYFUNCTION("""COMPUTED_VALUE"""),"BLACK")</f>
        <v>BLACK</v>
      </c>
      <c r="G2323" s="28" t="str">
        <f>IFERROR(__xludf.DUMMYFUNCTION("""COMPUTED_VALUE"""),"First Times a Charm Cider")</f>
        <v>First Times a Charm Cider</v>
      </c>
      <c r="H2323" s="27" t="str">
        <f>IFERROR(__xludf.DUMMYFUNCTION("""COMPUTED_VALUE"""),"")</f>
        <v/>
      </c>
    </row>
    <row r="2324">
      <c r="A2324" s="17"/>
      <c r="B2324" s="23"/>
      <c r="C2324" s="17">
        <f>IFERROR(__xludf.DUMMYFUNCTION("""COMPUTED_VALUE"""),43528.9358390162)</f>
        <v>43528.93584</v>
      </c>
      <c r="D2324" s="23">
        <f>IFERROR(__xludf.DUMMYFUNCTION("""COMPUTED_VALUE"""),1.057)</f>
        <v>1.057</v>
      </c>
      <c r="E2324" s="24">
        <f>IFERROR(__xludf.DUMMYFUNCTION("""COMPUTED_VALUE"""),66.0)</f>
        <v>66</v>
      </c>
      <c r="F2324" s="27" t="str">
        <f>IFERROR(__xludf.DUMMYFUNCTION("""COMPUTED_VALUE"""),"BLACK")</f>
        <v>BLACK</v>
      </c>
      <c r="G2324" s="28" t="str">
        <f>IFERROR(__xludf.DUMMYFUNCTION("""COMPUTED_VALUE"""),"First Times a Charm Cider")</f>
        <v>First Times a Charm Cider</v>
      </c>
      <c r="H2324" s="27" t="str">
        <f>IFERROR(__xludf.DUMMYFUNCTION("""COMPUTED_VALUE"""),"")</f>
        <v/>
      </c>
    </row>
    <row r="2325">
      <c r="A2325" s="17"/>
      <c r="B2325" s="23"/>
      <c r="C2325" s="17">
        <f>IFERROR(__xludf.DUMMYFUNCTION("""COMPUTED_VALUE"""),43528.9254062963)</f>
        <v>43528.92541</v>
      </c>
      <c r="D2325" s="23">
        <f>IFERROR(__xludf.DUMMYFUNCTION("""COMPUTED_VALUE"""),1.057)</f>
        <v>1.057</v>
      </c>
      <c r="E2325" s="24">
        <f>IFERROR(__xludf.DUMMYFUNCTION("""COMPUTED_VALUE"""),66.0)</f>
        <v>66</v>
      </c>
      <c r="F2325" s="27" t="str">
        <f>IFERROR(__xludf.DUMMYFUNCTION("""COMPUTED_VALUE"""),"BLACK")</f>
        <v>BLACK</v>
      </c>
      <c r="G2325" s="28" t="str">
        <f>IFERROR(__xludf.DUMMYFUNCTION("""COMPUTED_VALUE"""),"First Times a Charm Cider")</f>
        <v>First Times a Charm Cider</v>
      </c>
      <c r="H2325" s="27" t="str">
        <f>IFERROR(__xludf.DUMMYFUNCTION("""COMPUTED_VALUE"""),"")</f>
        <v/>
      </c>
    </row>
    <row r="2326">
      <c r="A2326" s="17"/>
      <c r="B2326" s="23"/>
      <c r="C2326" s="17">
        <f>IFERROR(__xludf.DUMMYFUNCTION("""COMPUTED_VALUE"""),43528.9149738541)</f>
        <v>43528.91497</v>
      </c>
      <c r="D2326" s="23">
        <f>IFERROR(__xludf.DUMMYFUNCTION("""COMPUTED_VALUE"""),1.058)</f>
        <v>1.058</v>
      </c>
      <c r="E2326" s="24">
        <f>IFERROR(__xludf.DUMMYFUNCTION("""COMPUTED_VALUE"""),66.0)</f>
        <v>66</v>
      </c>
      <c r="F2326" s="27" t="str">
        <f>IFERROR(__xludf.DUMMYFUNCTION("""COMPUTED_VALUE"""),"BLACK")</f>
        <v>BLACK</v>
      </c>
      <c r="G2326" s="28" t="str">
        <f>IFERROR(__xludf.DUMMYFUNCTION("""COMPUTED_VALUE"""),"First Times a Charm Cider")</f>
        <v>First Times a Charm Cider</v>
      </c>
      <c r="H2326" s="27" t="str">
        <f>IFERROR(__xludf.DUMMYFUNCTION("""COMPUTED_VALUE"""),"")</f>
        <v/>
      </c>
    </row>
    <row r="2327">
      <c r="A2327" s="17"/>
      <c r="B2327" s="23"/>
      <c r="C2327" s="17">
        <f>IFERROR(__xludf.DUMMYFUNCTION("""COMPUTED_VALUE"""),43528.904530162)</f>
        <v>43528.90453</v>
      </c>
      <c r="D2327" s="23">
        <f>IFERROR(__xludf.DUMMYFUNCTION("""COMPUTED_VALUE"""),1.058)</f>
        <v>1.058</v>
      </c>
      <c r="E2327" s="24">
        <f>IFERROR(__xludf.DUMMYFUNCTION("""COMPUTED_VALUE"""),66.0)</f>
        <v>66</v>
      </c>
      <c r="F2327" s="27" t="str">
        <f>IFERROR(__xludf.DUMMYFUNCTION("""COMPUTED_VALUE"""),"BLACK")</f>
        <v>BLACK</v>
      </c>
      <c r="G2327" s="28" t="str">
        <f>IFERROR(__xludf.DUMMYFUNCTION("""COMPUTED_VALUE"""),"First Times a Charm Cider")</f>
        <v>First Times a Charm Cider</v>
      </c>
      <c r="H2327" s="27" t="str">
        <f>IFERROR(__xludf.DUMMYFUNCTION("""COMPUTED_VALUE"""),"")</f>
        <v/>
      </c>
    </row>
    <row r="2328">
      <c r="A2328" s="17"/>
      <c r="B2328" s="23"/>
      <c r="C2328" s="17">
        <f>IFERROR(__xludf.DUMMYFUNCTION("""COMPUTED_VALUE"""),43528.8940742592)</f>
        <v>43528.89407</v>
      </c>
      <c r="D2328" s="23">
        <f>IFERROR(__xludf.DUMMYFUNCTION("""COMPUTED_VALUE"""),1.058)</f>
        <v>1.058</v>
      </c>
      <c r="E2328" s="24">
        <f>IFERROR(__xludf.DUMMYFUNCTION("""COMPUTED_VALUE"""),66.0)</f>
        <v>66</v>
      </c>
      <c r="F2328" s="27" t="str">
        <f>IFERROR(__xludf.DUMMYFUNCTION("""COMPUTED_VALUE"""),"BLACK")</f>
        <v>BLACK</v>
      </c>
      <c r="G2328" s="28" t="str">
        <f>IFERROR(__xludf.DUMMYFUNCTION("""COMPUTED_VALUE"""),"First Times a Charm Cider")</f>
        <v>First Times a Charm Cider</v>
      </c>
      <c r="H2328" s="27" t="str">
        <f>IFERROR(__xludf.DUMMYFUNCTION("""COMPUTED_VALUE"""),"")</f>
        <v/>
      </c>
    </row>
    <row r="2329">
      <c r="A2329" s="17"/>
      <c r="B2329" s="23"/>
      <c r="C2329" s="17">
        <f>IFERROR(__xludf.DUMMYFUNCTION("""COMPUTED_VALUE"""),43528.8836419791)</f>
        <v>43528.88364</v>
      </c>
      <c r="D2329" s="23">
        <f>IFERROR(__xludf.DUMMYFUNCTION("""COMPUTED_VALUE"""),1.058)</f>
        <v>1.058</v>
      </c>
      <c r="E2329" s="24">
        <f>IFERROR(__xludf.DUMMYFUNCTION("""COMPUTED_VALUE"""),66.0)</f>
        <v>66</v>
      </c>
      <c r="F2329" s="27" t="str">
        <f>IFERROR(__xludf.DUMMYFUNCTION("""COMPUTED_VALUE"""),"BLACK")</f>
        <v>BLACK</v>
      </c>
      <c r="G2329" s="28" t="str">
        <f>IFERROR(__xludf.DUMMYFUNCTION("""COMPUTED_VALUE"""),"First Times a Charm Cider")</f>
        <v>First Times a Charm Cider</v>
      </c>
      <c r="H2329" s="27" t="str">
        <f>IFERROR(__xludf.DUMMYFUNCTION("""COMPUTED_VALUE"""),"")</f>
        <v/>
      </c>
    </row>
    <row r="2330">
      <c r="A2330" s="17"/>
      <c r="B2330" s="23"/>
      <c r="C2330" s="17">
        <f>IFERROR(__xludf.DUMMYFUNCTION("""COMPUTED_VALUE"""),43528.8628012037)</f>
        <v>43528.8628</v>
      </c>
      <c r="D2330" s="23">
        <f>IFERROR(__xludf.DUMMYFUNCTION("""COMPUTED_VALUE"""),1.058)</f>
        <v>1.058</v>
      </c>
      <c r="E2330" s="24">
        <f>IFERROR(__xludf.DUMMYFUNCTION("""COMPUTED_VALUE"""),66.0)</f>
        <v>66</v>
      </c>
      <c r="F2330" s="27" t="str">
        <f>IFERROR(__xludf.DUMMYFUNCTION("""COMPUTED_VALUE"""),"BLACK")</f>
        <v>BLACK</v>
      </c>
      <c r="G2330" s="28" t="str">
        <f>IFERROR(__xludf.DUMMYFUNCTION("""COMPUTED_VALUE"""),"First Times a Charm Cider")</f>
        <v>First Times a Charm Cider</v>
      </c>
      <c r="H2330" s="27" t="str">
        <f>IFERROR(__xludf.DUMMYFUNCTION("""COMPUTED_VALUE"""),"")</f>
        <v/>
      </c>
    </row>
    <row r="2331">
      <c r="A2331" s="17"/>
      <c r="B2331" s="23"/>
      <c r="C2331" s="17">
        <f>IFERROR(__xludf.DUMMYFUNCTION("""COMPUTED_VALUE"""),43528.8419584143)</f>
        <v>43528.84196</v>
      </c>
      <c r="D2331" s="23">
        <f>IFERROR(__xludf.DUMMYFUNCTION("""COMPUTED_VALUE"""),1.058)</f>
        <v>1.058</v>
      </c>
      <c r="E2331" s="24">
        <f>IFERROR(__xludf.DUMMYFUNCTION("""COMPUTED_VALUE"""),66.0)</f>
        <v>66</v>
      </c>
      <c r="F2331" s="27" t="str">
        <f>IFERROR(__xludf.DUMMYFUNCTION("""COMPUTED_VALUE"""),"BLACK")</f>
        <v>BLACK</v>
      </c>
      <c r="G2331" s="28" t="str">
        <f>IFERROR(__xludf.DUMMYFUNCTION("""COMPUTED_VALUE"""),"First Times a Charm Cider")</f>
        <v>First Times a Charm Cider</v>
      </c>
      <c r="H2331" s="27" t="str">
        <f>IFERROR(__xludf.DUMMYFUNCTION("""COMPUTED_VALUE"""),"")</f>
        <v/>
      </c>
    </row>
    <row r="2332">
      <c r="A2332" s="17"/>
      <c r="B2332" s="23"/>
      <c r="C2332" s="17">
        <f>IFERROR(__xludf.DUMMYFUNCTION("""COMPUTED_VALUE"""),43528.821115625)</f>
        <v>43528.82112</v>
      </c>
      <c r="D2332" s="23">
        <f>IFERROR(__xludf.DUMMYFUNCTION("""COMPUTED_VALUE"""),1.058)</f>
        <v>1.058</v>
      </c>
      <c r="E2332" s="24">
        <f>IFERROR(__xludf.DUMMYFUNCTION("""COMPUTED_VALUE"""),66.0)</f>
        <v>66</v>
      </c>
      <c r="F2332" s="27" t="str">
        <f>IFERROR(__xludf.DUMMYFUNCTION("""COMPUTED_VALUE"""),"BLACK")</f>
        <v>BLACK</v>
      </c>
      <c r="G2332" s="28" t="str">
        <f>IFERROR(__xludf.DUMMYFUNCTION("""COMPUTED_VALUE"""),"First Times a Charm Cider")</f>
        <v>First Times a Charm Cider</v>
      </c>
      <c r="H2332" s="27" t="str">
        <f>IFERROR(__xludf.DUMMYFUNCTION("""COMPUTED_VALUE"""),"")</f>
        <v/>
      </c>
    </row>
    <row r="2333">
      <c r="A2333" s="17"/>
      <c r="B2333" s="23"/>
      <c r="C2333" s="17">
        <f>IFERROR(__xludf.DUMMYFUNCTION("""COMPUTED_VALUE"""),43528.8002720717)</f>
        <v>43528.80027</v>
      </c>
      <c r="D2333" s="23">
        <f>IFERROR(__xludf.DUMMYFUNCTION("""COMPUTED_VALUE"""),1.058)</f>
        <v>1.058</v>
      </c>
      <c r="E2333" s="24">
        <f>IFERROR(__xludf.DUMMYFUNCTION("""COMPUTED_VALUE"""),66.0)</f>
        <v>66</v>
      </c>
      <c r="F2333" s="27" t="str">
        <f>IFERROR(__xludf.DUMMYFUNCTION("""COMPUTED_VALUE"""),"BLACK")</f>
        <v>BLACK</v>
      </c>
      <c r="G2333" s="28" t="str">
        <f>IFERROR(__xludf.DUMMYFUNCTION("""COMPUTED_VALUE"""),"First Times a Charm Cider")</f>
        <v>First Times a Charm Cider</v>
      </c>
      <c r="H2333" s="27" t="str">
        <f>IFERROR(__xludf.DUMMYFUNCTION("""COMPUTED_VALUE"""),"")</f>
        <v/>
      </c>
    </row>
    <row r="2334">
      <c r="A2334" s="17"/>
      <c r="B2334" s="23"/>
      <c r="C2334" s="17">
        <f>IFERROR(__xludf.DUMMYFUNCTION("""COMPUTED_VALUE"""),43528.789852199)</f>
        <v>43528.78985</v>
      </c>
      <c r="D2334" s="23">
        <f>IFERROR(__xludf.DUMMYFUNCTION("""COMPUTED_VALUE"""),1.058)</f>
        <v>1.058</v>
      </c>
      <c r="E2334" s="24">
        <f>IFERROR(__xludf.DUMMYFUNCTION("""COMPUTED_VALUE"""),66.0)</f>
        <v>66</v>
      </c>
      <c r="F2334" s="27" t="str">
        <f>IFERROR(__xludf.DUMMYFUNCTION("""COMPUTED_VALUE"""),"BLACK")</f>
        <v>BLACK</v>
      </c>
      <c r="G2334" s="28" t="str">
        <f>IFERROR(__xludf.DUMMYFUNCTION("""COMPUTED_VALUE"""),"First Times a Charm Cider")</f>
        <v>First Times a Charm Cider</v>
      </c>
      <c r="H2334" s="27" t="str">
        <f>IFERROR(__xludf.DUMMYFUNCTION("""COMPUTED_VALUE"""),"")</f>
        <v/>
      </c>
    </row>
    <row r="2335">
      <c r="A2335" s="17"/>
      <c r="B2335" s="23"/>
      <c r="C2335" s="17">
        <f>IFERROR(__xludf.DUMMYFUNCTION("""COMPUTED_VALUE"""),43528.7690097685)</f>
        <v>43528.76901</v>
      </c>
      <c r="D2335" s="23">
        <f>IFERROR(__xludf.DUMMYFUNCTION("""COMPUTED_VALUE"""),1.058)</f>
        <v>1.058</v>
      </c>
      <c r="E2335" s="24">
        <f>IFERROR(__xludf.DUMMYFUNCTION("""COMPUTED_VALUE"""),66.0)</f>
        <v>66</v>
      </c>
      <c r="F2335" s="27" t="str">
        <f>IFERROR(__xludf.DUMMYFUNCTION("""COMPUTED_VALUE"""),"BLACK")</f>
        <v>BLACK</v>
      </c>
      <c r="G2335" s="28" t="str">
        <f>IFERROR(__xludf.DUMMYFUNCTION("""COMPUTED_VALUE"""),"First Times a Charm Cider")</f>
        <v>First Times a Charm Cider</v>
      </c>
      <c r="H2335" s="27" t="str">
        <f>IFERROR(__xludf.DUMMYFUNCTION("""COMPUTED_VALUE"""),"")</f>
        <v/>
      </c>
    </row>
    <row r="2336">
      <c r="A2336" s="17"/>
      <c r="B2336" s="23"/>
      <c r="C2336" s="17">
        <f>IFERROR(__xludf.DUMMYFUNCTION("""COMPUTED_VALUE"""),43528.7585876041)</f>
        <v>43528.75859</v>
      </c>
      <c r="D2336" s="23">
        <f>IFERROR(__xludf.DUMMYFUNCTION("""COMPUTED_VALUE"""),1.058)</f>
        <v>1.058</v>
      </c>
      <c r="E2336" s="24">
        <f>IFERROR(__xludf.DUMMYFUNCTION("""COMPUTED_VALUE"""),66.0)</f>
        <v>66</v>
      </c>
      <c r="F2336" s="27" t="str">
        <f>IFERROR(__xludf.DUMMYFUNCTION("""COMPUTED_VALUE"""),"BLACK")</f>
        <v>BLACK</v>
      </c>
      <c r="G2336" s="28" t="str">
        <f>IFERROR(__xludf.DUMMYFUNCTION("""COMPUTED_VALUE"""),"First Times a Charm Cider")</f>
        <v>First Times a Charm Cider</v>
      </c>
      <c r="H2336" s="27" t="str">
        <f>IFERROR(__xludf.DUMMYFUNCTION("""COMPUTED_VALUE"""),"")</f>
        <v/>
      </c>
    </row>
    <row r="2337">
      <c r="A2337" s="17"/>
      <c r="B2337" s="23"/>
      <c r="C2337" s="17">
        <f>IFERROR(__xludf.DUMMYFUNCTION("""COMPUTED_VALUE"""),43528.7481669907)</f>
        <v>43528.74817</v>
      </c>
      <c r="D2337" s="23">
        <f>IFERROR(__xludf.DUMMYFUNCTION("""COMPUTED_VALUE"""),1.058)</f>
        <v>1.058</v>
      </c>
      <c r="E2337" s="24">
        <f>IFERROR(__xludf.DUMMYFUNCTION("""COMPUTED_VALUE"""),66.0)</f>
        <v>66</v>
      </c>
      <c r="F2337" s="27" t="str">
        <f>IFERROR(__xludf.DUMMYFUNCTION("""COMPUTED_VALUE"""),"BLACK")</f>
        <v>BLACK</v>
      </c>
      <c r="G2337" s="28" t="str">
        <f>IFERROR(__xludf.DUMMYFUNCTION("""COMPUTED_VALUE"""),"First Times a Charm Cider")</f>
        <v>First Times a Charm Cider</v>
      </c>
      <c r="H2337" s="27" t="str">
        <f>IFERROR(__xludf.DUMMYFUNCTION("""COMPUTED_VALUE"""),"")</f>
        <v/>
      </c>
    </row>
    <row r="2338">
      <c r="A2338" s="17"/>
      <c r="B2338" s="23"/>
      <c r="C2338" s="17">
        <f>IFERROR(__xludf.DUMMYFUNCTION("""COMPUTED_VALUE"""),43528.737747743)</f>
        <v>43528.73775</v>
      </c>
      <c r="D2338" s="23">
        <f>IFERROR(__xludf.DUMMYFUNCTION("""COMPUTED_VALUE"""),1.058)</f>
        <v>1.058</v>
      </c>
      <c r="E2338" s="24">
        <f>IFERROR(__xludf.DUMMYFUNCTION("""COMPUTED_VALUE"""),66.0)</f>
        <v>66</v>
      </c>
      <c r="F2338" s="27" t="str">
        <f>IFERROR(__xludf.DUMMYFUNCTION("""COMPUTED_VALUE"""),"BLACK")</f>
        <v>BLACK</v>
      </c>
      <c r="G2338" s="28" t="str">
        <f>IFERROR(__xludf.DUMMYFUNCTION("""COMPUTED_VALUE"""),"First Times a Charm Cider")</f>
        <v>First Times a Charm Cider</v>
      </c>
      <c r="H2338" s="27" t="str">
        <f>IFERROR(__xludf.DUMMYFUNCTION("""COMPUTED_VALUE"""),"")</f>
        <v/>
      </c>
    </row>
    <row r="2339">
      <c r="A2339" s="17"/>
      <c r="B2339" s="23"/>
      <c r="C2339" s="17">
        <f>IFERROR(__xludf.DUMMYFUNCTION("""COMPUTED_VALUE"""),43528.7273138425)</f>
        <v>43528.72731</v>
      </c>
      <c r="D2339" s="23">
        <f>IFERROR(__xludf.DUMMYFUNCTION("""COMPUTED_VALUE"""),1.058)</f>
        <v>1.058</v>
      </c>
      <c r="E2339" s="24">
        <f>IFERROR(__xludf.DUMMYFUNCTION("""COMPUTED_VALUE"""),66.0)</f>
        <v>66</v>
      </c>
      <c r="F2339" s="27" t="str">
        <f>IFERROR(__xludf.DUMMYFUNCTION("""COMPUTED_VALUE"""),"BLACK")</f>
        <v>BLACK</v>
      </c>
      <c r="G2339" s="28" t="str">
        <f>IFERROR(__xludf.DUMMYFUNCTION("""COMPUTED_VALUE"""),"First Times a Charm Cider")</f>
        <v>First Times a Charm Cider</v>
      </c>
      <c r="H2339" s="27" t="str">
        <f>IFERROR(__xludf.DUMMYFUNCTION("""COMPUTED_VALUE"""),"")</f>
        <v/>
      </c>
    </row>
    <row r="2340">
      <c r="A2340" s="17"/>
      <c r="B2340" s="23"/>
      <c r="C2340" s="17">
        <f>IFERROR(__xludf.DUMMYFUNCTION("""COMPUTED_VALUE"""),43528.7168816782)</f>
        <v>43528.71688</v>
      </c>
      <c r="D2340" s="23">
        <f>IFERROR(__xludf.DUMMYFUNCTION("""COMPUTED_VALUE"""),1.058)</f>
        <v>1.058</v>
      </c>
      <c r="E2340" s="24">
        <f>IFERROR(__xludf.DUMMYFUNCTION("""COMPUTED_VALUE"""),66.0)</f>
        <v>66</v>
      </c>
      <c r="F2340" s="27" t="str">
        <f>IFERROR(__xludf.DUMMYFUNCTION("""COMPUTED_VALUE"""),"BLACK")</f>
        <v>BLACK</v>
      </c>
      <c r="G2340" s="28" t="str">
        <f>IFERROR(__xludf.DUMMYFUNCTION("""COMPUTED_VALUE"""),"First Times a Charm Cider")</f>
        <v>First Times a Charm Cider</v>
      </c>
      <c r="H2340" s="27" t="str">
        <f>IFERROR(__xludf.DUMMYFUNCTION("""COMPUTED_VALUE"""),"")</f>
        <v/>
      </c>
    </row>
    <row r="2341">
      <c r="A2341" s="17"/>
      <c r="B2341" s="23"/>
      <c r="C2341" s="17">
        <f>IFERROR(__xludf.DUMMYFUNCTION("""COMPUTED_VALUE"""),43528.7064602777)</f>
        <v>43528.70646</v>
      </c>
      <c r="D2341" s="23">
        <f>IFERROR(__xludf.DUMMYFUNCTION("""COMPUTED_VALUE"""),1.058)</f>
        <v>1.058</v>
      </c>
      <c r="E2341" s="24">
        <f>IFERROR(__xludf.DUMMYFUNCTION("""COMPUTED_VALUE"""),67.0)</f>
        <v>67</v>
      </c>
      <c r="F2341" s="27" t="str">
        <f>IFERROR(__xludf.DUMMYFUNCTION("""COMPUTED_VALUE"""),"BLACK")</f>
        <v>BLACK</v>
      </c>
      <c r="G2341" s="28" t="str">
        <f>IFERROR(__xludf.DUMMYFUNCTION("""COMPUTED_VALUE"""),"First Times a Charm Cider")</f>
        <v>First Times a Charm Cider</v>
      </c>
      <c r="H2341" s="27" t="str">
        <f>IFERROR(__xludf.DUMMYFUNCTION("""COMPUTED_VALUE"""),"")</f>
        <v/>
      </c>
    </row>
    <row r="2342">
      <c r="A2342" s="17"/>
      <c r="B2342" s="23"/>
      <c r="C2342" s="17">
        <f>IFERROR(__xludf.DUMMYFUNCTION("""COMPUTED_VALUE"""),43528.6855946412)</f>
        <v>43528.68559</v>
      </c>
      <c r="D2342" s="23">
        <f>IFERROR(__xludf.DUMMYFUNCTION("""COMPUTED_VALUE"""),1.058)</f>
        <v>1.058</v>
      </c>
      <c r="E2342" s="24">
        <f>IFERROR(__xludf.DUMMYFUNCTION("""COMPUTED_VALUE"""),67.0)</f>
        <v>67</v>
      </c>
      <c r="F2342" s="27" t="str">
        <f>IFERROR(__xludf.DUMMYFUNCTION("""COMPUTED_VALUE"""),"BLACK")</f>
        <v>BLACK</v>
      </c>
      <c r="G2342" s="28" t="str">
        <f>IFERROR(__xludf.DUMMYFUNCTION("""COMPUTED_VALUE"""),"First Times a Charm Cider")</f>
        <v>First Times a Charm Cider</v>
      </c>
      <c r="H2342" s="27" t="str">
        <f>IFERROR(__xludf.DUMMYFUNCTION("""COMPUTED_VALUE"""),"")</f>
        <v/>
      </c>
    </row>
    <row r="2343">
      <c r="A2343" s="17"/>
      <c r="B2343" s="23"/>
      <c r="C2343" s="17">
        <f>IFERROR(__xludf.DUMMYFUNCTION("""COMPUTED_VALUE"""),43528.6751729513)</f>
        <v>43528.67517</v>
      </c>
      <c r="D2343" s="23">
        <f>IFERROR(__xludf.DUMMYFUNCTION("""COMPUTED_VALUE"""),1.059)</f>
        <v>1.059</v>
      </c>
      <c r="E2343" s="24">
        <f>IFERROR(__xludf.DUMMYFUNCTION("""COMPUTED_VALUE"""),67.0)</f>
        <v>67</v>
      </c>
      <c r="F2343" s="27" t="str">
        <f>IFERROR(__xludf.DUMMYFUNCTION("""COMPUTED_VALUE"""),"BLACK")</f>
        <v>BLACK</v>
      </c>
      <c r="G2343" s="28" t="str">
        <f>IFERROR(__xludf.DUMMYFUNCTION("""COMPUTED_VALUE"""),"First Times a Charm Cider")</f>
        <v>First Times a Charm Cider</v>
      </c>
      <c r="H2343" s="27" t="str">
        <f>IFERROR(__xludf.DUMMYFUNCTION("""COMPUTED_VALUE"""),"")</f>
        <v/>
      </c>
    </row>
    <row r="2344">
      <c r="A2344" s="17"/>
      <c r="B2344" s="23"/>
      <c r="C2344" s="17">
        <f>IFERROR(__xludf.DUMMYFUNCTION("""COMPUTED_VALUE"""),43528.6543305092)</f>
        <v>43528.65433</v>
      </c>
      <c r="D2344" s="23">
        <f>IFERROR(__xludf.DUMMYFUNCTION("""COMPUTED_VALUE"""),1.058)</f>
        <v>1.058</v>
      </c>
      <c r="E2344" s="24">
        <f>IFERROR(__xludf.DUMMYFUNCTION("""COMPUTED_VALUE"""),67.0)</f>
        <v>67</v>
      </c>
      <c r="F2344" s="27" t="str">
        <f>IFERROR(__xludf.DUMMYFUNCTION("""COMPUTED_VALUE"""),"BLACK")</f>
        <v>BLACK</v>
      </c>
      <c r="G2344" s="28" t="str">
        <f>IFERROR(__xludf.DUMMYFUNCTION("""COMPUTED_VALUE"""),"First Times a Charm Cider")</f>
        <v>First Times a Charm Cider</v>
      </c>
      <c r="H2344" s="27" t="str">
        <f>IFERROR(__xludf.DUMMYFUNCTION("""COMPUTED_VALUE"""),"")</f>
        <v/>
      </c>
    </row>
    <row r="2345">
      <c r="A2345" s="17"/>
      <c r="B2345" s="23"/>
      <c r="C2345" s="17">
        <f>IFERROR(__xludf.DUMMYFUNCTION("""COMPUTED_VALUE"""),43528.6438863657)</f>
        <v>43528.64389</v>
      </c>
      <c r="D2345" s="23">
        <f>IFERROR(__xludf.DUMMYFUNCTION("""COMPUTED_VALUE"""),1.058)</f>
        <v>1.058</v>
      </c>
      <c r="E2345" s="24">
        <f>IFERROR(__xludf.DUMMYFUNCTION("""COMPUTED_VALUE"""),67.0)</f>
        <v>67</v>
      </c>
      <c r="F2345" s="27" t="str">
        <f>IFERROR(__xludf.DUMMYFUNCTION("""COMPUTED_VALUE"""),"BLACK")</f>
        <v>BLACK</v>
      </c>
      <c r="G2345" s="28" t="str">
        <f>IFERROR(__xludf.DUMMYFUNCTION("""COMPUTED_VALUE"""),"First Times a Charm Cider")</f>
        <v>First Times a Charm Cider</v>
      </c>
      <c r="H2345" s="27" t="str">
        <f>IFERROR(__xludf.DUMMYFUNCTION("""COMPUTED_VALUE"""),"")</f>
        <v/>
      </c>
    </row>
    <row r="2346">
      <c r="A2346" s="17"/>
      <c r="B2346" s="23"/>
      <c r="C2346" s="17">
        <f>IFERROR(__xludf.DUMMYFUNCTION("""COMPUTED_VALUE"""),43528.623045162)</f>
        <v>43528.62305</v>
      </c>
      <c r="D2346" s="23">
        <f>IFERROR(__xludf.DUMMYFUNCTION("""COMPUTED_VALUE"""),1.058)</f>
        <v>1.058</v>
      </c>
      <c r="E2346" s="24">
        <f>IFERROR(__xludf.DUMMYFUNCTION("""COMPUTED_VALUE"""),67.0)</f>
        <v>67</v>
      </c>
      <c r="F2346" s="27" t="str">
        <f>IFERROR(__xludf.DUMMYFUNCTION("""COMPUTED_VALUE"""),"BLACK")</f>
        <v>BLACK</v>
      </c>
      <c r="G2346" s="28" t="str">
        <f>IFERROR(__xludf.DUMMYFUNCTION("""COMPUTED_VALUE"""),"First Times a Charm Cider")</f>
        <v>First Times a Charm Cider</v>
      </c>
      <c r="H2346" s="27" t="str">
        <f>IFERROR(__xludf.DUMMYFUNCTION("""COMPUTED_VALUE"""),"")</f>
        <v/>
      </c>
    </row>
    <row r="2347">
      <c r="A2347" s="17"/>
      <c r="B2347" s="23"/>
      <c r="C2347" s="17">
        <f>IFERROR(__xludf.DUMMYFUNCTION("""COMPUTED_VALUE"""),43528.6126226041)</f>
        <v>43528.61262</v>
      </c>
      <c r="D2347" s="23">
        <f>IFERROR(__xludf.DUMMYFUNCTION("""COMPUTED_VALUE"""),1.059)</f>
        <v>1.059</v>
      </c>
      <c r="E2347" s="24">
        <f>IFERROR(__xludf.DUMMYFUNCTION("""COMPUTED_VALUE"""),67.0)</f>
        <v>67</v>
      </c>
      <c r="F2347" s="27" t="str">
        <f>IFERROR(__xludf.DUMMYFUNCTION("""COMPUTED_VALUE"""),"BLACK")</f>
        <v>BLACK</v>
      </c>
      <c r="G2347" s="28" t="str">
        <f>IFERROR(__xludf.DUMMYFUNCTION("""COMPUTED_VALUE"""),"First Times a Charm Cider")</f>
        <v>First Times a Charm Cider</v>
      </c>
      <c r="H2347" s="27" t="str">
        <f>IFERROR(__xludf.DUMMYFUNCTION("""COMPUTED_VALUE"""),"")</f>
        <v/>
      </c>
    </row>
    <row r="2348">
      <c r="A2348" s="17"/>
      <c r="B2348" s="23"/>
      <c r="C2348" s="17">
        <f>IFERROR(__xludf.DUMMYFUNCTION("""COMPUTED_VALUE"""),43528.60220353)</f>
        <v>43528.6022</v>
      </c>
      <c r="D2348" s="23">
        <f>IFERROR(__xludf.DUMMYFUNCTION("""COMPUTED_VALUE"""),1.058)</f>
        <v>1.058</v>
      </c>
      <c r="E2348" s="24">
        <f>IFERROR(__xludf.DUMMYFUNCTION("""COMPUTED_VALUE"""),67.0)</f>
        <v>67</v>
      </c>
      <c r="F2348" s="27" t="str">
        <f>IFERROR(__xludf.DUMMYFUNCTION("""COMPUTED_VALUE"""),"BLACK")</f>
        <v>BLACK</v>
      </c>
      <c r="G2348" s="28" t="str">
        <f>IFERROR(__xludf.DUMMYFUNCTION("""COMPUTED_VALUE"""),"First Times a Charm Cider")</f>
        <v>First Times a Charm Cider</v>
      </c>
      <c r="H2348" s="27" t="str">
        <f>IFERROR(__xludf.DUMMYFUNCTION("""COMPUTED_VALUE"""),"")</f>
        <v/>
      </c>
    </row>
    <row r="2349">
      <c r="A2349" s="17"/>
      <c r="B2349" s="23"/>
      <c r="C2349" s="17">
        <f>IFERROR(__xludf.DUMMYFUNCTION("""COMPUTED_VALUE"""),43528.5605052893)</f>
        <v>43528.56051</v>
      </c>
      <c r="D2349" s="23">
        <f>IFERROR(__xludf.DUMMYFUNCTION("""COMPUTED_VALUE"""),1.059)</f>
        <v>1.059</v>
      </c>
      <c r="E2349" s="24">
        <f>IFERROR(__xludf.DUMMYFUNCTION("""COMPUTED_VALUE"""),67.0)</f>
        <v>67</v>
      </c>
      <c r="F2349" s="27" t="str">
        <f>IFERROR(__xludf.DUMMYFUNCTION("""COMPUTED_VALUE"""),"BLACK")</f>
        <v>BLACK</v>
      </c>
      <c r="G2349" s="28" t="str">
        <f>IFERROR(__xludf.DUMMYFUNCTION("""COMPUTED_VALUE"""),"First Times a Charm Cider")</f>
        <v>First Times a Charm Cider</v>
      </c>
      <c r="H2349" s="27" t="str">
        <f>IFERROR(__xludf.DUMMYFUNCTION("""COMPUTED_VALUE"""),"")</f>
        <v/>
      </c>
    </row>
    <row r="2350">
      <c r="A2350" s="17"/>
      <c r="B2350" s="23"/>
      <c r="C2350" s="17">
        <f>IFERROR(__xludf.DUMMYFUNCTION("""COMPUTED_VALUE"""),43528.5396632754)</f>
        <v>43528.53966</v>
      </c>
      <c r="D2350" s="23">
        <f>IFERROR(__xludf.DUMMYFUNCTION("""COMPUTED_VALUE"""),1.059)</f>
        <v>1.059</v>
      </c>
      <c r="E2350" s="24">
        <f>IFERROR(__xludf.DUMMYFUNCTION("""COMPUTED_VALUE"""),67.0)</f>
        <v>67</v>
      </c>
      <c r="F2350" s="27" t="str">
        <f>IFERROR(__xludf.DUMMYFUNCTION("""COMPUTED_VALUE"""),"BLACK")</f>
        <v>BLACK</v>
      </c>
      <c r="G2350" s="28" t="str">
        <f>IFERROR(__xludf.DUMMYFUNCTION("""COMPUTED_VALUE"""),"First Times a Charm Cider")</f>
        <v>First Times a Charm Cider</v>
      </c>
      <c r="H2350" s="27" t="str">
        <f>IFERROR(__xludf.DUMMYFUNCTION("""COMPUTED_VALUE"""),"")</f>
        <v/>
      </c>
    </row>
    <row r="2351">
      <c r="A2351" s="17"/>
      <c r="B2351" s="23"/>
      <c r="C2351" s="17">
        <f>IFERROR(__xludf.DUMMYFUNCTION("""COMPUTED_VALUE"""),43528.5188090856)</f>
        <v>43528.51881</v>
      </c>
      <c r="D2351" s="23">
        <f>IFERROR(__xludf.DUMMYFUNCTION("""COMPUTED_VALUE"""),1.059)</f>
        <v>1.059</v>
      </c>
      <c r="E2351" s="24">
        <f>IFERROR(__xludf.DUMMYFUNCTION("""COMPUTED_VALUE"""),67.0)</f>
        <v>67</v>
      </c>
      <c r="F2351" s="27" t="str">
        <f>IFERROR(__xludf.DUMMYFUNCTION("""COMPUTED_VALUE"""),"BLACK")</f>
        <v>BLACK</v>
      </c>
      <c r="G2351" s="28" t="str">
        <f>IFERROR(__xludf.DUMMYFUNCTION("""COMPUTED_VALUE"""),"First Times a Charm Cider")</f>
        <v>First Times a Charm Cider</v>
      </c>
      <c r="H2351" s="27" t="str">
        <f>IFERROR(__xludf.DUMMYFUNCTION("""COMPUTED_VALUE"""),"")</f>
        <v/>
      </c>
    </row>
    <row r="2352">
      <c r="A2352" s="17"/>
      <c r="B2352" s="23"/>
      <c r="C2352" s="17">
        <f>IFERROR(__xludf.DUMMYFUNCTION("""COMPUTED_VALUE"""),43528.508375787)</f>
        <v>43528.50838</v>
      </c>
      <c r="D2352" s="23">
        <f>IFERROR(__xludf.DUMMYFUNCTION("""COMPUTED_VALUE"""),1.059)</f>
        <v>1.059</v>
      </c>
      <c r="E2352" s="24">
        <f>IFERROR(__xludf.DUMMYFUNCTION("""COMPUTED_VALUE"""),67.0)</f>
        <v>67</v>
      </c>
      <c r="F2352" s="27" t="str">
        <f>IFERROR(__xludf.DUMMYFUNCTION("""COMPUTED_VALUE"""),"BLACK")</f>
        <v>BLACK</v>
      </c>
      <c r="G2352" s="28" t="str">
        <f>IFERROR(__xludf.DUMMYFUNCTION("""COMPUTED_VALUE"""),"First Times a Charm Cider")</f>
        <v>First Times a Charm Cider</v>
      </c>
      <c r="H2352" s="27" t="str">
        <f>IFERROR(__xludf.DUMMYFUNCTION("""COMPUTED_VALUE"""),"")</f>
        <v/>
      </c>
    </row>
    <row r="2353">
      <c r="A2353" s="17"/>
      <c r="B2353" s="23"/>
      <c r="C2353" s="17">
        <f>IFERROR(__xludf.DUMMYFUNCTION("""COMPUTED_VALUE"""),43528.4979432291)</f>
        <v>43528.49794</v>
      </c>
      <c r="D2353" s="23">
        <f>IFERROR(__xludf.DUMMYFUNCTION("""COMPUTED_VALUE"""),1.059)</f>
        <v>1.059</v>
      </c>
      <c r="E2353" s="24">
        <f>IFERROR(__xludf.DUMMYFUNCTION("""COMPUTED_VALUE"""),67.0)</f>
        <v>67</v>
      </c>
      <c r="F2353" s="27" t="str">
        <f>IFERROR(__xludf.DUMMYFUNCTION("""COMPUTED_VALUE"""),"BLACK")</f>
        <v>BLACK</v>
      </c>
      <c r="G2353" s="28" t="str">
        <f>IFERROR(__xludf.DUMMYFUNCTION("""COMPUTED_VALUE"""),"First Times a Charm Cider")</f>
        <v>First Times a Charm Cider</v>
      </c>
      <c r="H2353" s="27" t="str">
        <f>IFERROR(__xludf.DUMMYFUNCTION("""COMPUTED_VALUE"""),"")</f>
        <v/>
      </c>
    </row>
    <row r="2354">
      <c r="A2354" s="17"/>
      <c r="B2354" s="23"/>
      <c r="C2354" s="17">
        <f>IFERROR(__xludf.DUMMYFUNCTION("""COMPUTED_VALUE"""),43528.4875217939)</f>
        <v>43528.48752</v>
      </c>
      <c r="D2354" s="23">
        <f>IFERROR(__xludf.DUMMYFUNCTION("""COMPUTED_VALUE"""),1.059)</f>
        <v>1.059</v>
      </c>
      <c r="E2354" s="24">
        <f>IFERROR(__xludf.DUMMYFUNCTION("""COMPUTED_VALUE"""),67.0)</f>
        <v>67</v>
      </c>
      <c r="F2354" s="27" t="str">
        <f>IFERROR(__xludf.DUMMYFUNCTION("""COMPUTED_VALUE"""),"BLACK")</f>
        <v>BLACK</v>
      </c>
      <c r="G2354" s="28" t="str">
        <f>IFERROR(__xludf.DUMMYFUNCTION("""COMPUTED_VALUE"""),"First Times a Charm Cider")</f>
        <v>First Times a Charm Cider</v>
      </c>
      <c r="H2354" s="27" t="str">
        <f>IFERROR(__xludf.DUMMYFUNCTION("""COMPUTED_VALUE"""),"")</f>
        <v/>
      </c>
    </row>
    <row r="2355">
      <c r="A2355" s="17"/>
      <c r="B2355" s="23"/>
      <c r="C2355" s="17">
        <f>IFERROR(__xludf.DUMMYFUNCTION("""COMPUTED_VALUE"""),43528.4770644444)</f>
        <v>43528.47706</v>
      </c>
      <c r="D2355" s="23">
        <f>IFERROR(__xludf.DUMMYFUNCTION("""COMPUTED_VALUE"""),1.059)</f>
        <v>1.059</v>
      </c>
      <c r="E2355" s="24">
        <f>IFERROR(__xludf.DUMMYFUNCTION("""COMPUTED_VALUE"""),67.0)</f>
        <v>67</v>
      </c>
      <c r="F2355" s="27" t="str">
        <f>IFERROR(__xludf.DUMMYFUNCTION("""COMPUTED_VALUE"""),"BLACK")</f>
        <v>BLACK</v>
      </c>
      <c r="G2355" s="28" t="str">
        <f>IFERROR(__xludf.DUMMYFUNCTION("""COMPUTED_VALUE"""),"First Times a Charm Cider")</f>
        <v>First Times a Charm Cider</v>
      </c>
      <c r="H2355" s="27" t="str">
        <f>IFERROR(__xludf.DUMMYFUNCTION("""COMPUTED_VALUE"""),"")</f>
        <v/>
      </c>
    </row>
    <row r="2356">
      <c r="A2356" s="17"/>
      <c r="B2356" s="23"/>
      <c r="C2356" s="17">
        <f>IFERROR(__xludf.DUMMYFUNCTION("""COMPUTED_VALUE"""),43528.4666444328)</f>
        <v>43528.46664</v>
      </c>
      <c r="D2356" s="23">
        <f>IFERROR(__xludf.DUMMYFUNCTION("""COMPUTED_VALUE"""),1.059)</f>
        <v>1.059</v>
      </c>
      <c r="E2356" s="24">
        <f>IFERROR(__xludf.DUMMYFUNCTION("""COMPUTED_VALUE"""),67.0)</f>
        <v>67</v>
      </c>
      <c r="F2356" s="27" t="str">
        <f>IFERROR(__xludf.DUMMYFUNCTION("""COMPUTED_VALUE"""),"BLACK")</f>
        <v>BLACK</v>
      </c>
      <c r="G2356" s="28" t="str">
        <f>IFERROR(__xludf.DUMMYFUNCTION("""COMPUTED_VALUE"""),"First Times a Charm Cider")</f>
        <v>First Times a Charm Cider</v>
      </c>
      <c r="H2356" s="27" t="str">
        <f>IFERROR(__xludf.DUMMYFUNCTION("""COMPUTED_VALUE"""),"")</f>
        <v/>
      </c>
    </row>
    <row r="2357">
      <c r="A2357" s="17"/>
      <c r="B2357" s="23"/>
      <c r="C2357" s="17">
        <f>IFERROR(__xludf.DUMMYFUNCTION("""COMPUTED_VALUE"""),43528.4562110069)</f>
        <v>43528.45621</v>
      </c>
      <c r="D2357" s="23">
        <f>IFERROR(__xludf.DUMMYFUNCTION("""COMPUTED_VALUE"""),1.059)</f>
        <v>1.059</v>
      </c>
      <c r="E2357" s="24">
        <f>IFERROR(__xludf.DUMMYFUNCTION("""COMPUTED_VALUE"""),67.0)</f>
        <v>67</v>
      </c>
      <c r="F2357" s="27" t="str">
        <f>IFERROR(__xludf.DUMMYFUNCTION("""COMPUTED_VALUE"""),"BLACK")</f>
        <v>BLACK</v>
      </c>
      <c r="G2357" s="28" t="str">
        <f>IFERROR(__xludf.DUMMYFUNCTION("""COMPUTED_VALUE"""),"First Times a Charm Cider")</f>
        <v>First Times a Charm Cider</v>
      </c>
      <c r="H2357" s="27" t="str">
        <f>IFERROR(__xludf.DUMMYFUNCTION("""COMPUTED_VALUE"""),"")</f>
        <v/>
      </c>
    </row>
    <row r="2358">
      <c r="A2358" s="17"/>
      <c r="B2358" s="23"/>
      <c r="C2358" s="17">
        <f>IFERROR(__xludf.DUMMYFUNCTION("""COMPUTED_VALUE"""),43528.4353675694)</f>
        <v>43528.43537</v>
      </c>
      <c r="D2358" s="23">
        <f>IFERROR(__xludf.DUMMYFUNCTION("""COMPUTED_VALUE"""),1.059)</f>
        <v>1.059</v>
      </c>
      <c r="E2358" s="24">
        <f>IFERROR(__xludf.DUMMYFUNCTION("""COMPUTED_VALUE"""),67.0)</f>
        <v>67</v>
      </c>
      <c r="F2358" s="27" t="str">
        <f>IFERROR(__xludf.DUMMYFUNCTION("""COMPUTED_VALUE"""),"BLACK")</f>
        <v>BLACK</v>
      </c>
      <c r="G2358" s="28" t="str">
        <f>IFERROR(__xludf.DUMMYFUNCTION("""COMPUTED_VALUE"""),"First Times a Charm Cider")</f>
        <v>First Times a Charm Cider</v>
      </c>
      <c r="H2358" s="27" t="str">
        <f>IFERROR(__xludf.DUMMYFUNCTION("""COMPUTED_VALUE"""),"")</f>
        <v/>
      </c>
    </row>
    <row r="2359">
      <c r="A2359" s="17"/>
      <c r="B2359" s="23"/>
      <c r="C2359" s="17">
        <f>IFERROR(__xludf.DUMMYFUNCTION("""COMPUTED_VALUE"""),43528.4145141898)</f>
        <v>43528.41451</v>
      </c>
      <c r="D2359" s="23">
        <f>IFERROR(__xludf.DUMMYFUNCTION("""COMPUTED_VALUE"""),1.059)</f>
        <v>1.059</v>
      </c>
      <c r="E2359" s="24">
        <f>IFERROR(__xludf.DUMMYFUNCTION("""COMPUTED_VALUE"""),67.0)</f>
        <v>67</v>
      </c>
      <c r="F2359" s="27" t="str">
        <f>IFERROR(__xludf.DUMMYFUNCTION("""COMPUTED_VALUE"""),"BLACK")</f>
        <v>BLACK</v>
      </c>
      <c r="G2359" s="28" t="str">
        <f>IFERROR(__xludf.DUMMYFUNCTION("""COMPUTED_VALUE"""),"First Times a Charm Cider")</f>
        <v>First Times a Charm Cider</v>
      </c>
      <c r="H2359" s="27" t="str">
        <f>IFERROR(__xludf.DUMMYFUNCTION("""COMPUTED_VALUE"""),"")</f>
        <v/>
      </c>
    </row>
    <row r="2360">
      <c r="A2360" s="17"/>
      <c r="B2360" s="23"/>
      <c r="C2360" s="17">
        <f>IFERROR(__xludf.DUMMYFUNCTION("""COMPUTED_VALUE"""),43528.3832175115)</f>
        <v>43528.38322</v>
      </c>
      <c r="D2360" s="23">
        <f>IFERROR(__xludf.DUMMYFUNCTION("""COMPUTED_VALUE"""),1.059)</f>
        <v>1.059</v>
      </c>
      <c r="E2360" s="24">
        <f>IFERROR(__xludf.DUMMYFUNCTION("""COMPUTED_VALUE"""),67.0)</f>
        <v>67</v>
      </c>
      <c r="F2360" s="27" t="str">
        <f>IFERROR(__xludf.DUMMYFUNCTION("""COMPUTED_VALUE"""),"BLACK")</f>
        <v>BLACK</v>
      </c>
      <c r="G2360" s="28" t="str">
        <f>IFERROR(__xludf.DUMMYFUNCTION("""COMPUTED_VALUE"""),"First Times a Charm Cider")</f>
        <v>First Times a Charm Cider</v>
      </c>
      <c r="H2360" s="27" t="str">
        <f>IFERROR(__xludf.DUMMYFUNCTION("""COMPUTED_VALUE"""),"")</f>
        <v/>
      </c>
    </row>
    <row r="2361">
      <c r="A2361" s="17"/>
      <c r="B2361" s="23"/>
      <c r="C2361" s="17">
        <f>IFERROR(__xludf.DUMMYFUNCTION("""COMPUTED_VALUE"""),43528.3519085185)</f>
        <v>43528.35191</v>
      </c>
      <c r="D2361" s="23">
        <f>IFERROR(__xludf.DUMMYFUNCTION("""COMPUTED_VALUE"""),1.06)</f>
        <v>1.06</v>
      </c>
      <c r="E2361" s="24">
        <f>IFERROR(__xludf.DUMMYFUNCTION("""COMPUTED_VALUE"""),68.0)</f>
        <v>68</v>
      </c>
      <c r="F2361" s="27" t="str">
        <f>IFERROR(__xludf.DUMMYFUNCTION("""COMPUTED_VALUE"""),"BLACK")</f>
        <v>BLACK</v>
      </c>
      <c r="G2361" s="28" t="str">
        <f>IFERROR(__xludf.DUMMYFUNCTION("""COMPUTED_VALUE"""),"First Times a Charm Cider")</f>
        <v>First Times a Charm Cider</v>
      </c>
      <c r="H2361" s="27" t="str">
        <f>IFERROR(__xludf.DUMMYFUNCTION("""COMPUTED_VALUE"""),"")</f>
        <v/>
      </c>
    </row>
    <row r="2362">
      <c r="A2362" s="17"/>
      <c r="B2362" s="23"/>
      <c r="C2362" s="17">
        <f>IFERROR(__xludf.DUMMYFUNCTION("""COMPUTED_VALUE"""),43528.3414870138)</f>
        <v>43528.34149</v>
      </c>
      <c r="D2362" s="23">
        <f>IFERROR(__xludf.DUMMYFUNCTION("""COMPUTED_VALUE"""),1.059)</f>
        <v>1.059</v>
      </c>
      <c r="E2362" s="24">
        <f>IFERROR(__xludf.DUMMYFUNCTION("""COMPUTED_VALUE"""),68.0)</f>
        <v>68</v>
      </c>
      <c r="F2362" s="27" t="str">
        <f>IFERROR(__xludf.DUMMYFUNCTION("""COMPUTED_VALUE"""),"BLACK")</f>
        <v>BLACK</v>
      </c>
      <c r="G2362" s="28" t="str">
        <f>IFERROR(__xludf.DUMMYFUNCTION("""COMPUTED_VALUE"""),"First Times a Charm Cider")</f>
        <v>First Times a Charm Cider</v>
      </c>
      <c r="H2362" s="27" t="str">
        <f>IFERROR(__xludf.DUMMYFUNCTION("""COMPUTED_VALUE"""),"")</f>
        <v/>
      </c>
    </row>
    <row r="2363">
      <c r="A2363" s="17"/>
      <c r="B2363" s="23"/>
      <c r="C2363" s="17">
        <f>IFERROR(__xludf.DUMMYFUNCTION("""COMPUTED_VALUE"""),43528.3310416087)</f>
        <v>43528.33104</v>
      </c>
      <c r="D2363" s="23">
        <f>IFERROR(__xludf.DUMMYFUNCTION("""COMPUTED_VALUE"""),1.06)</f>
        <v>1.06</v>
      </c>
      <c r="E2363" s="24">
        <f>IFERROR(__xludf.DUMMYFUNCTION("""COMPUTED_VALUE"""),68.0)</f>
        <v>68</v>
      </c>
      <c r="F2363" s="27" t="str">
        <f>IFERROR(__xludf.DUMMYFUNCTION("""COMPUTED_VALUE"""),"BLACK")</f>
        <v>BLACK</v>
      </c>
      <c r="G2363" s="28" t="str">
        <f>IFERROR(__xludf.DUMMYFUNCTION("""COMPUTED_VALUE"""),"First Times a Charm Cider")</f>
        <v>First Times a Charm Cider</v>
      </c>
      <c r="H2363" s="27" t="str">
        <f>IFERROR(__xludf.DUMMYFUNCTION("""COMPUTED_VALUE"""),"")</f>
        <v/>
      </c>
    </row>
    <row r="2364">
      <c r="A2364" s="17"/>
      <c r="B2364" s="23"/>
      <c r="C2364" s="17">
        <f>IFERROR(__xludf.DUMMYFUNCTION("""COMPUTED_VALUE"""),43528.2997556712)</f>
        <v>43528.29976</v>
      </c>
      <c r="D2364" s="23">
        <f>IFERROR(__xludf.DUMMYFUNCTION("""COMPUTED_VALUE"""),1.059)</f>
        <v>1.059</v>
      </c>
      <c r="E2364" s="24">
        <f>IFERROR(__xludf.DUMMYFUNCTION("""COMPUTED_VALUE"""),68.0)</f>
        <v>68</v>
      </c>
      <c r="F2364" s="27" t="str">
        <f>IFERROR(__xludf.DUMMYFUNCTION("""COMPUTED_VALUE"""),"BLACK")</f>
        <v>BLACK</v>
      </c>
      <c r="G2364" s="28" t="str">
        <f>IFERROR(__xludf.DUMMYFUNCTION("""COMPUTED_VALUE"""),"First Times a Charm Cider")</f>
        <v>First Times a Charm Cider</v>
      </c>
      <c r="H2364" s="27" t="str">
        <f>IFERROR(__xludf.DUMMYFUNCTION("""COMPUTED_VALUE"""),"")</f>
        <v/>
      </c>
    </row>
    <row r="2365">
      <c r="A2365" s="17"/>
      <c r="B2365" s="23"/>
      <c r="C2365" s="17">
        <f>IFERROR(__xludf.DUMMYFUNCTION("""COMPUTED_VALUE"""),43528.289335405)</f>
        <v>43528.28934</v>
      </c>
      <c r="D2365" s="23">
        <f>IFERROR(__xludf.DUMMYFUNCTION("""COMPUTED_VALUE"""),1.06)</f>
        <v>1.06</v>
      </c>
      <c r="E2365" s="24">
        <f>IFERROR(__xludf.DUMMYFUNCTION("""COMPUTED_VALUE"""),68.0)</f>
        <v>68</v>
      </c>
      <c r="F2365" s="27" t="str">
        <f>IFERROR(__xludf.DUMMYFUNCTION("""COMPUTED_VALUE"""),"BLACK")</f>
        <v>BLACK</v>
      </c>
      <c r="G2365" s="28" t="str">
        <f>IFERROR(__xludf.DUMMYFUNCTION("""COMPUTED_VALUE"""),"First Times a Charm Cider")</f>
        <v>First Times a Charm Cider</v>
      </c>
      <c r="H2365" s="27" t="str">
        <f>IFERROR(__xludf.DUMMYFUNCTION("""COMPUTED_VALUE"""),"")</f>
        <v/>
      </c>
    </row>
    <row r="2366">
      <c r="A2366" s="17"/>
      <c r="B2366" s="23"/>
      <c r="C2366" s="17">
        <f>IFERROR(__xludf.DUMMYFUNCTION("""COMPUTED_VALUE"""),43528.2684798495)</f>
        <v>43528.26848</v>
      </c>
      <c r="D2366" s="23">
        <f>IFERROR(__xludf.DUMMYFUNCTION("""COMPUTED_VALUE"""),1.06)</f>
        <v>1.06</v>
      </c>
      <c r="E2366" s="24">
        <f>IFERROR(__xludf.DUMMYFUNCTION("""COMPUTED_VALUE"""),68.0)</f>
        <v>68</v>
      </c>
      <c r="F2366" s="27" t="str">
        <f>IFERROR(__xludf.DUMMYFUNCTION("""COMPUTED_VALUE"""),"BLACK")</f>
        <v>BLACK</v>
      </c>
      <c r="G2366" s="28" t="str">
        <f>IFERROR(__xludf.DUMMYFUNCTION("""COMPUTED_VALUE"""),"First Times a Charm Cider")</f>
        <v>First Times a Charm Cider</v>
      </c>
      <c r="H2366" s="27" t="str">
        <f>IFERROR(__xludf.DUMMYFUNCTION("""COMPUTED_VALUE"""),"")</f>
        <v/>
      </c>
    </row>
    <row r="2367">
      <c r="A2367" s="17"/>
      <c r="B2367" s="23"/>
      <c r="C2367" s="17">
        <f>IFERROR(__xludf.DUMMYFUNCTION("""COMPUTED_VALUE"""),43528.2476376157)</f>
        <v>43528.24764</v>
      </c>
      <c r="D2367" s="23">
        <f>IFERROR(__xludf.DUMMYFUNCTION("""COMPUTED_VALUE"""),1.06)</f>
        <v>1.06</v>
      </c>
      <c r="E2367" s="24">
        <f>IFERROR(__xludf.DUMMYFUNCTION("""COMPUTED_VALUE"""),68.0)</f>
        <v>68</v>
      </c>
      <c r="F2367" s="27" t="str">
        <f>IFERROR(__xludf.DUMMYFUNCTION("""COMPUTED_VALUE"""),"BLACK")</f>
        <v>BLACK</v>
      </c>
      <c r="G2367" s="28" t="str">
        <f>IFERROR(__xludf.DUMMYFUNCTION("""COMPUTED_VALUE"""),"First Times a Charm Cider")</f>
        <v>First Times a Charm Cider</v>
      </c>
      <c r="H2367" s="27" t="str">
        <f>IFERROR(__xludf.DUMMYFUNCTION("""COMPUTED_VALUE"""),"")</f>
        <v/>
      </c>
    </row>
    <row r="2368">
      <c r="A2368" s="17"/>
      <c r="B2368" s="23"/>
      <c r="C2368" s="17">
        <f>IFERROR(__xludf.DUMMYFUNCTION("""COMPUTED_VALUE"""),43528.2059396296)</f>
        <v>43528.20594</v>
      </c>
      <c r="D2368" s="23">
        <f>IFERROR(__xludf.DUMMYFUNCTION("""COMPUTED_VALUE"""),1.06)</f>
        <v>1.06</v>
      </c>
      <c r="E2368" s="24">
        <f>IFERROR(__xludf.DUMMYFUNCTION("""COMPUTED_VALUE"""),68.0)</f>
        <v>68</v>
      </c>
      <c r="F2368" s="27" t="str">
        <f>IFERROR(__xludf.DUMMYFUNCTION("""COMPUTED_VALUE"""),"BLACK")</f>
        <v>BLACK</v>
      </c>
      <c r="G2368" s="28" t="str">
        <f>IFERROR(__xludf.DUMMYFUNCTION("""COMPUTED_VALUE"""),"First Times a Charm Cider")</f>
        <v>First Times a Charm Cider</v>
      </c>
      <c r="H2368" s="27" t="str">
        <f>IFERROR(__xludf.DUMMYFUNCTION("""COMPUTED_VALUE"""),"")</f>
        <v/>
      </c>
    </row>
    <row r="2369">
      <c r="A2369" s="17"/>
      <c r="B2369" s="23"/>
      <c r="C2369" s="17">
        <f>IFERROR(__xludf.DUMMYFUNCTION("""COMPUTED_VALUE"""),43528.1955181828)</f>
        <v>43528.19552</v>
      </c>
      <c r="D2369" s="23">
        <f>IFERROR(__xludf.DUMMYFUNCTION("""COMPUTED_VALUE"""),1.06)</f>
        <v>1.06</v>
      </c>
      <c r="E2369" s="24">
        <f>IFERROR(__xludf.DUMMYFUNCTION("""COMPUTED_VALUE"""),68.0)</f>
        <v>68</v>
      </c>
      <c r="F2369" s="27" t="str">
        <f>IFERROR(__xludf.DUMMYFUNCTION("""COMPUTED_VALUE"""),"BLACK")</f>
        <v>BLACK</v>
      </c>
      <c r="G2369" s="28" t="str">
        <f>IFERROR(__xludf.DUMMYFUNCTION("""COMPUTED_VALUE"""),"First Times a Charm Cider")</f>
        <v>First Times a Charm Cider</v>
      </c>
      <c r="H2369" s="27" t="str">
        <f>IFERROR(__xludf.DUMMYFUNCTION("""COMPUTED_VALUE"""),"")</f>
        <v/>
      </c>
    </row>
    <row r="2370">
      <c r="A2370" s="17"/>
      <c r="B2370" s="23"/>
      <c r="C2370" s="17">
        <f>IFERROR(__xludf.DUMMYFUNCTION("""COMPUTED_VALUE"""),43528.16423125)</f>
        <v>43528.16423</v>
      </c>
      <c r="D2370" s="23">
        <f>IFERROR(__xludf.DUMMYFUNCTION("""COMPUTED_VALUE"""),1.06)</f>
        <v>1.06</v>
      </c>
      <c r="E2370" s="24">
        <f>IFERROR(__xludf.DUMMYFUNCTION("""COMPUTED_VALUE"""),69.0)</f>
        <v>69</v>
      </c>
      <c r="F2370" s="27" t="str">
        <f>IFERROR(__xludf.DUMMYFUNCTION("""COMPUTED_VALUE"""),"BLACK")</f>
        <v>BLACK</v>
      </c>
      <c r="G2370" s="28" t="str">
        <f>IFERROR(__xludf.DUMMYFUNCTION("""COMPUTED_VALUE"""),"First Times a Charm Cider")</f>
        <v>First Times a Charm Cider</v>
      </c>
      <c r="H2370" s="27" t="str">
        <f>IFERROR(__xludf.DUMMYFUNCTION("""COMPUTED_VALUE"""),"")</f>
        <v/>
      </c>
    </row>
    <row r="2371">
      <c r="A2371" s="17"/>
      <c r="B2371" s="23"/>
      <c r="C2371" s="17">
        <f>IFERROR(__xludf.DUMMYFUNCTION("""COMPUTED_VALUE"""),43528.1537990856)</f>
        <v>43528.1538</v>
      </c>
      <c r="D2371" s="23">
        <f>IFERROR(__xludf.DUMMYFUNCTION("""COMPUTED_VALUE"""),1.06)</f>
        <v>1.06</v>
      </c>
      <c r="E2371" s="24">
        <f>IFERROR(__xludf.DUMMYFUNCTION("""COMPUTED_VALUE"""),69.0)</f>
        <v>69</v>
      </c>
      <c r="F2371" s="27" t="str">
        <f>IFERROR(__xludf.DUMMYFUNCTION("""COMPUTED_VALUE"""),"BLACK")</f>
        <v>BLACK</v>
      </c>
      <c r="G2371" s="28" t="str">
        <f>IFERROR(__xludf.DUMMYFUNCTION("""COMPUTED_VALUE"""),"First Times a Charm Cider")</f>
        <v>First Times a Charm Cider</v>
      </c>
      <c r="H2371" s="27" t="str">
        <f>IFERROR(__xludf.DUMMYFUNCTION("""COMPUTED_VALUE"""),"")</f>
        <v/>
      </c>
    </row>
    <row r="2372">
      <c r="A2372" s="17"/>
      <c r="B2372" s="23"/>
      <c r="C2372" s="17">
        <f>IFERROR(__xludf.DUMMYFUNCTION("""COMPUTED_VALUE"""),43528.1225333449)</f>
        <v>43528.12253</v>
      </c>
      <c r="D2372" s="23">
        <f>IFERROR(__xludf.DUMMYFUNCTION("""COMPUTED_VALUE"""),1.06)</f>
        <v>1.06</v>
      </c>
      <c r="E2372" s="24">
        <f>IFERROR(__xludf.DUMMYFUNCTION("""COMPUTED_VALUE"""),69.0)</f>
        <v>69</v>
      </c>
      <c r="F2372" s="27" t="str">
        <f>IFERROR(__xludf.DUMMYFUNCTION("""COMPUTED_VALUE"""),"BLACK")</f>
        <v>BLACK</v>
      </c>
      <c r="G2372" s="28" t="str">
        <f>IFERROR(__xludf.DUMMYFUNCTION("""COMPUTED_VALUE"""),"First Times a Charm Cider")</f>
        <v>First Times a Charm Cider</v>
      </c>
      <c r="H2372" s="27" t="str">
        <f>IFERROR(__xludf.DUMMYFUNCTION("""COMPUTED_VALUE"""),"")</f>
        <v/>
      </c>
    </row>
    <row r="2373">
      <c r="A2373" s="17"/>
      <c r="B2373" s="23"/>
      <c r="C2373" s="17">
        <f>IFERROR(__xludf.DUMMYFUNCTION("""COMPUTED_VALUE"""),43528.1121116088)</f>
        <v>43528.11211</v>
      </c>
      <c r="D2373" s="23">
        <f>IFERROR(__xludf.DUMMYFUNCTION("""COMPUTED_VALUE"""),1.06)</f>
        <v>1.06</v>
      </c>
      <c r="E2373" s="24">
        <f>IFERROR(__xludf.DUMMYFUNCTION("""COMPUTED_VALUE"""),69.0)</f>
        <v>69</v>
      </c>
      <c r="F2373" s="27" t="str">
        <f>IFERROR(__xludf.DUMMYFUNCTION("""COMPUTED_VALUE"""),"BLACK")</f>
        <v>BLACK</v>
      </c>
      <c r="G2373" s="28" t="str">
        <f>IFERROR(__xludf.DUMMYFUNCTION("""COMPUTED_VALUE"""),"First Times a Charm Cider")</f>
        <v>First Times a Charm Cider</v>
      </c>
      <c r="H2373" s="27" t="str">
        <f>IFERROR(__xludf.DUMMYFUNCTION("""COMPUTED_VALUE"""),"")</f>
        <v/>
      </c>
    </row>
    <row r="2374">
      <c r="A2374" s="17"/>
      <c r="B2374" s="23"/>
      <c r="C2374" s="17">
        <f>IFERROR(__xludf.DUMMYFUNCTION("""COMPUTED_VALUE"""),43528.0808491666)</f>
        <v>43528.08085</v>
      </c>
      <c r="D2374" s="23">
        <f>IFERROR(__xludf.DUMMYFUNCTION("""COMPUTED_VALUE"""),1.06)</f>
        <v>1.06</v>
      </c>
      <c r="E2374" s="24">
        <f>IFERROR(__xludf.DUMMYFUNCTION("""COMPUTED_VALUE"""),69.0)</f>
        <v>69</v>
      </c>
      <c r="F2374" s="27" t="str">
        <f>IFERROR(__xludf.DUMMYFUNCTION("""COMPUTED_VALUE"""),"BLACK")</f>
        <v>BLACK</v>
      </c>
      <c r="G2374" s="28" t="str">
        <f>IFERROR(__xludf.DUMMYFUNCTION("""COMPUTED_VALUE"""),"First Times a Charm Cider")</f>
        <v>First Times a Charm Cider</v>
      </c>
      <c r="H2374" s="27" t="str">
        <f>IFERROR(__xludf.DUMMYFUNCTION("""COMPUTED_VALUE"""),"")</f>
        <v/>
      </c>
    </row>
    <row r="2375">
      <c r="A2375" s="17"/>
      <c r="B2375" s="23"/>
      <c r="C2375" s="17">
        <f>IFERROR(__xludf.DUMMYFUNCTION("""COMPUTED_VALUE"""),43528.0599844213)</f>
        <v>43528.05998</v>
      </c>
      <c r="D2375" s="23">
        <f>IFERROR(__xludf.DUMMYFUNCTION("""COMPUTED_VALUE"""),1.06)</f>
        <v>1.06</v>
      </c>
      <c r="E2375" s="24">
        <f>IFERROR(__xludf.DUMMYFUNCTION("""COMPUTED_VALUE"""),69.0)</f>
        <v>69</v>
      </c>
      <c r="F2375" s="27" t="str">
        <f>IFERROR(__xludf.DUMMYFUNCTION("""COMPUTED_VALUE"""),"BLACK")</f>
        <v>BLACK</v>
      </c>
      <c r="G2375" s="28" t="str">
        <f>IFERROR(__xludf.DUMMYFUNCTION("""COMPUTED_VALUE"""),"First Times a Charm Cider")</f>
        <v>First Times a Charm Cider</v>
      </c>
      <c r="H2375" s="27" t="str">
        <f>IFERROR(__xludf.DUMMYFUNCTION("""COMPUTED_VALUE"""),"")</f>
        <v/>
      </c>
    </row>
    <row r="2376">
      <c r="A2376" s="17"/>
      <c r="B2376" s="23"/>
      <c r="C2376" s="17">
        <f>IFERROR(__xludf.DUMMYFUNCTION("""COMPUTED_VALUE"""),43528.0495659953)</f>
        <v>43528.04957</v>
      </c>
      <c r="D2376" s="23">
        <f>IFERROR(__xludf.DUMMYFUNCTION("""COMPUTED_VALUE"""),1.06)</f>
        <v>1.06</v>
      </c>
      <c r="E2376" s="24">
        <f>IFERROR(__xludf.DUMMYFUNCTION("""COMPUTED_VALUE"""),69.0)</f>
        <v>69</v>
      </c>
      <c r="F2376" s="27" t="str">
        <f>IFERROR(__xludf.DUMMYFUNCTION("""COMPUTED_VALUE"""),"BLACK")</f>
        <v>BLACK</v>
      </c>
      <c r="G2376" s="28" t="str">
        <f>IFERROR(__xludf.DUMMYFUNCTION("""COMPUTED_VALUE"""),"First Times a Charm Cider")</f>
        <v>First Times a Charm Cider</v>
      </c>
      <c r="H2376" s="27" t="str">
        <f>IFERROR(__xludf.DUMMYFUNCTION("""COMPUTED_VALUE"""),"")</f>
        <v/>
      </c>
    </row>
    <row r="2377">
      <c r="A2377" s="17"/>
      <c r="B2377" s="23"/>
      <c r="C2377" s="17">
        <f>IFERROR(__xludf.DUMMYFUNCTION("""COMPUTED_VALUE"""),43528.0391436921)</f>
        <v>43528.03914</v>
      </c>
      <c r="D2377" s="23">
        <f>IFERROR(__xludf.DUMMYFUNCTION("""COMPUTED_VALUE"""),1.06)</f>
        <v>1.06</v>
      </c>
      <c r="E2377" s="24">
        <f>IFERROR(__xludf.DUMMYFUNCTION("""COMPUTED_VALUE"""),69.0)</f>
        <v>69</v>
      </c>
      <c r="F2377" s="27" t="str">
        <f>IFERROR(__xludf.DUMMYFUNCTION("""COMPUTED_VALUE"""),"BLACK")</f>
        <v>BLACK</v>
      </c>
      <c r="G2377" s="28" t="str">
        <f>IFERROR(__xludf.DUMMYFUNCTION("""COMPUTED_VALUE"""),"First Times a Charm Cider")</f>
        <v>First Times a Charm Cider</v>
      </c>
      <c r="H2377" s="27" t="str">
        <f>IFERROR(__xludf.DUMMYFUNCTION("""COMPUTED_VALUE"""),"")</f>
        <v/>
      </c>
    </row>
    <row r="2378">
      <c r="A2378" s="17"/>
      <c r="B2378" s="23"/>
      <c r="C2378" s="17">
        <f>IFERROR(__xludf.DUMMYFUNCTION("""COMPUTED_VALUE"""),43528.0182879513)</f>
        <v>43528.01829</v>
      </c>
      <c r="D2378" s="23">
        <f>IFERROR(__xludf.DUMMYFUNCTION("""COMPUTED_VALUE"""),1.06)</f>
        <v>1.06</v>
      </c>
      <c r="E2378" s="24">
        <f>IFERROR(__xludf.DUMMYFUNCTION("""COMPUTED_VALUE"""),69.0)</f>
        <v>69</v>
      </c>
      <c r="F2378" s="27" t="str">
        <f>IFERROR(__xludf.DUMMYFUNCTION("""COMPUTED_VALUE"""),"BLACK")</f>
        <v>BLACK</v>
      </c>
      <c r="G2378" s="28" t="str">
        <f>IFERROR(__xludf.DUMMYFUNCTION("""COMPUTED_VALUE"""),"First Times a Charm Cider")</f>
        <v>First Times a Charm Cider</v>
      </c>
      <c r="H2378" s="27" t="str">
        <f>IFERROR(__xludf.DUMMYFUNCTION("""COMPUTED_VALUE"""),"")</f>
        <v/>
      </c>
    </row>
    <row r="2379">
      <c r="A2379" s="17"/>
      <c r="B2379" s="23"/>
      <c r="C2379" s="17">
        <f>IFERROR(__xludf.DUMMYFUNCTION("""COMPUTED_VALUE"""),43528.0078560995)</f>
        <v>43528.00786</v>
      </c>
      <c r="D2379" s="23">
        <f>IFERROR(__xludf.DUMMYFUNCTION("""COMPUTED_VALUE"""),1.06)</f>
        <v>1.06</v>
      </c>
      <c r="E2379" s="24">
        <f>IFERROR(__xludf.DUMMYFUNCTION("""COMPUTED_VALUE"""),69.0)</f>
        <v>69</v>
      </c>
      <c r="F2379" s="27" t="str">
        <f>IFERROR(__xludf.DUMMYFUNCTION("""COMPUTED_VALUE"""),"BLACK")</f>
        <v>BLACK</v>
      </c>
      <c r="G2379" s="28" t="str">
        <f>IFERROR(__xludf.DUMMYFUNCTION("""COMPUTED_VALUE"""),"First Times a Charm Cider")</f>
        <v>First Times a Charm Cider</v>
      </c>
      <c r="H2379" s="27" t="str">
        <f>IFERROR(__xludf.DUMMYFUNCTION("""COMPUTED_VALUE"""),"")</f>
        <v/>
      </c>
    </row>
    <row r="2380">
      <c r="A2380" s="17"/>
      <c r="B2380" s="23"/>
      <c r="C2380" s="17">
        <f>IFERROR(__xludf.DUMMYFUNCTION("""COMPUTED_VALUE"""),43527.9869660532)</f>
        <v>43527.98697</v>
      </c>
      <c r="D2380" s="23">
        <f>IFERROR(__xludf.DUMMYFUNCTION("""COMPUTED_VALUE"""),1.061)</f>
        <v>1.061</v>
      </c>
      <c r="E2380" s="24">
        <f>IFERROR(__xludf.DUMMYFUNCTION("""COMPUTED_VALUE"""),69.0)</f>
        <v>69</v>
      </c>
      <c r="F2380" s="27" t="str">
        <f>IFERROR(__xludf.DUMMYFUNCTION("""COMPUTED_VALUE"""),"BLACK")</f>
        <v>BLACK</v>
      </c>
      <c r="G2380" s="28" t="str">
        <f>IFERROR(__xludf.DUMMYFUNCTION("""COMPUTED_VALUE"""),"First Times a Charm Cider")</f>
        <v>First Times a Charm Cider</v>
      </c>
      <c r="H2380" s="27" t="str">
        <f>IFERROR(__xludf.DUMMYFUNCTION("""COMPUTED_VALUE"""),"")</f>
        <v/>
      </c>
    </row>
    <row r="2381">
      <c r="A2381" s="17"/>
      <c r="B2381" s="23"/>
      <c r="C2381" s="17">
        <f>IFERROR(__xludf.DUMMYFUNCTION("""COMPUTED_VALUE"""),43527.9765448726)</f>
        <v>43527.97654</v>
      </c>
      <c r="D2381" s="23">
        <f>IFERROR(__xludf.DUMMYFUNCTION("""COMPUTED_VALUE"""),1.061)</f>
        <v>1.061</v>
      </c>
      <c r="E2381" s="24">
        <f>IFERROR(__xludf.DUMMYFUNCTION("""COMPUTED_VALUE"""),69.0)</f>
        <v>69</v>
      </c>
      <c r="F2381" s="27" t="str">
        <f>IFERROR(__xludf.DUMMYFUNCTION("""COMPUTED_VALUE"""),"BLACK")</f>
        <v>BLACK</v>
      </c>
      <c r="G2381" s="28" t="str">
        <f>IFERROR(__xludf.DUMMYFUNCTION("""COMPUTED_VALUE"""),"First Times a Charm Cider")</f>
        <v>First Times a Charm Cider</v>
      </c>
      <c r="H2381" s="27" t="str">
        <f>IFERROR(__xludf.DUMMYFUNCTION("""COMPUTED_VALUE"""),"")</f>
        <v/>
      </c>
    </row>
    <row r="2382">
      <c r="A2382" s="17"/>
      <c r="B2382" s="23"/>
      <c r="C2382" s="17">
        <f>IFERROR(__xludf.DUMMYFUNCTION("""COMPUTED_VALUE"""),43527.9661114583)</f>
        <v>43527.96611</v>
      </c>
      <c r="D2382" s="23">
        <f>IFERROR(__xludf.DUMMYFUNCTION("""COMPUTED_VALUE"""),1.061)</f>
        <v>1.061</v>
      </c>
      <c r="E2382" s="24">
        <f>IFERROR(__xludf.DUMMYFUNCTION("""COMPUTED_VALUE"""),69.0)</f>
        <v>69</v>
      </c>
      <c r="F2382" s="27" t="str">
        <f>IFERROR(__xludf.DUMMYFUNCTION("""COMPUTED_VALUE"""),"BLACK")</f>
        <v>BLACK</v>
      </c>
      <c r="G2382" s="28" t="str">
        <f>IFERROR(__xludf.DUMMYFUNCTION("""COMPUTED_VALUE"""),"First Times a Charm Cider")</f>
        <v>First Times a Charm Cider</v>
      </c>
      <c r="H2382" s="27" t="str">
        <f>IFERROR(__xludf.DUMMYFUNCTION("""COMPUTED_VALUE"""),"")</f>
        <v/>
      </c>
    </row>
    <row r="2383">
      <c r="A2383" s="17"/>
      <c r="B2383" s="23"/>
      <c r="C2383" s="17">
        <f>IFERROR(__xludf.DUMMYFUNCTION("""COMPUTED_VALUE"""),43527.9556801967)</f>
        <v>43527.95568</v>
      </c>
      <c r="D2383" s="23">
        <f>IFERROR(__xludf.DUMMYFUNCTION("""COMPUTED_VALUE"""),1.061)</f>
        <v>1.061</v>
      </c>
      <c r="E2383" s="24">
        <f>IFERROR(__xludf.DUMMYFUNCTION("""COMPUTED_VALUE"""),69.0)</f>
        <v>69</v>
      </c>
      <c r="F2383" s="27" t="str">
        <f>IFERROR(__xludf.DUMMYFUNCTION("""COMPUTED_VALUE"""),"BLACK")</f>
        <v>BLACK</v>
      </c>
      <c r="G2383" s="28" t="str">
        <f>IFERROR(__xludf.DUMMYFUNCTION("""COMPUTED_VALUE"""),"First Times a Charm Cider")</f>
        <v>First Times a Charm Cider</v>
      </c>
      <c r="H2383" s="27" t="str">
        <f>IFERROR(__xludf.DUMMYFUNCTION("""COMPUTED_VALUE"""),"")</f>
        <v/>
      </c>
    </row>
    <row r="2384">
      <c r="A2384" s="17"/>
      <c r="B2384" s="23"/>
      <c r="C2384" s="17">
        <f>IFERROR(__xludf.DUMMYFUNCTION("""COMPUTED_VALUE"""),43527.9452593055)</f>
        <v>43527.94526</v>
      </c>
      <c r="D2384" s="23">
        <f>IFERROR(__xludf.DUMMYFUNCTION("""COMPUTED_VALUE"""),1.061)</f>
        <v>1.061</v>
      </c>
      <c r="E2384" s="24">
        <f>IFERROR(__xludf.DUMMYFUNCTION("""COMPUTED_VALUE"""),69.0)</f>
        <v>69</v>
      </c>
      <c r="F2384" s="27" t="str">
        <f>IFERROR(__xludf.DUMMYFUNCTION("""COMPUTED_VALUE"""),"BLACK")</f>
        <v>BLACK</v>
      </c>
      <c r="G2384" s="28" t="str">
        <f>IFERROR(__xludf.DUMMYFUNCTION("""COMPUTED_VALUE"""),"First Times a Charm Cider")</f>
        <v>First Times a Charm Cider</v>
      </c>
      <c r="H2384" s="27" t="str">
        <f>IFERROR(__xludf.DUMMYFUNCTION("""COMPUTED_VALUE"""),"")</f>
        <v/>
      </c>
    </row>
    <row r="2385">
      <c r="A2385" s="17"/>
      <c r="B2385" s="23"/>
      <c r="C2385" s="17">
        <f>IFERROR(__xludf.DUMMYFUNCTION("""COMPUTED_VALUE"""),43527.9348376388)</f>
        <v>43527.93484</v>
      </c>
      <c r="D2385" s="23">
        <f>IFERROR(__xludf.DUMMYFUNCTION("""COMPUTED_VALUE"""),1.061)</f>
        <v>1.061</v>
      </c>
      <c r="E2385" s="24">
        <f>IFERROR(__xludf.DUMMYFUNCTION("""COMPUTED_VALUE"""),69.0)</f>
        <v>69</v>
      </c>
      <c r="F2385" s="27" t="str">
        <f>IFERROR(__xludf.DUMMYFUNCTION("""COMPUTED_VALUE"""),"BLACK")</f>
        <v>BLACK</v>
      </c>
      <c r="G2385" s="28" t="str">
        <f>IFERROR(__xludf.DUMMYFUNCTION("""COMPUTED_VALUE"""),"First Times a Charm Cider")</f>
        <v>First Times a Charm Cider</v>
      </c>
      <c r="H2385" s="27" t="str">
        <f>IFERROR(__xludf.DUMMYFUNCTION("""COMPUTED_VALUE"""),"")</f>
        <v/>
      </c>
    </row>
    <row r="2386">
      <c r="A2386" s="17"/>
      <c r="B2386" s="23"/>
      <c r="C2386" s="17">
        <f>IFERROR(__xludf.DUMMYFUNCTION("""COMPUTED_VALUE"""),43527.9244165046)</f>
        <v>43527.92442</v>
      </c>
      <c r="D2386" s="23">
        <f>IFERROR(__xludf.DUMMYFUNCTION("""COMPUTED_VALUE"""),1.061)</f>
        <v>1.061</v>
      </c>
      <c r="E2386" s="24">
        <f>IFERROR(__xludf.DUMMYFUNCTION("""COMPUTED_VALUE"""),69.0)</f>
        <v>69</v>
      </c>
      <c r="F2386" s="27" t="str">
        <f>IFERROR(__xludf.DUMMYFUNCTION("""COMPUTED_VALUE"""),"BLACK")</f>
        <v>BLACK</v>
      </c>
      <c r="G2386" s="28" t="str">
        <f>IFERROR(__xludf.DUMMYFUNCTION("""COMPUTED_VALUE"""),"First Times a Charm Cider")</f>
        <v>First Times a Charm Cider</v>
      </c>
      <c r="H2386" s="27" t="str">
        <f>IFERROR(__xludf.DUMMYFUNCTION("""COMPUTED_VALUE"""),"")</f>
        <v/>
      </c>
    </row>
    <row r="2387">
      <c r="A2387" s="17"/>
      <c r="B2387" s="23"/>
      <c r="C2387" s="17">
        <f>IFERROR(__xludf.DUMMYFUNCTION("""COMPUTED_VALUE"""),43527.9139942939)</f>
        <v>43527.91399</v>
      </c>
      <c r="D2387" s="23">
        <f>IFERROR(__xludf.DUMMYFUNCTION("""COMPUTED_VALUE"""),1.061)</f>
        <v>1.061</v>
      </c>
      <c r="E2387" s="24">
        <f>IFERROR(__xludf.DUMMYFUNCTION("""COMPUTED_VALUE"""),69.0)</f>
        <v>69</v>
      </c>
      <c r="F2387" s="27" t="str">
        <f>IFERROR(__xludf.DUMMYFUNCTION("""COMPUTED_VALUE"""),"BLACK")</f>
        <v>BLACK</v>
      </c>
      <c r="G2387" s="28" t="str">
        <f>IFERROR(__xludf.DUMMYFUNCTION("""COMPUTED_VALUE"""),"First Times a Charm Cider")</f>
        <v>First Times a Charm Cider</v>
      </c>
      <c r="H2387" s="27" t="str">
        <f>IFERROR(__xludf.DUMMYFUNCTION("""COMPUTED_VALUE"""),"")</f>
        <v/>
      </c>
    </row>
    <row r="2388">
      <c r="A2388" s="17"/>
      <c r="B2388" s="23"/>
      <c r="C2388" s="17">
        <f>IFERROR(__xludf.DUMMYFUNCTION("""COMPUTED_VALUE"""),43527.8931292129)</f>
        <v>43527.89313</v>
      </c>
      <c r="D2388" s="23">
        <f>IFERROR(__xludf.DUMMYFUNCTION("""COMPUTED_VALUE"""),1.061)</f>
        <v>1.061</v>
      </c>
      <c r="E2388" s="24">
        <f>IFERROR(__xludf.DUMMYFUNCTION("""COMPUTED_VALUE"""),69.0)</f>
        <v>69</v>
      </c>
      <c r="F2388" s="27" t="str">
        <f>IFERROR(__xludf.DUMMYFUNCTION("""COMPUTED_VALUE"""),"BLACK")</f>
        <v>BLACK</v>
      </c>
      <c r="G2388" s="28" t="str">
        <f>IFERROR(__xludf.DUMMYFUNCTION("""COMPUTED_VALUE"""),"First Times a Charm Cider")</f>
        <v>First Times a Charm Cider</v>
      </c>
      <c r="H2388" s="27" t="str">
        <f>IFERROR(__xludf.DUMMYFUNCTION("""COMPUTED_VALUE"""),"")</f>
        <v/>
      </c>
    </row>
    <row r="2389">
      <c r="A2389" s="17"/>
      <c r="B2389" s="23"/>
      <c r="C2389" s="17">
        <f>IFERROR(__xludf.DUMMYFUNCTION("""COMPUTED_VALUE"""),43527.8827081944)</f>
        <v>43527.88271</v>
      </c>
      <c r="D2389" s="23">
        <f>IFERROR(__xludf.DUMMYFUNCTION("""COMPUTED_VALUE"""),1.061)</f>
        <v>1.061</v>
      </c>
      <c r="E2389" s="24">
        <f>IFERROR(__xludf.DUMMYFUNCTION("""COMPUTED_VALUE"""),69.0)</f>
        <v>69</v>
      </c>
      <c r="F2389" s="27" t="str">
        <f>IFERROR(__xludf.DUMMYFUNCTION("""COMPUTED_VALUE"""),"BLACK")</f>
        <v>BLACK</v>
      </c>
      <c r="G2389" s="28" t="str">
        <f>IFERROR(__xludf.DUMMYFUNCTION("""COMPUTED_VALUE"""),"First Times a Charm Cider")</f>
        <v>First Times a Charm Cider</v>
      </c>
      <c r="H2389" s="27" t="str">
        <f>IFERROR(__xludf.DUMMYFUNCTION("""COMPUTED_VALUE"""),"")</f>
        <v/>
      </c>
    </row>
    <row r="2390">
      <c r="A2390" s="17"/>
      <c r="B2390" s="23"/>
      <c r="C2390" s="17">
        <f>IFERROR(__xludf.DUMMYFUNCTION("""COMPUTED_VALUE"""),43527.8722863657)</f>
        <v>43527.87229</v>
      </c>
      <c r="D2390" s="23">
        <f>IFERROR(__xludf.DUMMYFUNCTION("""COMPUTED_VALUE"""),1.061)</f>
        <v>1.061</v>
      </c>
      <c r="E2390" s="24">
        <f>IFERROR(__xludf.DUMMYFUNCTION("""COMPUTED_VALUE"""),69.0)</f>
        <v>69</v>
      </c>
      <c r="F2390" s="27" t="str">
        <f>IFERROR(__xludf.DUMMYFUNCTION("""COMPUTED_VALUE"""),"BLACK")</f>
        <v>BLACK</v>
      </c>
      <c r="G2390" s="28" t="str">
        <f>IFERROR(__xludf.DUMMYFUNCTION("""COMPUTED_VALUE"""),"First Times a Charm Cider")</f>
        <v>First Times a Charm Cider</v>
      </c>
      <c r="H2390" s="27" t="str">
        <f>IFERROR(__xludf.DUMMYFUNCTION("""COMPUTED_VALUE"""),"")</f>
        <v/>
      </c>
    </row>
    <row r="2391">
      <c r="A2391" s="17"/>
      <c r="B2391" s="23"/>
      <c r="C2391" s="17">
        <f>IFERROR(__xludf.DUMMYFUNCTION("""COMPUTED_VALUE"""),43527.8618545601)</f>
        <v>43527.86185</v>
      </c>
      <c r="D2391" s="23">
        <f>IFERROR(__xludf.DUMMYFUNCTION("""COMPUTED_VALUE"""),1.061)</f>
        <v>1.061</v>
      </c>
      <c r="E2391" s="24">
        <f>IFERROR(__xludf.DUMMYFUNCTION("""COMPUTED_VALUE"""),69.0)</f>
        <v>69</v>
      </c>
      <c r="F2391" s="27" t="str">
        <f>IFERROR(__xludf.DUMMYFUNCTION("""COMPUTED_VALUE"""),"BLACK")</f>
        <v>BLACK</v>
      </c>
      <c r="G2391" s="28" t="str">
        <f>IFERROR(__xludf.DUMMYFUNCTION("""COMPUTED_VALUE"""),"First Times a Charm Cider")</f>
        <v>First Times a Charm Cider</v>
      </c>
      <c r="H2391" s="27" t="str">
        <f>IFERROR(__xludf.DUMMYFUNCTION("""COMPUTED_VALUE"""),"")</f>
        <v/>
      </c>
    </row>
    <row r="2392">
      <c r="A2392" s="17"/>
      <c r="B2392" s="23"/>
      <c r="C2392" s="17">
        <f>IFERROR(__xludf.DUMMYFUNCTION("""COMPUTED_VALUE"""),43527.8514318287)</f>
        <v>43527.85143</v>
      </c>
      <c r="D2392" s="23">
        <f>IFERROR(__xludf.DUMMYFUNCTION("""COMPUTED_VALUE"""),1.061)</f>
        <v>1.061</v>
      </c>
      <c r="E2392" s="24">
        <f>IFERROR(__xludf.DUMMYFUNCTION("""COMPUTED_VALUE"""),69.0)</f>
        <v>69</v>
      </c>
      <c r="F2392" s="27" t="str">
        <f>IFERROR(__xludf.DUMMYFUNCTION("""COMPUTED_VALUE"""),"BLACK")</f>
        <v>BLACK</v>
      </c>
      <c r="G2392" s="28" t="str">
        <f>IFERROR(__xludf.DUMMYFUNCTION("""COMPUTED_VALUE"""),"First Times a Charm Cider")</f>
        <v>First Times a Charm Cider</v>
      </c>
      <c r="H2392" s="27" t="str">
        <f>IFERROR(__xludf.DUMMYFUNCTION("""COMPUTED_VALUE"""),"")</f>
        <v/>
      </c>
    </row>
    <row r="2393">
      <c r="A2393" s="17"/>
      <c r="B2393" s="23"/>
      <c r="C2393" s="17">
        <f>IFERROR(__xludf.DUMMYFUNCTION("""COMPUTED_VALUE"""),43527.840998287)</f>
        <v>43527.841</v>
      </c>
      <c r="D2393" s="23">
        <f>IFERROR(__xludf.DUMMYFUNCTION("""COMPUTED_VALUE"""),1.061)</f>
        <v>1.061</v>
      </c>
      <c r="E2393" s="24">
        <f>IFERROR(__xludf.DUMMYFUNCTION("""COMPUTED_VALUE"""),69.0)</f>
        <v>69</v>
      </c>
      <c r="F2393" s="27" t="str">
        <f>IFERROR(__xludf.DUMMYFUNCTION("""COMPUTED_VALUE"""),"BLACK")</f>
        <v>BLACK</v>
      </c>
      <c r="G2393" s="28" t="str">
        <f>IFERROR(__xludf.DUMMYFUNCTION("""COMPUTED_VALUE"""),"First Times a Charm Cider")</f>
        <v>First Times a Charm Cider</v>
      </c>
      <c r="H2393" s="27" t="str">
        <f>IFERROR(__xludf.DUMMYFUNCTION("""COMPUTED_VALUE"""),"")</f>
        <v/>
      </c>
    </row>
    <row r="2394">
      <c r="A2394" s="17"/>
      <c r="B2394" s="23"/>
      <c r="C2394" s="17">
        <f>IFERROR(__xludf.DUMMYFUNCTION("""COMPUTED_VALUE"""),43527.8305644907)</f>
        <v>43527.83056</v>
      </c>
      <c r="D2394" s="23">
        <f>IFERROR(__xludf.DUMMYFUNCTION("""COMPUTED_VALUE"""),1.061)</f>
        <v>1.061</v>
      </c>
      <c r="E2394" s="24">
        <f>IFERROR(__xludf.DUMMYFUNCTION("""COMPUTED_VALUE"""),69.0)</f>
        <v>69</v>
      </c>
      <c r="F2394" s="27" t="str">
        <f>IFERROR(__xludf.DUMMYFUNCTION("""COMPUTED_VALUE"""),"BLACK")</f>
        <v>BLACK</v>
      </c>
      <c r="G2394" s="28" t="str">
        <f>IFERROR(__xludf.DUMMYFUNCTION("""COMPUTED_VALUE"""),"First Times a Charm Cider")</f>
        <v>First Times a Charm Cider</v>
      </c>
      <c r="H2394" s="27" t="str">
        <f>IFERROR(__xludf.DUMMYFUNCTION("""COMPUTED_VALUE"""),"")</f>
        <v/>
      </c>
    </row>
    <row r="2395">
      <c r="A2395" s="17"/>
      <c r="B2395" s="23"/>
      <c r="C2395" s="17">
        <f>IFERROR(__xludf.DUMMYFUNCTION("""COMPUTED_VALUE"""),43527.8096998148)</f>
        <v>43527.8097</v>
      </c>
      <c r="D2395" s="23">
        <f>IFERROR(__xludf.DUMMYFUNCTION("""COMPUTED_VALUE"""),1.061)</f>
        <v>1.061</v>
      </c>
      <c r="E2395" s="24">
        <f>IFERROR(__xludf.DUMMYFUNCTION("""COMPUTED_VALUE"""),69.0)</f>
        <v>69</v>
      </c>
      <c r="F2395" s="27" t="str">
        <f>IFERROR(__xludf.DUMMYFUNCTION("""COMPUTED_VALUE"""),"BLACK")</f>
        <v>BLACK</v>
      </c>
      <c r="G2395" s="28" t="str">
        <f>IFERROR(__xludf.DUMMYFUNCTION("""COMPUTED_VALUE"""),"First Times a Charm Cider")</f>
        <v>First Times a Charm Cider</v>
      </c>
      <c r="H2395" s="27" t="str">
        <f>IFERROR(__xludf.DUMMYFUNCTION("""COMPUTED_VALUE"""),"")</f>
        <v/>
      </c>
    </row>
    <row r="2396">
      <c r="A2396" s="17"/>
      <c r="B2396" s="23"/>
      <c r="C2396" s="17">
        <f>IFERROR(__xludf.DUMMYFUNCTION("""COMPUTED_VALUE"""),43527.7992789583)</f>
        <v>43527.79928</v>
      </c>
      <c r="D2396" s="23">
        <f>IFERROR(__xludf.DUMMYFUNCTION("""COMPUTED_VALUE"""),1.061)</f>
        <v>1.061</v>
      </c>
      <c r="E2396" s="24">
        <f>IFERROR(__xludf.DUMMYFUNCTION("""COMPUTED_VALUE"""),69.0)</f>
        <v>69</v>
      </c>
      <c r="F2396" s="27" t="str">
        <f>IFERROR(__xludf.DUMMYFUNCTION("""COMPUTED_VALUE"""),"BLACK")</f>
        <v>BLACK</v>
      </c>
      <c r="G2396" s="28" t="str">
        <f>IFERROR(__xludf.DUMMYFUNCTION("""COMPUTED_VALUE"""),"First Times a Charm Cider")</f>
        <v>First Times a Charm Cider</v>
      </c>
      <c r="H2396" s="27" t="str">
        <f>IFERROR(__xludf.DUMMYFUNCTION("""COMPUTED_VALUE"""),"")</f>
        <v/>
      </c>
    </row>
    <row r="2397">
      <c r="A2397" s="17"/>
      <c r="B2397" s="23"/>
      <c r="C2397" s="17">
        <f>IFERROR(__xludf.DUMMYFUNCTION("""COMPUTED_VALUE"""),43527.7888581481)</f>
        <v>43527.78886</v>
      </c>
      <c r="D2397" s="23">
        <f>IFERROR(__xludf.DUMMYFUNCTION("""COMPUTED_VALUE"""),1.061)</f>
        <v>1.061</v>
      </c>
      <c r="E2397" s="24">
        <f>IFERROR(__xludf.DUMMYFUNCTION("""COMPUTED_VALUE"""),69.0)</f>
        <v>69</v>
      </c>
      <c r="F2397" s="27" t="str">
        <f>IFERROR(__xludf.DUMMYFUNCTION("""COMPUTED_VALUE"""),"BLACK")</f>
        <v>BLACK</v>
      </c>
      <c r="G2397" s="28" t="str">
        <f>IFERROR(__xludf.DUMMYFUNCTION("""COMPUTED_VALUE"""),"First Times a Charm Cider")</f>
        <v>First Times a Charm Cider</v>
      </c>
      <c r="H2397" s="27" t="str">
        <f>IFERROR(__xludf.DUMMYFUNCTION("""COMPUTED_VALUE"""),"")</f>
        <v/>
      </c>
    </row>
    <row r="2398">
      <c r="A2398" s="17"/>
      <c r="B2398" s="23"/>
      <c r="C2398" s="17">
        <f>IFERROR(__xludf.DUMMYFUNCTION("""COMPUTED_VALUE"""),43527.7784254745)</f>
        <v>43527.77843</v>
      </c>
      <c r="D2398" s="23">
        <f>IFERROR(__xludf.DUMMYFUNCTION("""COMPUTED_VALUE"""),1.061)</f>
        <v>1.061</v>
      </c>
      <c r="E2398" s="24">
        <f>IFERROR(__xludf.DUMMYFUNCTION("""COMPUTED_VALUE"""),69.0)</f>
        <v>69</v>
      </c>
      <c r="F2398" s="27" t="str">
        <f>IFERROR(__xludf.DUMMYFUNCTION("""COMPUTED_VALUE"""),"BLACK")</f>
        <v>BLACK</v>
      </c>
      <c r="G2398" s="28" t="str">
        <f>IFERROR(__xludf.DUMMYFUNCTION("""COMPUTED_VALUE"""),"First Times a Charm Cider")</f>
        <v>First Times a Charm Cider</v>
      </c>
      <c r="H2398" s="27" t="str">
        <f>IFERROR(__xludf.DUMMYFUNCTION("""COMPUTED_VALUE"""),"")</f>
        <v/>
      </c>
    </row>
    <row r="2399">
      <c r="A2399" s="17"/>
      <c r="B2399" s="23"/>
      <c r="C2399" s="17">
        <f>IFERROR(__xludf.DUMMYFUNCTION("""COMPUTED_VALUE"""),43527.7680047106)</f>
        <v>43527.768</v>
      </c>
      <c r="D2399" s="23">
        <f>IFERROR(__xludf.DUMMYFUNCTION("""COMPUTED_VALUE"""),1.061)</f>
        <v>1.061</v>
      </c>
      <c r="E2399" s="24">
        <f>IFERROR(__xludf.DUMMYFUNCTION("""COMPUTED_VALUE"""),69.0)</f>
        <v>69</v>
      </c>
      <c r="F2399" s="27" t="str">
        <f>IFERROR(__xludf.DUMMYFUNCTION("""COMPUTED_VALUE"""),"BLACK")</f>
        <v>BLACK</v>
      </c>
      <c r="G2399" s="28" t="str">
        <f>IFERROR(__xludf.DUMMYFUNCTION("""COMPUTED_VALUE"""),"First Times a Charm Cider")</f>
        <v>First Times a Charm Cider</v>
      </c>
      <c r="H2399" s="27" t="str">
        <f>IFERROR(__xludf.DUMMYFUNCTION("""COMPUTED_VALUE"""),"")</f>
        <v/>
      </c>
    </row>
    <row r="2400">
      <c r="A2400" s="17"/>
      <c r="B2400" s="23"/>
      <c r="C2400" s="17">
        <f>IFERROR(__xludf.DUMMYFUNCTION("""COMPUTED_VALUE"""),43527.7471519097)</f>
        <v>43527.74715</v>
      </c>
      <c r="D2400" s="23">
        <f>IFERROR(__xludf.DUMMYFUNCTION("""COMPUTED_VALUE"""),1.061)</f>
        <v>1.061</v>
      </c>
      <c r="E2400" s="24">
        <f>IFERROR(__xludf.DUMMYFUNCTION("""COMPUTED_VALUE"""),69.0)</f>
        <v>69</v>
      </c>
      <c r="F2400" s="27" t="str">
        <f>IFERROR(__xludf.DUMMYFUNCTION("""COMPUTED_VALUE"""),"BLACK")</f>
        <v>BLACK</v>
      </c>
      <c r="G2400" s="28" t="str">
        <f>IFERROR(__xludf.DUMMYFUNCTION("""COMPUTED_VALUE"""),"First Times a Charm Cider")</f>
        <v>First Times a Charm Cider</v>
      </c>
      <c r="H2400" s="27" t="str">
        <f>IFERROR(__xludf.DUMMYFUNCTION("""COMPUTED_VALUE"""),"")</f>
        <v/>
      </c>
    </row>
    <row r="2401">
      <c r="A2401" s="17"/>
      <c r="B2401" s="23"/>
      <c r="C2401" s="17">
        <f>IFERROR(__xludf.DUMMYFUNCTION("""COMPUTED_VALUE"""),43527.7367294791)</f>
        <v>43527.73673</v>
      </c>
      <c r="D2401" s="23">
        <f>IFERROR(__xludf.DUMMYFUNCTION("""COMPUTED_VALUE"""),1.061)</f>
        <v>1.061</v>
      </c>
      <c r="E2401" s="24">
        <f>IFERROR(__xludf.DUMMYFUNCTION("""COMPUTED_VALUE"""),69.0)</f>
        <v>69</v>
      </c>
      <c r="F2401" s="27" t="str">
        <f>IFERROR(__xludf.DUMMYFUNCTION("""COMPUTED_VALUE"""),"BLACK")</f>
        <v>BLACK</v>
      </c>
      <c r="G2401" s="28" t="str">
        <f>IFERROR(__xludf.DUMMYFUNCTION("""COMPUTED_VALUE"""),"First Times a Charm Cider")</f>
        <v>First Times a Charm Cider</v>
      </c>
      <c r="H2401" s="27" t="str">
        <f>IFERROR(__xludf.DUMMYFUNCTION("""COMPUTED_VALUE"""),"")</f>
        <v/>
      </c>
    </row>
    <row r="2402">
      <c r="A2402" s="17"/>
      <c r="B2402" s="23"/>
      <c r="C2402" s="17">
        <f>IFERROR(__xludf.DUMMYFUNCTION("""COMPUTED_VALUE"""),43527.7158534143)</f>
        <v>43527.71585</v>
      </c>
      <c r="D2402" s="23">
        <f>IFERROR(__xludf.DUMMYFUNCTION("""COMPUTED_VALUE"""),1.061)</f>
        <v>1.061</v>
      </c>
      <c r="E2402" s="24">
        <f>IFERROR(__xludf.DUMMYFUNCTION("""COMPUTED_VALUE"""),69.0)</f>
        <v>69</v>
      </c>
      <c r="F2402" s="27" t="str">
        <f>IFERROR(__xludf.DUMMYFUNCTION("""COMPUTED_VALUE"""),"BLACK")</f>
        <v>BLACK</v>
      </c>
      <c r="G2402" s="28" t="str">
        <f>IFERROR(__xludf.DUMMYFUNCTION("""COMPUTED_VALUE"""),"First Times a Charm Cider")</f>
        <v>First Times a Charm Cider</v>
      </c>
      <c r="H2402" s="27" t="str">
        <f>IFERROR(__xludf.DUMMYFUNCTION("""COMPUTED_VALUE"""),"")</f>
        <v/>
      </c>
    </row>
    <row r="2403">
      <c r="A2403" s="17"/>
      <c r="B2403" s="23"/>
      <c r="C2403" s="17">
        <f>IFERROR(__xludf.DUMMYFUNCTION("""COMPUTED_VALUE"""),43527.7054312037)</f>
        <v>43527.70543</v>
      </c>
      <c r="D2403" s="23">
        <f>IFERROR(__xludf.DUMMYFUNCTION("""COMPUTED_VALUE"""),1.061)</f>
        <v>1.061</v>
      </c>
      <c r="E2403" s="24">
        <f>IFERROR(__xludf.DUMMYFUNCTION("""COMPUTED_VALUE"""),69.0)</f>
        <v>69</v>
      </c>
      <c r="F2403" s="27" t="str">
        <f>IFERROR(__xludf.DUMMYFUNCTION("""COMPUTED_VALUE"""),"BLACK")</f>
        <v>BLACK</v>
      </c>
      <c r="G2403" s="28" t="str">
        <f>IFERROR(__xludf.DUMMYFUNCTION("""COMPUTED_VALUE"""),"First Times a Charm Cider")</f>
        <v>First Times a Charm Cider</v>
      </c>
      <c r="H2403" s="27" t="str">
        <f>IFERROR(__xludf.DUMMYFUNCTION("""COMPUTED_VALUE"""),"")</f>
        <v/>
      </c>
    </row>
    <row r="2404">
      <c r="A2404" s="17"/>
      <c r="B2404" s="23"/>
      <c r="C2404" s="17">
        <f>IFERROR(__xludf.DUMMYFUNCTION("""COMPUTED_VALUE"""),43527.6949631944)</f>
        <v>43527.69496</v>
      </c>
      <c r="D2404" s="23">
        <f>IFERROR(__xludf.DUMMYFUNCTION("""COMPUTED_VALUE"""),1.061)</f>
        <v>1.061</v>
      </c>
      <c r="E2404" s="24">
        <f>IFERROR(__xludf.DUMMYFUNCTION("""COMPUTED_VALUE"""),69.0)</f>
        <v>69</v>
      </c>
      <c r="F2404" s="27" t="str">
        <f>IFERROR(__xludf.DUMMYFUNCTION("""COMPUTED_VALUE"""),"BLACK")</f>
        <v>BLACK</v>
      </c>
      <c r="G2404" s="28" t="str">
        <f>IFERROR(__xludf.DUMMYFUNCTION("""COMPUTED_VALUE"""),"First Times a Charm Cider")</f>
        <v>First Times a Charm Cider</v>
      </c>
      <c r="H2404" s="27" t="str">
        <f>IFERROR(__xludf.DUMMYFUNCTION("""COMPUTED_VALUE"""),"")</f>
        <v/>
      </c>
    </row>
    <row r="2405">
      <c r="A2405" s="17"/>
      <c r="B2405" s="23"/>
      <c r="C2405" s="17">
        <f>IFERROR(__xludf.DUMMYFUNCTION("""COMPUTED_VALUE"""),43527.6845427662)</f>
        <v>43527.68454</v>
      </c>
      <c r="D2405" s="23">
        <f>IFERROR(__xludf.DUMMYFUNCTION("""COMPUTED_VALUE"""),1.061)</f>
        <v>1.061</v>
      </c>
      <c r="E2405" s="24">
        <f>IFERROR(__xludf.DUMMYFUNCTION("""COMPUTED_VALUE"""),69.0)</f>
        <v>69</v>
      </c>
      <c r="F2405" s="27" t="str">
        <f>IFERROR(__xludf.DUMMYFUNCTION("""COMPUTED_VALUE"""),"BLACK")</f>
        <v>BLACK</v>
      </c>
      <c r="G2405" s="28" t="str">
        <f>IFERROR(__xludf.DUMMYFUNCTION("""COMPUTED_VALUE"""),"First Times a Charm Cider")</f>
        <v>First Times a Charm Cider</v>
      </c>
      <c r="H2405" s="27" t="str">
        <f>IFERROR(__xludf.DUMMYFUNCTION("""COMPUTED_VALUE"""),"")</f>
        <v/>
      </c>
    </row>
    <row r="2406">
      <c r="A2406" s="17"/>
      <c r="B2406" s="23"/>
      <c r="C2406" s="17">
        <f>IFERROR(__xludf.DUMMYFUNCTION("""COMPUTED_VALUE"""),43527.6741107638)</f>
        <v>43527.67411</v>
      </c>
      <c r="D2406" s="23">
        <f>IFERROR(__xludf.DUMMYFUNCTION("""COMPUTED_VALUE"""),1.062)</f>
        <v>1.062</v>
      </c>
      <c r="E2406" s="24">
        <f>IFERROR(__xludf.DUMMYFUNCTION("""COMPUTED_VALUE"""),69.0)</f>
        <v>69</v>
      </c>
      <c r="F2406" s="27" t="str">
        <f>IFERROR(__xludf.DUMMYFUNCTION("""COMPUTED_VALUE"""),"BLACK")</f>
        <v>BLACK</v>
      </c>
      <c r="G2406" s="28" t="str">
        <f>IFERROR(__xludf.DUMMYFUNCTION("""COMPUTED_VALUE"""),"First Times a Charm Cider")</f>
        <v>First Times a Charm Cider</v>
      </c>
      <c r="H2406" s="27" t="str">
        <f>IFERROR(__xludf.DUMMYFUNCTION("""COMPUTED_VALUE"""),"")</f>
        <v/>
      </c>
    </row>
    <row r="2407">
      <c r="A2407" s="17"/>
      <c r="B2407" s="23"/>
      <c r="C2407" s="17">
        <f>IFERROR(__xludf.DUMMYFUNCTION("""COMPUTED_VALUE"""),43527.66366728)</f>
        <v>43527.66367</v>
      </c>
      <c r="D2407" s="23">
        <f>IFERROR(__xludf.DUMMYFUNCTION("""COMPUTED_VALUE"""),1.062)</f>
        <v>1.062</v>
      </c>
      <c r="E2407" s="24">
        <f>IFERROR(__xludf.DUMMYFUNCTION("""COMPUTED_VALUE"""),69.0)</f>
        <v>69</v>
      </c>
      <c r="F2407" s="27" t="str">
        <f>IFERROR(__xludf.DUMMYFUNCTION("""COMPUTED_VALUE"""),"BLACK")</f>
        <v>BLACK</v>
      </c>
      <c r="G2407" s="28" t="str">
        <f>IFERROR(__xludf.DUMMYFUNCTION("""COMPUTED_VALUE"""),"First Times a Charm Cider")</f>
        <v>First Times a Charm Cider</v>
      </c>
      <c r="H2407" s="27" t="str">
        <f>IFERROR(__xludf.DUMMYFUNCTION("""COMPUTED_VALUE"""),"")</f>
        <v/>
      </c>
    </row>
    <row r="2408">
      <c r="A2408" s="17"/>
      <c r="B2408" s="23"/>
      <c r="C2408" s="17">
        <f>IFERROR(__xludf.DUMMYFUNCTION("""COMPUTED_VALUE"""),43527.6532464236)</f>
        <v>43527.65325</v>
      </c>
      <c r="D2408" s="23">
        <f>IFERROR(__xludf.DUMMYFUNCTION("""COMPUTED_VALUE"""),1.062)</f>
        <v>1.062</v>
      </c>
      <c r="E2408" s="24">
        <f>IFERROR(__xludf.DUMMYFUNCTION("""COMPUTED_VALUE"""),69.0)</f>
        <v>69</v>
      </c>
      <c r="F2408" s="27" t="str">
        <f>IFERROR(__xludf.DUMMYFUNCTION("""COMPUTED_VALUE"""),"BLACK")</f>
        <v>BLACK</v>
      </c>
      <c r="G2408" s="28" t="str">
        <f>IFERROR(__xludf.DUMMYFUNCTION("""COMPUTED_VALUE"""),"First Times a Charm Cider")</f>
        <v>First Times a Charm Cider</v>
      </c>
      <c r="H2408" s="27" t="str">
        <f>IFERROR(__xludf.DUMMYFUNCTION("""COMPUTED_VALUE"""),"")</f>
        <v/>
      </c>
    </row>
    <row r="2409">
      <c r="A2409" s="17"/>
      <c r="B2409" s="23"/>
      <c r="C2409" s="17">
        <f>IFERROR(__xludf.DUMMYFUNCTION("""COMPUTED_VALUE"""),43527.6324048842)</f>
        <v>43527.6324</v>
      </c>
      <c r="D2409" s="23">
        <f>IFERROR(__xludf.DUMMYFUNCTION("""COMPUTED_VALUE"""),1.061)</f>
        <v>1.061</v>
      </c>
      <c r="E2409" s="24">
        <f>IFERROR(__xludf.DUMMYFUNCTION("""COMPUTED_VALUE"""),69.0)</f>
        <v>69</v>
      </c>
      <c r="F2409" s="27" t="str">
        <f>IFERROR(__xludf.DUMMYFUNCTION("""COMPUTED_VALUE"""),"BLACK")</f>
        <v>BLACK</v>
      </c>
      <c r="G2409" s="28" t="str">
        <f>IFERROR(__xludf.DUMMYFUNCTION("""COMPUTED_VALUE"""),"First Times a Charm Cider")</f>
        <v>First Times a Charm Cider</v>
      </c>
      <c r="H2409" s="27" t="str">
        <f>IFERROR(__xludf.DUMMYFUNCTION("""COMPUTED_VALUE"""),"")</f>
        <v/>
      </c>
    </row>
    <row r="2410">
      <c r="A2410" s="17"/>
      <c r="B2410" s="23"/>
      <c r="C2410" s="17">
        <f>IFERROR(__xludf.DUMMYFUNCTION("""COMPUTED_VALUE"""),43527.6219839004)</f>
        <v>43527.62198</v>
      </c>
      <c r="D2410" s="23">
        <f>IFERROR(__xludf.DUMMYFUNCTION("""COMPUTED_VALUE"""),1.061)</f>
        <v>1.061</v>
      </c>
      <c r="E2410" s="24">
        <f>IFERROR(__xludf.DUMMYFUNCTION("""COMPUTED_VALUE"""),69.0)</f>
        <v>69</v>
      </c>
      <c r="F2410" s="27" t="str">
        <f>IFERROR(__xludf.DUMMYFUNCTION("""COMPUTED_VALUE"""),"BLACK")</f>
        <v>BLACK</v>
      </c>
      <c r="G2410" s="28" t="str">
        <f>IFERROR(__xludf.DUMMYFUNCTION("""COMPUTED_VALUE"""),"First Times a Charm Cider")</f>
        <v>First Times a Charm Cider</v>
      </c>
      <c r="H2410" s="27" t="str">
        <f>IFERROR(__xludf.DUMMYFUNCTION("""COMPUTED_VALUE"""),"")</f>
        <v/>
      </c>
    </row>
    <row r="2411">
      <c r="A2411" s="17"/>
      <c r="B2411" s="23"/>
      <c r="C2411" s="17">
        <f>IFERROR(__xludf.DUMMYFUNCTION("""COMPUTED_VALUE"""),43527.61152603)</f>
        <v>43527.61153</v>
      </c>
      <c r="D2411" s="23">
        <f>IFERROR(__xludf.DUMMYFUNCTION("""COMPUTED_VALUE"""),1.061)</f>
        <v>1.061</v>
      </c>
      <c r="E2411" s="24">
        <f>IFERROR(__xludf.DUMMYFUNCTION("""COMPUTED_VALUE"""),69.0)</f>
        <v>69</v>
      </c>
      <c r="F2411" s="27" t="str">
        <f>IFERROR(__xludf.DUMMYFUNCTION("""COMPUTED_VALUE"""),"BLACK")</f>
        <v>BLACK</v>
      </c>
      <c r="G2411" s="28" t="str">
        <f>IFERROR(__xludf.DUMMYFUNCTION("""COMPUTED_VALUE"""),"First Times a Charm Cider")</f>
        <v>First Times a Charm Cider</v>
      </c>
      <c r="H2411" s="27" t="str">
        <f>IFERROR(__xludf.DUMMYFUNCTION("""COMPUTED_VALUE"""),"")</f>
        <v/>
      </c>
    </row>
    <row r="2412">
      <c r="A2412" s="17"/>
      <c r="B2412" s="23"/>
      <c r="C2412" s="17">
        <f>IFERROR(__xludf.DUMMYFUNCTION("""COMPUTED_VALUE"""),43527.6011046643)</f>
        <v>43527.6011</v>
      </c>
      <c r="D2412" s="23">
        <f>IFERROR(__xludf.DUMMYFUNCTION("""COMPUTED_VALUE"""),1.062)</f>
        <v>1.062</v>
      </c>
      <c r="E2412" s="24">
        <f>IFERROR(__xludf.DUMMYFUNCTION("""COMPUTED_VALUE"""),69.0)</f>
        <v>69</v>
      </c>
      <c r="F2412" s="27" t="str">
        <f>IFERROR(__xludf.DUMMYFUNCTION("""COMPUTED_VALUE"""),"BLACK")</f>
        <v>BLACK</v>
      </c>
      <c r="G2412" s="28" t="str">
        <f>IFERROR(__xludf.DUMMYFUNCTION("""COMPUTED_VALUE"""),"First Times a Charm Cider")</f>
        <v>First Times a Charm Cider</v>
      </c>
      <c r="H2412" s="27" t="str">
        <f>IFERROR(__xludf.DUMMYFUNCTION("""COMPUTED_VALUE"""),"")</f>
        <v/>
      </c>
    </row>
    <row r="2413">
      <c r="A2413" s="17"/>
      <c r="B2413" s="23"/>
      <c r="C2413" s="17">
        <f>IFERROR(__xludf.DUMMYFUNCTION("""COMPUTED_VALUE"""),43527.590684155)</f>
        <v>43527.59068</v>
      </c>
      <c r="D2413" s="23">
        <f>IFERROR(__xludf.DUMMYFUNCTION("""COMPUTED_VALUE"""),1.062)</f>
        <v>1.062</v>
      </c>
      <c r="E2413" s="24">
        <f>IFERROR(__xludf.DUMMYFUNCTION("""COMPUTED_VALUE"""),69.0)</f>
        <v>69</v>
      </c>
      <c r="F2413" s="27" t="str">
        <f>IFERROR(__xludf.DUMMYFUNCTION("""COMPUTED_VALUE"""),"BLACK")</f>
        <v>BLACK</v>
      </c>
      <c r="G2413" s="28" t="str">
        <f>IFERROR(__xludf.DUMMYFUNCTION("""COMPUTED_VALUE"""),"First Times a Charm Cider")</f>
        <v>First Times a Charm Cider</v>
      </c>
      <c r="H2413" s="27" t="str">
        <f>IFERROR(__xludf.DUMMYFUNCTION("""COMPUTED_VALUE"""),"")</f>
        <v/>
      </c>
    </row>
    <row r="2414">
      <c r="A2414" s="17"/>
      <c r="B2414" s="23"/>
      <c r="C2414" s="17">
        <f>IFERROR(__xludf.DUMMYFUNCTION("""COMPUTED_VALUE"""),43527.5802615393)</f>
        <v>43527.58026</v>
      </c>
      <c r="D2414" s="23">
        <f>IFERROR(__xludf.DUMMYFUNCTION("""COMPUTED_VALUE"""),1.062)</f>
        <v>1.062</v>
      </c>
      <c r="E2414" s="24">
        <f>IFERROR(__xludf.DUMMYFUNCTION("""COMPUTED_VALUE"""),69.0)</f>
        <v>69</v>
      </c>
      <c r="F2414" s="27" t="str">
        <f>IFERROR(__xludf.DUMMYFUNCTION("""COMPUTED_VALUE"""),"BLACK")</f>
        <v>BLACK</v>
      </c>
      <c r="G2414" s="28" t="str">
        <f>IFERROR(__xludf.DUMMYFUNCTION("""COMPUTED_VALUE"""),"First Times a Charm Cider")</f>
        <v>First Times a Charm Cider</v>
      </c>
      <c r="H2414" s="27" t="str">
        <f>IFERROR(__xludf.DUMMYFUNCTION("""COMPUTED_VALUE"""),"")</f>
        <v/>
      </c>
    </row>
    <row r="2415">
      <c r="A2415" s="17"/>
      <c r="B2415" s="23"/>
      <c r="C2415" s="17">
        <f>IFERROR(__xludf.DUMMYFUNCTION("""COMPUTED_VALUE"""),43527.569840324)</f>
        <v>43527.56984</v>
      </c>
      <c r="D2415" s="23">
        <f>IFERROR(__xludf.DUMMYFUNCTION("""COMPUTED_VALUE"""),1.062)</f>
        <v>1.062</v>
      </c>
      <c r="E2415" s="24">
        <f>IFERROR(__xludf.DUMMYFUNCTION("""COMPUTED_VALUE"""),69.0)</f>
        <v>69</v>
      </c>
      <c r="F2415" s="27" t="str">
        <f>IFERROR(__xludf.DUMMYFUNCTION("""COMPUTED_VALUE"""),"BLACK")</f>
        <v>BLACK</v>
      </c>
      <c r="G2415" s="28" t="str">
        <f>IFERROR(__xludf.DUMMYFUNCTION("""COMPUTED_VALUE"""),"First Times a Charm Cider")</f>
        <v>First Times a Charm Cider</v>
      </c>
      <c r="H2415" s="27" t="str">
        <f>IFERROR(__xludf.DUMMYFUNCTION("""COMPUTED_VALUE"""),"")</f>
        <v/>
      </c>
    </row>
    <row r="2416">
      <c r="A2416" s="17"/>
      <c r="B2416" s="23"/>
      <c r="C2416" s="17">
        <f>IFERROR(__xludf.DUMMYFUNCTION("""COMPUTED_VALUE"""),43527.5594171412)</f>
        <v>43527.55942</v>
      </c>
      <c r="D2416" s="23">
        <f>IFERROR(__xludf.DUMMYFUNCTION("""COMPUTED_VALUE"""),1.062)</f>
        <v>1.062</v>
      </c>
      <c r="E2416" s="24">
        <f>IFERROR(__xludf.DUMMYFUNCTION("""COMPUTED_VALUE"""),69.0)</f>
        <v>69</v>
      </c>
      <c r="F2416" s="27" t="str">
        <f>IFERROR(__xludf.DUMMYFUNCTION("""COMPUTED_VALUE"""),"BLACK")</f>
        <v>BLACK</v>
      </c>
      <c r="G2416" s="28" t="str">
        <f>IFERROR(__xludf.DUMMYFUNCTION("""COMPUTED_VALUE"""),"First Times a Charm Cider")</f>
        <v>First Times a Charm Cider</v>
      </c>
      <c r="H2416" s="27" t="str">
        <f>IFERROR(__xludf.DUMMYFUNCTION("""COMPUTED_VALUE"""),"")</f>
        <v/>
      </c>
    </row>
    <row r="2417">
      <c r="A2417" s="17"/>
      <c r="B2417" s="23"/>
      <c r="C2417" s="17">
        <f>IFERROR(__xludf.DUMMYFUNCTION("""COMPUTED_VALUE"""),43527.5489828935)</f>
        <v>43527.54898</v>
      </c>
      <c r="D2417" s="23">
        <f>IFERROR(__xludf.DUMMYFUNCTION("""COMPUTED_VALUE"""),1.062)</f>
        <v>1.062</v>
      </c>
      <c r="E2417" s="24">
        <f>IFERROR(__xludf.DUMMYFUNCTION("""COMPUTED_VALUE"""),69.0)</f>
        <v>69</v>
      </c>
      <c r="F2417" s="27" t="str">
        <f>IFERROR(__xludf.DUMMYFUNCTION("""COMPUTED_VALUE"""),"BLACK")</f>
        <v>BLACK</v>
      </c>
      <c r="G2417" s="28" t="str">
        <f>IFERROR(__xludf.DUMMYFUNCTION("""COMPUTED_VALUE"""),"First Times a Charm Cider")</f>
        <v>First Times a Charm Cider</v>
      </c>
      <c r="H2417" s="27" t="str">
        <f>IFERROR(__xludf.DUMMYFUNCTION("""COMPUTED_VALUE"""),"")</f>
        <v/>
      </c>
    </row>
    <row r="2418">
      <c r="A2418" s="17"/>
      <c r="B2418" s="23"/>
      <c r="C2418" s="17">
        <f>IFERROR(__xludf.DUMMYFUNCTION("""COMPUTED_VALUE"""),43527.538561574)</f>
        <v>43527.53856</v>
      </c>
      <c r="D2418" s="23">
        <f>IFERROR(__xludf.DUMMYFUNCTION("""COMPUTED_VALUE"""),1.062)</f>
        <v>1.062</v>
      </c>
      <c r="E2418" s="24">
        <f>IFERROR(__xludf.DUMMYFUNCTION("""COMPUTED_VALUE"""),69.0)</f>
        <v>69</v>
      </c>
      <c r="F2418" s="27" t="str">
        <f>IFERROR(__xludf.DUMMYFUNCTION("""COMPUTED_VALUE"""),"BLACK")</f>
        <v>BLACK</v>
      </c>
      <c r="G2418" s="28" t="str">
        <f>IFERROR(__xludf.DUMMYFUNCTION("""COMPUTED_VALUE"""),"First Times a Charm Cider")</f>
        <v>First Times a Charm Cider</v>
      </c>
      <c r="H2418" s="27" t="str">
        <f>IFERROR(__xludf.DUMMYFUNCTION("""COMPUTED_VALUE"""),"")</f>
        <v/>
      </c>
    </row>
    <row r="2419">
      <c r="A2419" s="17"/>
      <c r="B2419" s="23"/>
      <c r="C2419" s="17">
        <f>IFERROR(__xludf.DUMMYFUNCTION("""COMPUTED_VALUE"""),43527.5281410995)</f>
        <v>43527.52814</v>
      </c>
      <c r="D2419" s="23">
        <f>IFERROR(__xludf.DUMMYFUNCTION("""COMPUTED_VALUE"""),1.062)</f>
        <v>1.062</v>
      </c>
      <c r="E2419" s="24">
        <f>IFERROR(__xludf.DUMMYFUNCTION("""COMPUTED_VALUE"""),69.0)</f>
        <v>69</v>
      </c>
      <c r="F2419" s="27" t="str">
        <f>IFERROR(__xludf.DUMMYFUNCTION("""COMPUTED_VALUE"""),"BLACK")</f>
        <v>BLACK</v>
      </c>
      <c r="G2419" s="28" t="str">
        <f>IFERROR(__xludf.DUMMYFUNCTION("""COMPUTED_VALUE"""),"First Times a Charm Cider")</f>
        <v>First Times a Charm Cider</v>
      </c>
      <c r="H2419" s="27" t="str">
        <f>IFERROR(__xludf.DUMMYFUNCTION("""COMPUTED_VALUE"""),"")</f>
        <v/>
      </c>
    </row>
    <row r="2420">
      <c r="A2420" s="17"/>
      <c r="B2420" s="23"/>
      <c r="C2420" s="17">
        <f>IFERROR(__xludf.DUMMYFUNCTION("""COMPUTED_VALUE"""),43527.507287662)</f>
        <v>43527.50729</v>
      </c>
      <c r="D2420" s="23">
        <f>IFERROR(__xludf.DUMMYFUNCTION("""COMPUTED_VALUE"""),1.062)</f>
        <v>1.062</v>
      </c>
      <c r="E2420" s="24">
        <f>IFERROR(__xludf.DUMMYFUNCTION("""COMPUTED_VALUE"""),69.0)</f>
        <v>69</v>
      </c>
      <c r="F2420" s="27" t="str">
        <f>IFERROR(__xludf.DUMMYFUNCTION("""COMPUTED_VALUE"""),"BLACK")</f>
        <v>BLACK</v>
      </c>
      <c r="G2420" s="28" t="str">
        <f>IFERROR(__xludf.DUMMYFUNCTION("""COMPUTED_VALUE"""),"First Times a Charm Cider")</f>
        <v>First Times a Charm Cider</v>
      </c>
      <c r="H2420" s="27" t="str">
        <f>IFERROR(__xludf.DUMMYFUNCTION("""COMPUTED_VALUE"""),"")</f>
        <v/>
      </c>
    </row>
    <row r="2421">
      <c r="A2421" s="17"/>
      <c r="B2421" s="23"/>
      <c r="C2421" s="17">
        <f>IFERROR(__xludf.DUMMYFUNCTION("""COMPUTED_VALUE"""),43527.496866493)</f>
        <v>43527.49687</v>
      </c>
      <c r="D2421" s="23">
        <f>IFERROR(__xludf.DUMMYFUNCTION("""COMPUTED_VALUE"""),1.062)</f>
        <v>1.062</v>
      </c>
      <c r="E2421" s="24">
        <f>IFERROR(__xludf.DUMMYFUNCTION("""COMPUTED_VALUE"""),69.0)</f>
        <v>69</v>
      </c>
      <c r="F2421" s="27" t="str">
        <f>IFERROR(__xludf.DUMMYFUNCTION("""COMPUTED_VALUE"""),"BLACK")</f>
        <v>BLACK</v>
      </c>
      <c r="G2421" s="28" t="str">
        <f>IFERROR(__xludf.DUMMYFUNCTION("""COMPUTED_VALUE"""),"First Times a Charm Cider")</f>
        <v>First Times a Charm Cider</v>
      </c>
      <c r="H2421" s="27" t="str">
        <f>IFERROR(__xludf.DUMMYFUNCTION("""COMPUTED_VALUE"""),"")</f>
        <v/>
      </c>
    </row>
    <row r="2422">
      <c r="A2422" s="17"/>
      <c r="B2422" s="23"/>
      <c r="C2422" s="17">
        <f>IFERROR(__xludf.DUMMYFUNCTION("""COMPUTED_VALUE"""),43527.4864448263)</f>
        <v>43527.48644</v>
      </c>
      <c r="D2422" s="23">
        <f>IFERROR(__xludf.DUMMYFUNCTION("""COMPUTED_VALUE"""),1.062)</f>
        <v>1.062</v>
      </c>
      <c r="E2422" s="24">
        <f>IFERROR(__xludf.DUMMYFUNCTION("""COMPUTED_VALUE"""),69.0)</f>
        <v>69</v>
      </c>
      <c r="F2422" s="27" t="str">
        <f>IFERROR(__xludf.DUMMYFUNCTION("""COMPUTED_VALUE"""),"BLACK")</f>
        <v>BLACK</v>
      </c>
      <c r="G2422" s="28" t="str">
        <f>IFERROR(__xludf.DUMMYFUNCTION("""COMPUTED_VALUE"""),"First Times a Charm Cider")</f>
        <v>First Times a Charm Cider</v>
      </c>
      <c r="H2422" s="27" t="str">
        <f>IFERROR(__xludf.DUMMYFUNCTION("""COMPUTED_VALUE"""),"")</f>
        <v/>
      </c>
    </row>
    <row r="2423">
      <c r="A2423" s="17"/>
      <c r="B2423" s="23"/>
      <c r="C2423" s="17">
        <f>IFERROR(__xludf.DUMMYFUNCTION("""COMPUTED_VALUE"""),43527.4760234375)</f>
        <v>43527.47602</v>
      </c>
      <c r="D2423" s="23">
        <f>IFERROR(__xludf.DUMMYFUNCTION("""COMPUTED_VALUE"""),1.062)</f>
        <v>1.062</v>
      </c>
      <c r="E2423" s="24">
        <f>IFERROR(__xludf.DUMMYFUNCTION("""COMPUTED_VALUE"""),69.0)</f>
        <v>69</v>
      </c>
      <c r="F2423" s="27" t="str">
        <f>IFERROR(__xludf.DUMMYFUNCTION("""COMPUTED_VALUE"""),"BLACK")</f>
        <v>BLACK</v>
      </c>
      <c r="G2423" s="28" t="str">
        <f>IFERROR(__xludf.DUMMYFUNCTION("""COMPUTED_VALUE"""),"First Times a Charm Cider")</f>
        <v>First Times a Charm Cider</v>
      </c>
      <c r="H2423" s="27" t="str">
        <f>IFERROR(__xludf.DUMMYFUNCTION("""COMPUTED_VALUE"""),"")</f>
        <v/>
      </c>
    </row>
    <row r="2424">
      <c r="A2424" s="17"/>
      <c r="B2424" s="23"/>
      <c r="C2424" s="17">
        <f>IFERROR(__xludf.DUMMYFUNCTION("""COMPUTED_VALUE"""),43527.4656001967)</f>
        <v>43527.4656</v>
      </c>
      <c r="D2424" s="23">
        <f>IFERROR(__xludf.DUMMYFUNCTION("""COMPUTED_VALUE"""),1.062)</f>
        <v>1.062</v>
      </c>
      <c r="E2424" s="24">
        <f>IFERROR(__xludf.DUMMYFUNCTION("""COMPUTED_VALUE"""),69.0)</f>
        <v>69</v>
      </c>
      <c r="F2424" s="27" t="str">
        <f>IFERROR(__xludf.DUMMYFUNCTION("""COMPUTED_VALUE"""),"BLACK")</f>
        <v>BLACK</v>
      </c>
      <c r="G2424" s="28" t="str">
        <f>IFERROR(__xludf.DUMMYFUNCTION("""COMPUTED_VALUE"""),"First Times a Charm Cider")</f>
        <v>First Times a Charm Cider</v>
      </c>
      <c r="H2424" s="27" t="str">
        <f>IFERROR(__xludf.DUMMYFUNCTION("""COMPUTED_VALUE"""),"")</f>
        <v/>
      </c>
    </row>
    <row r="2425">
      <c r="A2425" s="17"/>
      <c r="B2425" s="23"/>
      <c r="C2425" s="17">
        <f>IFERROR(__xludf.DUMMYFUNCTION("""COMPUTED_VALUE"""),43527.4551799189)</f>
        <v>43527.45518</v>
      </c>
      <c r="D2425" s="23">
        <f>IFERROR(__xludf.DUMMYFUNCTION("""COMPUTED_VALUE"""),1.062)</f>
        <v>1.062</v>
      </c>
      <c r="E2425" s="24">
        <f>IFERROR(__xludf.DUMMYFUNCTION("""COMPUTED_VALUE"""),69.0)</f>
        <v>69</v>
      </c>
      <c r="F2425" s="27" t="str">
        <f>IFERROR(__xludf.DUMMYFUNCTION("""COMPUTED_VALUE"""),"BLACK")</f>
        <v>BLACK</v>
      </c>
      <c r="G2425" s="28" t="str">
        <f>IFERROR(__xludf.DUMMYFUNCTION("""COMPUTED_VALUE"""),"First Times a Charm Cider")</f>
        <v>First Times a Charm Cider</v>
      </c>
      <c r="H2425" s="27" t="str">
        <f>IFERROR(__xludf.DUMMYFUNCTION("""COMPUTED_VALUE"""),"")</f>
        <v/>
      </c>
    </row>
    <row r="2426">
      <c r="A2426" s="17"/>
      <c r="B2426" s="23"/>
      <c r="C2426" s="17">
        <f>IFERROR(__xludf.DUMMYFUNCTION("""COMPUTED_VALUE"""),43527.4447593865)</f>
        <v>43527.44476</v>
      </c>
      <c r="D2426" s="23">
        <f>IFERROR(__xludf.DUMMYFUNCTION("""COMPUTED_VALUE"""),1.062)</f>
        <v>1.062</v>
      </c>
      <c r="E2426" s="24">
        <f>IFERROR(__xludf.DUMMYFUNCTION("""COMPUTED_VALUE"""),69.0)</f>
        <v>69</v>
      </c>
      <c r="F2426" s="27" t="str">
        <f>IFERROR(__xludf.DUMMYFUNCTION("""COMPUTED_VALUE"""),"BLACK")</f>
        <v>BLACK</v>
      </c>
      <c r="G2426" s="28" t="str">
        <f>IFERROR(__xludf.DUMMYFUNCTION("""COMPUTED_VALUE"""),"First Times a Charm Cider")</f>
        <v>First Times a Charm Cider</v>
      </c>
      <c r="H2426" s="27" t="str">
        <f>IFERROR(__xludf.DUMMYFUNCTION("""COMPUTED_VALUE"""),"")</f>
        <v/>
      </c>
    </row>
    <row r="2427">
      <c r="A2427" s="17"/>
      <c r="B2427" s="23"/>
      <c r="C2427" s="17">
        <f>IFERROR(__xludf.DUMMYFUNCTION("""COMPUTED_VALUE"""),43527.4343393055)</f>
        <v>43527.43434</v>
      </c>
      <c r="D2427" s="23">
        <f>IFERROR(__xludf.DUMMYFUNCTION("""COMPUTED_VALUE"""),1.062)</f>
        <v>1.062</v>
      </c>
      <c r="E2427" s="24">
        <f>IFERROR(__xludf.DUMMYFUNCTION("""COMPUTED_VALUE"""),69.0)</f>
        <v>69</v>
      </c>
      <c r="F2427" s="27" t="str">
        <f>IFERROR(__xludf.DUMMYFUNCTION("""COMPUTED_VALUE"""),"BLACK")</f>
        <v>BLACK</v>
      </c>
      <c r="G2427" s="28" t="str">
        <f>IFERROR(__xludf.DUMMYFUNCTION("""COMPUTED_VALUE"""),"First Times a Charm Cider")</f>
        <v>First Times a Charm Cider</v>
      </c>
      <c r="H2427" s="27" t="str">
        <f>IFERROR(__xludf.DUMMYFUNCTION("""COMPUTED_VALUE"""),"")</f>
        <v/>
      </c>
    </row>
    <row r="2428">
      <c r="A2428" s="17"/>
      <c r="B2428" s="23"/>
      <c r="C2428" s="17">
        <f>IFERROR(__xludf.DUMMYFUNCTION("""COMPUTED_VALUE"""),43527.4239176504)</f>
        <v>43527.42392</v>
      </c>
      <c r="D2428" s="23">
        <f>IFERROR(__xludf.DUMMYFUNCTION("""COMPUTED_VALUE"""),1.062)</f>
        <v>1.062</v>
      </c>
      <c r="E2428" s="24">
        <f>IFERROR(__xludf.DUMMYFUNCTION("""COMPUTED_VALUE"""),69.0)</f>
        <v>69</v>
      </c>
      <c r="F2428" s="27" t="str">
        <f>IFERROR(__xludf.DUMMYFUNCTION("""COMPUTED_VALUE"""),"BLACK")</f>
        <v>BLACK</v>
      </c>
      <c r="G2428" s="28" t="str">
        <f>IFERROR(__xludf.DUMMYFUNCTION("""COMPUTED_VALUE"""),"First Times a Charm Cider")</f>
        <v>First Times a Charm Cider</v>
      </c>
      <c r="H2428" s="27" t="str">
        <f>IFERROR(__xludf.DUMMYFUNCTION("""COMPUTED_VALUE"""),"")</f>
        <v/>
      </c>
    </row>
    <row r="2429">
      <c r="A2429" s="17"/>
      <c r="B2429" s="23"/>
      <c r="C2429" s="17">
        <f>IFERROR(__xludf.DUMMYFUNCTION("""COMPUTED_VALUE"""),43527.413485162)</f>
        <v>43527.41349</v>
      </c>
      <c r="D2429" s="23">
        <f>IFERROR(__xludf.DUMMYFUNCTION("""COMPUTED_VALUE"""),1.062)</f>
        <v>1.062</v>
      </c>
      <c r="E2429" s="24">
        <f>IFERROR(__xludf.DUMMYFUNCTION("""COMPUTED_VALUE"""),69.0)</f>
        <v>69</v>
      </c>
      <c r="F2429" s="27" t="str">
        <f>IFERROR(__xludf.DUMMYFUNCTION("""COMPUTED_VALUE"""),"BLACK")</f>
        <v>BLACK</v>
      </c>
      <c r="G2429" s="28" t="str">
        <f>IFERROR(__xludf.DUMMYFUNCTION("""COMPUTED_VALUE"""),"First Times a Charm Cider")</f>
        <v>First Times a Charm Cider</v>
      </c>
      <c r="H2429" s="27" t="str">
        <f>IFERROR(__xludf.DUMMYFUNCTION("""COMPUTED_VALUE"""),"")</f>
        <v/>
      </c>
    </row>
    <row r="2430">
      <c r="A2430" s="17"/>
      <c r="B2430" s="23"/>
      <c r="C2430" s="17">
        <f>IFERROR(__xludf.DUMMYFUNCTION("""COMPUTED_VALUE"""),43527.4030639004)</f>
        <v>43527.40306</v>
      </c>
      <c r="D2430" s="23">
        <f>IFERROR(__xludf.DUMMYFUNCTION("""COMPUTED_VALUE"""),1.062)</f>
        <v>1.062</v>
      </c>
      <c r="E2430" s="24">
        <f>IFERROR(__xludf.DUMMYFUNCTION("""COMPUTED_VALUE"""),69.0)</f>
        <v>69</v>
      </c>
      <c r="F2430" s="27" t="str">
        <f>IFERROR(__xludf.DUMMYFUNCTION("""COMPUTED_VALUE"""),"BLACK")</f>
        <v>BLACK</v>
      </c>
      <c r="G2430" s="28" t="str">
        <f>IFERROR(__xludf.DUMMYFUNCTION("""COMPUTED_VALUE"""),"First Times a Charm Cider")</f>
        <v>First Times a Charm Cider</v>
      </c>
      <c r="H2430" s="27" t="str">
        <f>IFERROR(__xludf.DUMMYFUNCTION("""COMPUTED_VALUE"""),"")</f>
        <v/>
      </c>
    </row>
    <row r="2431">
      <c r="A2431" s="17"/>
      <c r="B2431" s="23"/>
      <c r="C2431" s="17">
        <f>IFERROR(__xludf.DUMMYFUNCTION("""COMPUTED_VALUE"""),43527.3926314004)</f>
        <v>43527.39263</v>
      </c>
      <c r="D2431" s="23">
        <f>IFERROR(__xludf.DUMMYFUNCTION("""COMPUTED_VALUE"""),1.063)</f>
        <v>1.063</v>
      </c>
      <c r="E2431" s="24">
        <f>IFERROR(__xludf.DUMMYFUNCTION("""COMPUTED_VALUE"""),69.0)</f>
        <v>69</v>
      </c>
      <c r="F2431" s="27" t="str">
        <f>IFERROR(__xludf.DUMMYFUNCTION("""COMPUTED_VALUE"""),"BLACK")</f>
        <v>BLACK</v>
      </c>
      <c r="G2431" s="28" t="str">
        <f>IFERROR(__xludf.DUMMYFUNCTION("""COMPUTED_VALUE"""),"First Times a Charm Cider")</f>
        <v>First Times a Charm Cider</v>
      </c>
      <c r="H2431" s="27" t="str">
        <f>IFERROR(__xludf.DUMMYFUNCTION("""COMPUTED_VALUE"""),"")</f>
        <v/>
      </c>
    </row>
    <row r="2432">
      <c r="A2432" s="17"/>
      <c r="B2432" s="23"/>
      <c r="C2432" s="17">
        <f>IFERROR(__xludf.DUMMYFUNCTION("""COMPUTED_VALUE"""),43527.3822098958)</f>
        <v>43527.38221</v>
      </c>
      <c r="D2432" s="23">
        <f>IFERROR(__xludf.DUMMYFUNCTION("""COMPUTED_VALUE"""),1.063)</f>
        <v>1.063</v>
      </c>
      <c r="E2432" s="24">
        <f>IFERROR(__xludf.DUMMYFUNCTION("""COMPUTED_VALUE"""),69.0)</f>
        <v>69</v>
      </c>
      <c r="F2432" s="27" t="str">
        <f>IFERROR(__xludf.DUMMYFUNCTION("""COMPUTED_VALUE"""),"BLACK")</f>
        <v>BLACK</v>
      </c>
      <c r="G2432" s="28" t="str">
        <f>IFERROR(__xludf.DUMMYFUNCTION("""COMPUTED_VALUE"""),"First Times a Charm Cider")</f>
        <v>First Times a Charm Cider</v>
      </c>
      <c r="H2432" s="27" t="str">
        <f>IFERROR(__xludf.DUMMYFUNCTION("""COMPUTED_VALUE"""),"")</f>
        <v/>
      </c>
    </row>
    <row r="2433">
      <c r="A2433" s="17"/>
      <c r="B2433" s="23"/>
      <c r="C2433" s="17">
        <f>IFERROR(__xludf.DUMMYFUNCTION("""COMPUTED_VALUE"""),43527.3717886111)</f>
        <v>43527.37179</v>
      </c>
      <c r="D2433" s="23">
        <f>IFERROR(__xludf.DUMMYFUNCTION("""COMPUTED_VALUE"""),1.062)</f>
        <v>1.062</v>
      </c>
      <c r="E2433" s="24">
        <f>IFERROR(__xludf.DUMMYFUNCTION("""COMPUTED_VALUE"""),69.0)</f>
        <v>69</v>
      </c>
      <c r="F2433" s="27" t="str">
        <f>IFERROR(__xludf.DUMMYFUNCTION("""COMPUTED_VALUE"""),"BLACK")</f>
        <v>BLACK</v>
      </c>
      <c r="G2433" s="28" t="str">
        <f>IFERROR(__xludf.DUMMYFUNCTION("""COMPUTED_VALUE"""),"First Times a Charm Cider")</f>
        <v>First Times a Charm Cider</v>
      </c>
      <c r="H2433" s="27" t="str">
        <f>IFERROR(__xludf.DUMMYFUNCTION("""COMPUTED_VALUE"""),"")</f>
        <v/>
      </c>
    </row>
    <row r="2434">
      <c r="A2434" s="17"/>
      <c r="B2434" s="23"/>
      <c r="C2434" s="17">
        <f>IFERROR(__xludf.DUMMYFUNCTION("""COMPUTED_VALUE"""),43527.3613686226)</f>
        <v>43527.36137</v>
      </c>
      <c r="D2434" s="23">
        <f>IFERROR(__xludf.DUMMYFUNCTION("""COMPUTED_VALUE"""),1.062)</f>
        <v>1.062</v>
      </c>
      <c r="E2434" s="24">
        <f>IFERROR(__xludf.DUMMYFUNCTION("""COMPUTED_VALUE"""),69.0)</f>
        <v>69</v>
      </c>
      <c r="F2434" s="27" t="str">
        <f>IFERROR(__xludf.DUMMYFUNCTION("""COMPUTED_VALUE"""),"BLACK")</f>
        <v>BLACK</v>
      </c>
      <c r="G2434" s="28" t="str">
        <f>IFERROR(__xludf.DUMMYFUNCTION("""COMPUTED_VALUE"""),"First Times a Charm Cider")</f>
        <v>First Times a Charm Cider</v>
      </c>
      <c r="H2434" s="27" t="str">
        <f>IFERROR(__xludf.DUMMYFUNCTION("""COMPUTED_VALUE"""),"")</f>
        <v/>
      </c>
    </row>
    <row r="2435">
      <c r="A2435" s="17"/>
      <c r="B2435" s="23"/>
      <c r="C2435" s="17">
        <f>IFERROR(__xludf.DUMMYFUNCTION("""COMPUTED_VALUE"""),43527.3509474305)</f>
        <v>43527.35095</v>
      </c>
      <c r="D2435" s="23">
        <f>IFERROR(__xludf.DUMMYFUNCTION("""COMPUTED_VALUE"""),1.062)</f>
        <v>1.062</v>
      </c>
      <c r="E2435" s="24">
        <f>IFERROR(__xludf.DUMMYFUNCTION("""COMPUTED_VALUE"""),69.0)</f>
        <v>69</v>
      </c>
      <c r="F2435" s="27" t="str">
        <f>IFERROR(__xludf.DUMMYFUNCTION("""COMPUTED_VALUE"""),"BLACK")</f>
        <v>BLACK</v>
      </c>
      <c r="G2435" s="28" t="str">
        <f>IFERROR(__xludf.DUMMYFUNCTION("""COMPUTED_VALUE"""),"First Times a Charm Cider")</f>
        <v>First Times a Charm Cider</v>
      </c>
      <c r="H2435" s="27" t="str">
        <f>IFERROR(__xludf.DUMMYFUNCTION("""COMPUTED_VALUE"""),"")</f>
        <v/>
      </c>
    </row>
    <row r="2436">
      <c r="A2436" s="17"/>
      <c r="B2436" s="23"/>
      <c r="C2436" s="17">
        <f>IFERROR(__xludf.DUMMYFUNCTION("""COMPUTED_VALUE"""),43527.3405275115)</f>
        <v>43527.34053</v>
      </c>
      <c r="D2436" s="23">
        <f>IFERROR(__xludf.DUMMYFUNCTION("""COMPUTED_VALUE"""),1.063)</f>
        <v>1.063</v>
      </c>
      <c r="E2436" s="24">
        <f>IFERROR(__xludf.DUMMYFUNCTION("""COMPUTED_VALUE"""),69.0)</f>
        <v>69</v>
      </c>
      <c r="F2436" s="27" t="str">
        <f>IFERROR(__xludf.DUMMYFUNCTION("""COMPUTED_VALUE"""),"BLACK")</f>
        <v>BLACK</v>
      </c>
      <c r="G2436" s="28" t="str">
        <f>IFERROR(__xludf.DUMMYFUNCTION("""COMPUTED_VALUE"""),"First Times a Charm Cider")</f>
        <v>First Times a Charm Cider</v>
      </c>
      <c r="H2436" s="27" t="str">
        <f>IFERROR(__xludf.DUMMYFUNCTION("""COMPUTED_VALUE"""),"")</f>
        <v/>
      </c>
    </row>
    <row r="2437">
      <c r="A2437" s="17"/>
      <c r="B2437" s="23"/>
      <c r="C2437" s="17">
        <f>IFERROR(__xludf.DUMMYFUNCTION("""COMPUTED_VALUE"""),43527.3301053009)</f>
        <v>43527.33011</v>
      </c>
      <c r="D2437" s="23">
        <f>IFERROR(__xludf.DUMMYFUNCTION("""COMPUTED_VALUE"""),1.062)</f>
        <v>1.062</v>
      </c>
      <c r="E2437" s="24">
        <f>IFERROR(__xludf.DUMMYFUNCTION("""COMPUTED_VALUE"""),69.0)</f>
        <v>69</v>
      </c>
      <c r="F2437" s="27" t="str">
        <f>IFERROR(__xludf.DUMMYFUNCTION("""COMPUTED_VALUE"""),"BLACK")</f>
        <v>BLACK</v>
      </c>
      <c r="G2437" s="28" t="str">
        <f>IFERROR(__xludf.DUMMYFUNCTION("""COMPUTED_VALUE"""),"First Times a Charm Cider")</f>
        <v>First Times a Charm Cider</v>
      </c>
      <c r="H2437" s="27" t="str">
        <f>IFERROR(__xludf.DUMMYFUNCTION("""COMPUTED_VALUE"""),"")</f>
        <v/>
      </c>
    </row>
    <row r="2438">
      <c r="A2438" s="17"/>
      <c r="B2438" s="23"/>
      <c r="C2438" s="17">
        <f>IFERROR(__xludf.DUMMYFUNCTION("""COMPUTED_VALUE"""),43527.3196843865)</f>
        <v>43527.31968</v>
      </c>
      <c r="D2438" s="23">
        <f>IFERROR(__xludf.DUMMYFUNCTION("""COMPUTED_VALUE"""),1.063)</f>
        <v>1.063</v>
      </c>
      <c r="E2438" s="24">
        <f>IFERROR(__xludf.DUMMYFUNCTION("""COMPUTED_VALUE"""),69.0)</f>
        <v>69</v>
      </c>
      <c r="F2438" s="27" t="str">
        <f>IFERROR(__xludf.DUMMYFUNCTION("""COMPUTED_VALUE"""),"BLACK")</f>
        <v>BLACK</v>
      </c>
      <c r="G2438" s="28" t="str">
        <f>IFERROR(__xludf.DUMMYFUNCTION("""COMPUTED_VALUE"""),"First Times a Charm Cider")</f>
        <v>First Times a Charm Cider</v>
      </c>
      <c r="H2438" s="27" t="str">
        <f>IFERROR(__xludf.DUMMYFUNCTION("""COMPUTED_VALUE"""),"")</f>
        <v/>
      </c>
    </row>
    <row r="2439">
      <c r="A2439" s="17"/>
      <c r="B2439" s="23"/>
      <c r="C2439" s="17">
        <f>IFERROR(__xludf.DUMMYFUNCTION("""COMPUTED_VALUE"""),43527.3092616782)</f>
        <v>43527.30926</v>
      </c>
      <c r="D2439" s="23">
        <f>IFERROR(__xludf.DUMMYFUNCTION("""COMPUTED_VALUE"""),1.063)</f>
        <v>1.063</v>
      </c>
      <c r="E2439" s="24">
        <f>IFERROR(__xludf.DUMMYFUNCTION("""COMPUTED_VALUE"""),69.0)</f>
        <v>69</v>
      </c>
      <c r="F2439" s="27" t="str">
        <f>IFERROR(__xludf.DUMMYFUNCTION("""COMPUTED_VALUE"""),"BLACK")</f>
        <v>BLACK</v>
      </c>
      <c r="G2439" s="28" t="str">
        <f>IFERROR(__xludf.DUMMYFUNCTION("""COMPUTED_VALUE"""),"First Times a Charm Cider")</f>
        <v>First Times a Charm Cider</v>
      </c>
      <c r="H2439" s="27" t="str">
        <f>IFERROR(__xludf.DUMMYFUNCTION("""COMPUTED_VALUE"""),"")</f>
        <v/>
      </c>
    </row>
    <row r="2440">
      <c r="A2440" s="17"/>
      <c r="B2440" s="23"/>
      <c r="C2440" s="17">
        <f>IFERROR(__xludf.DUMMYFUNCTION("""COMPUTED_VALUE"""),43527.298840162)</f>
        <v>43527.29884</v>
      </c>
      <c r="D2440" s="23">
        <f>IFERROR(__xludf.DUMMYFUNCTION("""COMPUTED_VALUE"""),1.063)</f>
        <v>1.063</v>
      </c>
      <c r="E2440" s="24">
        <f>IFERROR(__xludf.DUMMYFUNCTION("""COMPUTED_VALUE"""),69.0)</f>
        <v>69</v>
      </c>
      <c r="F2440" s="27" t="str">
        <f>IFERROR(__xludf.DUMMYFUNCTION("""COMPUTED_VALUE"""),"BLACK")</f>
        <v>BLACK</v>
      </c>
      <c r="G2440" s="28" t="str">
        <f>IFERROR(__xludf.DUMMYFUNCTION("""COMPUTED_VALUE"""),"First Times a Charm Cider")</f>
        <v>First Times a Charm Cider</v>
      </c>
      <c r="H2440" s="27" t="str">
        <f>IFERROR(__xludf.DUMMYFUNCTION("""COMPUTED_VALUE"""),"")</f>
        <v/>
      </c>
    </row>
    <row r="2441">
      <c r="A2441" s="17"/>
      <c r="B2441" s="23"/>
      <c r="C2441" s="17">
        <f>IFERROR(__xludf.DUMMYFUNCTION("""COMPUTED_VALUE"""),43527.28842125)</f>
        <v>43527.28842</v>
      </c>
      <c r="D2441" s="23">
        <f>IFERROR(__xludf.DUMMYFUNCTION("""COMPUTED_VALUE"""),1.063)</f>
        <v>1.063</v>
      </c>
      <c r="E2441" s="24">
        <f>IFERROR(__xludf.DUMMYFUNCTION("""COMPUTED_VALUE"""),69.0)</f>
        <v>69</v>
      </c>
      <c r="F2441" s="27" t="str">
        <f>IFERROR(__xludf.DUMMYFUNCTION("""COMPUTED_VALUE"""),"BLACK")</f>
        <v>BLACK</v>
      </c>
      <c r="G2441" s="28" t="str">
        <f>IFERROR(__xludf.DUMMYFUNCTION("""COMPUTED_VALUE"""),"First Times a Charm Cider")</f>
        <v>First Times a Charm Cider</v>
      </c>
      <c r="H2441" s="27" t="str">
        <f>IFERROR(__xludf.DUMMYFUNCTION("""COMPUTED_VALUE"""),"")</f>
        <v/>
      </c>
    </row>
    <row r="2442">
      <c r="A2442" s="17"/>
      <c r="B2442" s="23"/>
      <c r="C2442" s="17">
        <f>IFERROR(__xludf.DUMMYFUNCTION("""COMPUTED_VALUE"""),43527.2779981481)</f>
        <v>43527.278</v>
      </c>
      <c r="D2442" s="23">
        <f>IFERROR(__xludf.DUMMYFUNCTION("""COMPUTED_VALUE"""),1.063)</f>
        <v>1.063</v>
      </c>
      <c r="E2442" s="24">
        <f>IFERROR(__xludf.DUMMYFUNCTION("""COMPUTED_VALUE"""),69.0)</f>
        <v>69</v>
      </c>
      <c r="F2442" s="27" t="str">
        <f>IFERROR(__xludf.DUMMYFUNCTION("""COMPUTED_VALUE"""),"BLACK")</f>
        <v>BLACK</v>
      </c>
      <c r="G2442" s="28" t="str">
        <f>IFERROR(__xludf.DUMMYFUNCTION("""COMPUTED_VALUE"""),"First Times a Charm Cider")</f>
        <v>First Times a Charm Cider</v>
      </c>
      <c r="H2442" s="27" t="str">
        <f>IFERROR(__xludf.DUMMYFUNCTION("""COMPUTED_VALUE"""),"")</f>
        <v/>
      </c>
    </row>
    <row r="2443">
      <c r="A2443" s="17"/>
      <c r="B2443" s="23"/>
      <c r="C2443" s="17">
        <f>IFERROR(__xludf.DUMMYFUNCTION("""COMPUTED_VALUE"""),43527.25713125)</f>
        <v>43527.25713</v>
      </c>
      <c r="D2443" s="23">
        <f>IFERROR(__xludf.DUMMYFUNCTION("""COMPUTED_VALUE"""),1.063)</f>
        <v>1.063</v>
      </c>
      <c r="E2443" s="24">
        <f>IFERROR(__xludf.DUMMYFUNCTION("""COMPUTED_VALUE"""),69.0)</f>
        <v>69</v>
      </c>
      <c r="F2443" s="27" t="str">
        <f>IFERROR(__xludf.DUMMYFUNCTION("""COMPUTED_VALUE"""),"BLACK")</f>
        <v>BLACK</v>
      </c>
      <c r="G2443" s="28" t="str">
        <f>IFERROR(__xludf.DUMMYFUNCTION("""COMPUTED_VALUE"""),"First Times a Charm Cider")</f>
        <v>First Times a Charm Cider</v>
      </c>
      <c r="H2443" s="27" t="str">
        <f>IFERROR(__xludf.DUMMYFUNCTION("""COMPUTED_VALUE"""),"")</f>
        <v/>
      </c>
    </row>
    <row r="2444">
      <c r="A2444" s="17"/>
      <c r="B2444" s="23"/>
      <c r="C2444" s="17">
        <f>IFERROR(__xludf.DUMMYFUNCTION("""COMPUTED_VALUE"""),43527.246699375)</f>
        <v>43527.2467</v>
      </c>
      <c r="D2444" s="23">
        <f>IFERROR(__xludf.DUMMYFUNCTION("""COMPUTED_VALUE"""),1.063)</f>
        <v>1.063</v>
      </c>
      <c r="E2444" s="24">
        <f>IFERROR(__xludf.DUMMYFUNCTION("""COMPUTED_VALUE"""),69.0)</f>
        <v>69</v>
      </c>
      <c r="F2444" s="27" t="str">
        <f>IFERROR(__xludf.DUMMYFUNCTION("""COMPUTED_VALUE"""),"BLACK")</f>
        <v>BLACK</v>
      </c>
      <c r="G2444" s="28" t="str">
        <f>IFERROR(__xludf.DUMMYFUNCTION("""COMPUTED_VALUE"""),"First Times a Charm Cider")</f>
        <v>First Times a Charm Cider</v>
      </c>
      <c r="H2444" s="27" t="str">
        <f>IFERROR(__xludf.DUMMYFUNCTION("""COMPUTED_VALUE"""),"")</f>
        <v/>
      </c>
    </row>
    <row r="2445">
      <c r="A2445" s="17"/>
      <c r="B2445" s="23"/>
      <c r="C2445" s="17">
        <f>IFERROR(__xludf.DUMMYFUNCTION("""COMPUTED_VALUE"""),43527.2362788657)</f>
        <v>43527.23628</v>
      </c>
      <c r="D2445" s="23">
        <f>IFERROR(__xludf.DUMMYFUNCTION("""COMPUTED_VALUE"""),1.063)</f>
        <v>1.063</v>
      </c>
      <c r="E2445" s="24">
        <f>IFERROR(__xludf.DUMMYFUNCTION("""COMPUTED_VALUE"""),69.0)</f>
        <v>69</v>
      </c>
      <c r="F2445" s="27" t="str">
        <f>IFERROR(__xludf.DUMMYFUNCTION("""COMPUTED_VALUE"""),"BLACK")</f>
        <v>BLACK</v>
      </c>
      <c r="G2445" s="28" t="str">
        <f>IFERROR(__xludf.DUMMYFUNCTION("""COMPUTED_VALUE"""),"First Times a Charm Cider")</f>
        <v>First Times a Charm Cider</v>
      </c>
      <c r="H2445" s="27" t="str">
        <f>IFERROR(__xludf.DUMMYFUNCTION("""COMPUTED_VALUE"""),"")</f>
        <v/>
      </c>
    </row>
    <row r="2446">
      <c r="A2446" s="17"/>
      <c r="B2446" s="23"/>
      <c r="C2446" s="17">
        <f>IFERROR(__xludf.DUMMYFUNCTION("""COMPUTED_VALUE"""),43527.2258476504)</f>
        <v>43527.22585</v>
      </c>
      <c r="D2446" s="23">
        <f>IFERROR(__xludf.DUMMYFUNCTION("""COMPUTED_VALUE"""),1.063)</f>
        <v>1.063</v>
      </c>
      <c r="E2446" s="24">
        <f>IFERROR(__xludf.DUMMYFUNCTION("""COMPUTED_VALUE"""),69.0)</f>
        <v>69</v>
      </c>
      <c r="F2446" s="27" t="str">
        <f>IFERROR(__xludf.DUMMYFUNCTION("""COMPUTED_VALUE"""),"BLACK")</f>
        <v>BLACK</v>
      </c>
      <c r="G2446" s="28" t="str">
        <f>IFERROR(__xludf.DUMMYFUNCTION("""COMPUTED_VALUE"""),"First Times a Charm Cider")</f>
        <v>First Times a Charm Cider</v>
      </c>
      <c r="H2446" s="27" t="str">
        <f>IFERROR(__xludf.DUMMYFUNCTION("""COMPUTED_VALUE"""),"")</f>
        <v/>
      </c>
    </row>
    <row r="2447">
      <c r="A2447" s="17"/>
      <c r="B2447" s="23"/>
      <c r="C2447" s="17">
        <f>IFERROR(__xludf.DUMMYFUNCTION("""COMPUTED_VALUE"""),43527.2154250694)</f>
        <v>43527.21543</v>
      </c>
      <c r="D2447" s="23">
        <f>IFERROR(__xludf.DUMMYFUNCTION("""COMPUTED_VALUE"""),1.063)</f>
        <v>1.063</v>
      </c>
      <c r="E2447" s="24">
        <f>IFERROR(__xludf.DUMMYFUNCTION("""COMPUTED_VALUE"""),69.0)</f>
        <v>69</v>
      </c>
      <c r="F2447" s="27" t="str">
        <f>IFERROR(__xludf.DUMMYFUNCTION("""COMPUTED_VALUE"""),"BLACK")</f>
        <v>BLACK</v>
      </c>
      <c r="G2447" s="28" t="str">
        <f>IFERROR(__xludf.DUMMYFUNCTION("""COMPUTED_VALUE"""),"First Times a Charm Cider")</f>
        <v>First Times a Charm Cider</v>
      </c>
      <c r="H2447" s="27" t="str">
        <f>IFERROR(__xludf.DUMMYFUNCTION("""COMPUTED_VALUE"""),"")</f>
        <v/>
      </c>
    </row>
    <row r="2448">
      <c r="A2448" s="17"/>
      <c r="B2448" s="23"/>
      <c r="C2448" s="17">
        <f>IFERROR(__xludf.DUMMYFUNCTION("""COMPUTED_VALUE"""),43527.2050027199)</f>
        <v>43527.205</v>
      </c>
      <c r="D2448" s="23">
        <f>IFERROR(__xludf.DUMMYFUNCTION("""COMPUTED_VALUE"""),1.063)</f>
        <v>1.063</v>
      </c>
      <c r="E2448" s="24">
        <f>IFERROR(__xludf.DUMMYFUNCTION("""COMPUTED_VALUE"""),69.0)</f>
        <v>69</v>
      </c>
      <c r="F2448" s="27" t="str">
        <f>IFERROR(__xludf.DUMMYFUNCTION("""COMPUTED_VALUE"""),"BLACK")</f>
        <v>BLACK</v>
      </c>
      <c r="G2448" s="28" t="str">
        <f>IFERROR(__xludf.DUMMYFUNCTION("""COMPUTED_VALUE"""),"First Times a Charm Cider")</f>
        <v>First Times a Charm Cider</v>
      </c>
      <c r="H2448" s="27" t="str">
        <f>IFERROR(__xludf.DUMMYFUNCTION("""COMPUTED_VALUE"""),"")</f>
        <v/>
      </c>
    </row>
    <row r="2449">
      <c r="A2449" s="17"/>
      <c r="B2449" s="23"/>
      <c r="C2449" s="17">
        <f>IFERROR(__xludf.DUMMYFUNCTION("""COMPUTED_VALUE"""),43527.1945803125)</f>
        <v>43527.19458</v>
      </c>
      <c r="D2449" s="23">
        <f>IFERROR(__xludf.DUMMYFUNCTION("""COMPUTED_VALUE"""),1.063)</f>
        <v>1.063</v>
      </c>
      <c r="E2449" s="24">
        <f>IFERROR(__xludf.DUMMYFUNCTION("""COMPUTED_VALUE"""),69.0)</f>
        <v>69</v>
      </c>
      <c r="F2449" s="27" t="str">
        <f>IFERROR(__xludf.DUMMYFUNCTION("""COMPUTED_VALUE"""),"BLACK")</f>
        <v>BLACK</v>
      </c>
      <c r="G2449" s="28" t="str">
        <f>IFERROR(__xludf.DUMMYFUNCTION("""COMPUTED_VALUE"""),"First Times a Charm Cider")</f>
        <v>First Times a Charm Cider</v>
      </c>
      <c r="H2449" s="27" t="str">
        <f>IFERROR(__xludf.DUMMYFUNCTION("""COMPUTED_VALUE"""),"")</f>
        <v/>
      </c>
    </row>
    <row r="2450">
      <c r="A2450" s="17"/>
      <c r="B2450" s="23"/>
      <c r="C2450" s="17">
        <f>IFERROR(__xludf.DUMMYFUNCTION("""COMPUTED_VALUE"""),43527.1841596643)</f>
        <v>43527.18416</v>
      </c>
      <c r="D2450" s="23">
        <f>IFERROR(__xludf.DUMMYFUNCTION("""COMPUTED_VALUE"""),1.063)</f>
        <v>1.063</v>
      </c>
      <c r="E2450" s="24">
        <f>IFERROR(__xludf.DUMMYFUNCTION("""COMPUTED_VALUE"""),69.0)</f>
        <v>69</v>
      </c>
      <c r="F2450" s="27" t="str">
        <f>IFERROR(__xludf.DUMMYFUNCTION("""COMPUTED_VALUE"""),"BLACK")</f>
        <v>BLACK</v>
      </c>
      <c r="G2450" s="28" t="str">
        <f>IFERROR(__xludf.DUMMYFUNCTION("""COMPUTED_VALUE"""),"First Times a Charm Cider")</f>
        <v>First Times a Charm Cider</v>
      </c>
      <c r="H2450" s="27" t="str">
        <f>IFERROR(__xludf.DUMMYFUNCTION("""COMPUTED_VALUE"""),"")</f>
        <v/>
      </c>
    </row>
    <row r="2451">
      <c r="A2451" s="17"/>
      <c r="B2451" s="23"/>
      <c r="C2451" s="17">
        <f>IFERROR(__xludf.DUMMYFUNCTION("""COMPUTED_VALUE"""),43527.1737392939)</f>
        <v>43527.17374</v>
      </c>
      <c r="D2451" s="23">
        <f>IFERROR(__xludf.DUMMYFUNCTION("""COMPUTED_VALUE"""),1.063)</f>
        <v>1.063</v>
      </c>
      <c r="E2451" s="24">
        <f>IFERROR(__xludf.DUMMYFUNCTION("""COMPUTED_VALUE"""),69.0)</f>
        <v>69</v>
      </c>
      <c r="F2451" s="27" t="str">
        <f>IFERROR(__xludf.DUMMYFUNCTION("""COMPUTED_VALUE"""),"BLACK")</f>
        <v>BLACK</v>
      </c>
      <c r="G2451" s="28" t="str">
        <f>IFERROR(__xludf.DUMMYFUNCTION("""COMPUTED_VALUE"""),"First Times a Charm Cider")</f>
        <v>First Times a Charm Cider</v>
      </c>
      <c r="H2451" s="27" t="str">
        <f>IFERROR(__xludf.DUMMYFUNCTION("""COMPUTED_VALUE"""),"")</f>
        <v/>
      </c>
    </row>
    <row r="2452">
      <c r="A2452" s="17"/>
      <c r="B2452" s="23"/>
      <c r="C2452" s="17">
        <f>IFERROR(__xludf.DUMMYFUNCTION("""COMPUTED_VALUE"""),43527.163316875)</f>
        <v>43527.16332</v>
      </c>
      <c r="D2452" s="23">
        <f>IFERROR(__xludf.DUMMYFUNCTION("""COMPUTED_VALUE"""),1.063)</f>
        <v>1.063</v>
      </c>
      <c r="E2452" s="24">
        <f>IFERROR(__xludf.DUMMYFUNCTION("""COMPUTED_VALUE"""),69.0)</f>
        <v>69</v>
      </c>
      <c r="F2452" s="27" t="str">
        <f>IFERROR(__xludf.DUMMYFUNCTION("""COMPUTED_VALUE"""),"BLACK")</f>
        <v>BLACK</v>
      </c>
      <c r="G2452" s="28" t="str">
        <f>IFERROR(__xludf.DUMMYFUNCTION("""COMPUTED_VALUE"""),"First Times a Charm Cider")</f>
        <v>First Times a Charm Cider</v>
      </c>
      <c r="H2452" s="27" t="str">
        <f>IFERROR(__xludf.DUMMYFUNCTION("""COMPUTED_VALUE"""),"")</f>
        <v/>
      </c>
    </row>
    <row r="2453">
      <c r="A2453" s="17"/>
      <c r="B2453" s="23"/>
      <c r="C2453" s="17">
        <f>IFERROR(__xludf.DUMMYFUNCTION("""COMPUTED_VALUE"""),43527.1528730092)</f>
        <v>43527.15287</v>
      </c>
      <c r="D2453" s="23">
        <f>IFERROR(__xludf.DUMMYFUNCTION("""COMPUTED_VALUE"""),1.063)</f>
        <v>1.063</v>
      </c>
      <c r="E2453" s="24">
        <f>IFERROR(__xludf.DUMMYFUNCTION("""COMPUTED_VALUE"""),69.0)</f>
        <v>69</v>
      </c>
      <c r="F2453" s="27" t="str">
        <f>IFERROR(__xludf.DUMMYFUNCTION("""COMPUTED_VALUE"""),"BLACK")</f>
        <v>BLACK</v>
      </c>
      <c r="G2453" s="28" t="str">
        <f>IFERROR(__xludf.DUMMYFUNCTION("""COMPUTED_VALUE"""),"First Times a Charm Cider")</f>
        <v>First Times a Charm Cider</v>
      </c>
      <c r="H2453" s="27" t="str">
        <f>IFERROR(__xludf.DUMMYFUNCTION("""COMPUTED_VALUE"""),"")</f>
        <v/>
      </c>
    </row>
    <row r="2454">
      <c r="A2454" s="17"/>
      <c r="B2454" s="23"/>
      <c r="C2454" s="17">
        <f>IFERROR(__xludf.DUMMYFUNCTION("""COMPUTED_VALUE"""),43527.1319858217)</f>
        <v>43527.13199</v>
      </c>
      <c r="D2454" s="23">
        <f>IFERROR(__xludf.DUMMYFUNCTION("""COMPUTED_VALUE"""),1.063)</f>
        <v>1.063</v>
      </c>
      <c r="E2454" s="24">
        <f>IFERROR(__xludf.DUMMYFUNCTION("""COMPUTED_VALUE"""),69.0)</f>
        <v>69</v>
      </c>
      <c r="F2454" s="27" t="str">
        <f>IFERROR(__xludf.DUMMYFUNCTION("""COMPUTED_VALUE"""),"BLACK")</f>
        <v>BLACK</v>
      </c>
      <c r="G2454" s="28" t="str">
        <f>IFERROR(__xludf.DUMMYFUNCTION("""COMPUTED_VALUE"""),"First Times a Charm Cider")</f>
        <v>First Times a Charm Cider</v>
      </c>
      <c r="H2454" s="27" t="str">
        <f>IFERROR(__xludf.DUMMYFUNCTION("""COMPUTED_VALUE"""),"")</f>
        <v/>
      </c>
    </row>
    <row r="2455">
      <c r="A2455" s="17"/>
      <c r="B2455" s="23"/>
      <c r="C2455" s="17">
        <f>IFERROR(__xludf.DUMMYFUNCTION("""COMPUTED_VALUE"""),43527.1215533449)</f>
        <v>43527.12155</v>
      </c>
      <c r="D2455" s="23">
        <f>IFERROR(__xludf.DUMMYFUNCTION("""COMPUTED_VALUE"""),1.063)</f>
        <v>1.063</v>
      </c>
      <c r="E2455" s="24">
        <f>IFERROR(__xludf.DUMMYFUNCTION("""COMPUTED_VALUE"""),69.0)</f>
        <v>69</v>
      </c>
      <c r="F2455" s="27" t="str">
        <f>IFERROR(__xludf.DUMMYFUNCTION("""COMPUTED_VALUE"""),"BLACK")</f>
        <v>BLACK</v>
      </c>
      <c r="G2455" s="28" t="str">
        <f>IFERROR(__xludf.DUMMYFUNCTION("""COMPUTED_VALUE"""),"First Times a Charm Cider")</f>
        <v>First Times a Charm Cider</v>
      </c>
      <c r="H2455" s="27" t="str">
        <f>IFERROR(__xludf.DUMMYFUNCTION("""COMPUTED_VALUE"""),"")</f>
        <v/>
      </c>
    </row>
    <row r="2456">
      <c r="A2456" s="17"/>
      <c r="B2456" s="23"/>
      <c r="C2456" s="17">
        <f>IFERROR(__xludf.DUMMYFUNCTION("""COMPUTED_VALUE"""),43527.1111205671)</f>
        <v>43527.11112</v>
      </c>
      <c r="D2456" s="23">
        <f>IFERROR(__xludf.DUMMYFUNCTION("""COMPUTED_VALUE"""),1.064)</f>
        <v>1.064</v>
      </c>
      <c r="E2456" s="24">
        <f>IFERROR(__xludf.DUMMYFUNCTION("""COMPUTED_VALUE"""),69.0)</f>
        <v>69</v>
      </c>
      <c r="F2456" s="27" t="str">
        <f>IFERROR(__xludf.DUMMYFUNCTION("""COMPUTED_VALUE"""),"BLACK")</f>
        <v>BLACK</v>
      </c>
      <c r="G2456" s="28" t="str">
        <f>IFERROR(__xludf.DUMMYFUNCTION("""COMPUTED_VALUE"""),"First Times a Charm Cider")</f>
        <v>First Times a Charm Cider</v>
      </c>
      <c r="H2456" s="27" t="str">
        <f>IFERROR(__xludf.DUMMYFUNCTION("""COMPUTED_VALUE"""),"")</f>
        <v/>
      </c>
    </row>
    <row r="2457">
      <c r="A2457" s="17"/>
      <c r="B2457" s="23"/>
      <c r="C2457" s="17">
        <f>IFERROR(__xludf.DUMMYFUNCTION("""COMPUTED_VALUE"""),43527.0902527199)</f>
        <v>43527.09025</v>
      </c>
      <c r="D2457" s="23">
        <f>IFERROR(__xludf.DUMMYFUNCTION("""COMPUTED_VALUE"""),1.063)</f>
        <v>1.063</v>
      </c>
      <c r="E2457" s="24">
        <f>IFERROR(__xludf.DUMMYFUNCTION("""COMPUTED_VALUE"""),69.0)</f>
        <v>69</v>
      </c>
      <c r="F2457" s="27" t="str">
        <f>IFERROR(__xludf.DUMMYFUNCTION("""COMPUTED_VALUE"""),"BLACK")</f>
        <v>BLACK</v>
      </c>
      <c r="G2457" s="28" t="str">
        <f>IFERROR(__xludf.DUMMYFUNCTION("""COMPUTED_VALUE"""),"First Times a Charm Cider")</f>
        <v>First Times a Charm Cider</v>
      </c>
      <c r="H2457" s="27" t="str">
        <f>IFERROR(__xludf.DUMMYFUNCTION("""COMPUTED_VALUE"""),"")</f>
        <v/>
      </c>
    </row>
    <row r="2458">
      <c r="A2458" s="17"/>
      <c r="B2458" s="23"/>
      <c r="C2458" s="17">
        <f>IFERROR(__xludf.DUMMYFUNCTION("""COMPUTED_VALUE"""),43527.0798091087)</f>
        <v>43527.07981</v>
      </c>
      <c r="D2458" s="23">
        <f>IFERROR(__xludf.DUMMYFUNCTION("""COMPUTED_VALUE"""),1.063)</f>
        <v>1.063</v>
      </c>
      <c r="E2458" s="24">
        <f>IFERROR(__xludf.DUMMYFUNCTION("""COMPUTED_VALUE"""),69.0)</f>
        <v>69</v>
      </c>
      <c r="F2458" s="27" t="str">
        <f>IFERROR(__xludf.DUMMYFUNCTION("""COMPUTED_VALUE"""),"BLACK")</f>
        <v>BLACK</v>
      </c>
      <c r="G2458" s="28" t="str">
        <f>IFERROR(__xludf.DUMMYFUNCTION("""COMPUTED_VALUE"""),"First Times a Charm Cider")</f>
        <v>First Times a Charm Cider</v>
      </c>
      <c r="H2458" s="27" t="str">
        <f>IFERROR(__xludf.DUMMYFUNCTION("""COMPUTED_VALUE"""),"")</f>
        <v/>
      </c>
    </row>
    <row r="2459">
      <c r="A2459" s="17"/>
      <c r="B2459" s="23"/>
      <c r="C2459" s="17">
        <f>IFERROR(__xludf.DUMMYFUNCTION("""COMPUTED_VALUE"""),43527.0693755439)</f>
        <v>43527.06938</v>
      </c>
      <c r="D2459" s="23">
        <f>IFERROR(__xludf.DUMMYFUNCTION("""COMPUTED_VALUE"""),1.064)</f>
        <v>1.064</v>
      </c>
      <c r="E2459" s="24">
        <f>IFERROR(__xludf.DUMMYFUNCTION("""COMPUTED_VALUE"""),69.0)</f>
        <v>69</v>
      </c>
      <c r="F2459" s="27" t="str">
        <f>IFERROR(__xludf.DUMMYFUNCTION("""COMPUTED_VALUE"""),"BLACK")</f>
        <v>BLACK</v>
      </c>
      <c r="G2459" s="28" t="str">
        <f>IFERROR(__xludf.DUMMYFUNCTION("""COMPUTED_VALUE"""),"First Times a Charm Cider")</f>
        <v>First Times a Charm Cider</v>
      </c>
      <c r="H2459" s="27" t="str">
        <f>IFERROR(__xludf.DUMMYFUNCTION("""COMPUTED_VALUE"""),"")</f>
        <v/>
      </c>
    </row>
    <row r="2460">
      <c r="A2460" s="17"/>
      <c r="B2460" s="23"/>
      <c r="C2460" s="17">
        <f>IFERROR(__xludf.DUMMYFUNCTION("""COMPUTED_VALUE"""),43527.0589330092)</f>
        <v>43527.05893</v>
      </c>
      <c r="D2460" s="23">
        <f>IFERROR(__xludf.DUMMYFUNCTION("""COMPUTED_VALUE"""),1.064)</f>
        <v>1.064</v>
      </c>
      <c r="E2460" s="24">
        <f>IFERROR(__xludf.DUMMYFUNCTION("""COMPUTED_VALUE"""),69.0)</f>
        <v>69</v>
      </c>
      <c r="F2460" s="27" t="str">
        <f>IFERROR(__xludf.DUMMYFUNCTION("""COMPUTED_VALUE"""),"BLACK")</f>
        <v>BLACK</v>
      </c>
      <c r="G2460" s="28" t="str">
        <f>IFERROR(__xludf.DUMMYFUNCTION("""COMPUTED_VALUE"""),"First Times a Charm Cider")</f>
        <v>First Times a Charm Cider</v>
      </c>
      <c r="H2460" s="27" t="str">
        <f>IFERROR(__xludf.DUMMYFUNCTION("""COMPUTED_VALUE"""),"")</f>
        <v/>
      </c>
    </row>
    <row r="2461">
      <c r="A2461" s="17"/>
      <c r="B2461" s="23"/>
      <c r="C2461" s="17">
        <f>IFERROR(__xludf.DUMMYFUNCTION("""COMPUTED_VALUE"""),43527.0485087731)</f>
        <v>43527.04851</v>
      </c>
      <c r="D2461" s="23">
        <f>IFERROR(__xludf.DUMMYFUNCTION("""COMPUTED_VALUE"""),1.064)</f>
        <v>1.064</v>
      </c>
      <c r="E2461" s="24">
        <f>IFERROR(__xludf.DUMMYFUNCTION("""COMPUTED_VALUE"""),69.0)</f>
        <v>69</v>
      </c>
      <c r="F2461" s="27" t="str">
        <f>IFERROR(__xludf.DUMMYFUNCTION("""COMPUTED_VALUE"""),"BLACK")</f>
        <v>BLACK</v>
      </c>
      <c r="G2461" s="28" t="str">
        <f>IFERROR(__xludf.DUMMYFUNCTION("""COMPUTED_VALUE"""),"First Times a Charm Cider")</f>
        <v>First Times a Charm Cider</v>
      </c>
      <c r="H2461" s="27" t="str">
        <f>IFERROR(__xludf.DUMMYFUNCTION("""COMPUTED_VALUE"""),"")</f>
        <v/>
      </c>
    </row>
    <row r="2462">
      <c r="A2462" s="17"/>
      <c r="B2462" s="23"/>
      <c r="C2462" s="17">
        <f>IFERROR(__xludf.DUMMYFUNCTION("""COMPUTED_VALUE"""),43527.0380738888)</f>
        <v>43527.03807</v>
      </c>
      <c r="D2462" s="23">
        <f>IFERROR(__xludf.DUMMYFUNCTION("""COMPUTED_VALUE"""),1.064)</f>
        <v>1.064</v>
      </c>
      <c r="E2462" s="24">
        <f>IFERROR(__xludf.DUMMYFUNCTION("""COMPUTED_VALUE"""),69.0)</f>
        <v>69</v>
      </c>
      <c r="F2462" s="27" t="str">
        <f>IFERROR(__xludf.DUMMYFUNCTION("""COMPUTED_VALUE"""),"BLACK")</f>
        <v>BLACK</v>
      </c>
      <c r="G2462" s="28" t="str">
        <f>IFERROR(__xludf.DUMMYFUNCTION("""COMPUTED_VALUE"""),"First Times a Charm Cider")</f>
        <v>First Times a Charm Cider</v>
      </c>
      <c r="H2462" s="27" t="str">
        <f>IFERROR(__xludf.DUMMYFUNCTION("""COMPUTED_VALUE"""),"")</f>
        <v/>
      </c>
    </row>
    <row r="2463">
      <c r="A2463" s="17"/>
      <c r="B2463" s="23"/>
      <c r="C2463" s="17">
        <f>IFERROR(__xludf.DUMMYFUNCTION("""COMPUTED_VALUE"""),43527.0276418287)</f>
        <v>43527.02764</v>
      </c>
      <c r="D2463" s="23">
        <f>IFERROR(__xludf.DUMMYFUNCTION("""COMPUTED_VALUE"""),1.064)</f>
        <v>1.064</v>
      </c>
      <c r="E2463" s="24">
        <f>IFERROR(__xludf.DUMMYFUNCTION("""COMPUTED_VALUE"""),69.0)</f>
        <v>69</v>
      </c>
      <c r="F2463" s="27" t="str">
        <f>IFERROR(__xludf.DUMMYFUNCTION("""COMPUTED_VALUE"""),"BLACK")</f>
        <v>BLACK</v>
      </c>
      <c r="G2463" s="28" t="str">
        <f>IFERROR(__xludf.DUMMYFUNCTION("""COMPUTED_VALUE"""),"First Times a Charm Cider")</f>
        <v>First Times a Charm Cider</v>
      </c>
      <c r="H2463" s="27" t="str">
        <f>IFERROR(__xludf.DUMMYFUNCTION("""COMPUTED_VALUE"""),"")</f>
        <v/>
      </c>
    </row>
    <row r="2464">
      <c r="A2464" s="17"/>
      <c r="B2464" s="23"/>
      <c r="C2464" s="17">
        <f>IFERROR(__xludf.DUMMYFUNCTION("""COMPUTED_VALUE"""),43527.017209537)</f>
        <v>43527.01721</v>
      </c>
      <c r="D2464" s="23">
        <f>IFERROR(__xludf.DUMMYFUNCTION("""COMPUTED_VALUE"""),1.064)</f>
        <v>1.064</v>
      </c>
      <c r="E2464" s="24">
        <f>IFERROR(__xludf.DUMMYFUNCTION("""COMPUTED_VALUE"""),69.0)</f>
        <v>69</v>
      </c>
      <c r="F2464" s="27" t="str">
        <f>IFERROR(__xludf.DUMMYFUNCTION("""COMPUTED_VALUE"""),"BLACK")</f>
        <v>BLACK</v>
      </c>
      <c r="G2464" s="28" t="str">
        <f>IFERROR(__xludf.DUMMYFUNCTION("""COMPUTED_VALUE"""),"First Times a Charm Cider")</f>
        <v>First Times a Charm Cider</v>
      </c>
      <c r="H2464" s="27" t="str">
        <f>IFERROR(__xludf.DUMMYFUNCTION("""COMPUTED_VALUE"""),"")</f>
        <v/>
      </c>
    </row>
    <row r="2465">
      <c r="A2465" s="17"/>
      <c r="B2465" s="23"/>
      <c r="C2465" s="17">
        <f>IFERROR(__xludf.DUMMYFUNCTION("""COMPUTED_VALUE"""),43527.0067879861)</f>
        <v>43527.00679</v>
      </c>
      <c r="D2465" s="23">
        <f>IFERROR(__xludf.DUMMYFUNCTION("""COMPUTED_VALUE"""),1.064)</f>
        <v>1.064</v>
      </c>
      <c r="E2465" s="24">
        <f>IFERROR(__xludf.DUMMYFUNCTION("""COMPUTED_VALUE"""),69.0)</f>
        <v>69</v>
      </c>
      <c r="F2465" s="27" t="str">
        <f>IFERROR(__xludf.DUMMYFUNCTION("""COMPUTED_VALUE"""),"BLACK")</f>
        <v>BLACK</v>
      </c>
      <c r="G2465" s="28" t="str">
        <f>IFERROR(__xludf.DUMMYFUNCTION("""COMPUTED_VALUE"""),"First Times a Charm Cider")</f>
        <v>First Times a Charm Cider</v>
      </c>
      <c r="H2465" s="27" t="str">
        <f>IFERROR(__xludf.DUMMYFUNCTION("""COMPUTED_VALUE"""),"")</f>
        <v/>
      </c>
    </row>
    <row r="2466">
      <c r="A2466" s="17"/>
      <c r="B2466" s="23"/>
      <c r="C2466" s="17">
        <f>IFERROR(__xludf.DUMMYFUNCTION("""COMPUTED_VALUE"""),43526.9963660185)</f>
        <v>43526.99637</v>
      </c>
      <c r="D2466" s="23">
        <f>IFERROR(__xludf.DUMMYFUNCTION("""COMPUTED_VALUE"""),1.064)</f>
        <v>1.064</v>
      </c>
      <c r="E2466" s="24">
        <f>IFERROR(__xludf.DUMMYFUNCTION("""COMPUTED_VALUE"""),69.0)</f>
        <v>69</v>
      </c>
      <c r="F2466" s="27" t="str">
        <f>IFERROR(__xludf.DUMMYFUNCTION("""COMPUTED_VALUE"""),"BLACK")</f>
        <v>BLACK</v>
      </c>
      <c r="G2466" s="28" t="str">
        <f>IFERROR(__xludf.DUMMYFUNCTION("""COMPUTED_VALUE"""),"First Times a Charm Cider")</f>
        <v>First Times a Charm Cider</v>
      </c>
      <c r="H2466" s="27" t="str">
        <f>IFERROR(__xludf.DUMMYFUNCTION("""COMPUTED_VALUE"""),"")</f>
        <v/>
      </c>
    </row>
    <row r="2467">
      <c r="A2467" s="17"/>
      <c r="B2467" s="23"/>
      <c r="C2467" s="17">
        <f>IFERROR(__xludf.DUMMYFUNCTION("""COMPUTED_VALUE"""),43526.9859442592)</f>
        <v>43526.98594</v>
      </c>
      <c r="D2467" s="23">
        <f>IFERROR(__xludf.DUMMYFUNCTION("""COMPUTED_VALUE"""),1.064)</f>
        <v>1.064</v>
      </c>
      <c r="E2467" s="24">
        <f>IFERROR(__xludf.DUMMYFUNCTION("""COMPUTED_VALUE"""),69.0)</f>
        <v>69</v>
      </c>
      <c r="F2467" s="27" t="str">
        <f>IFERROR(__xludf.DUMMYFUNCTION("""COMPUTED_VALUE"""),"BLACK")</f>
        <v>BLACK</v>
      </c>
      <c r="G2467" s="28" t="str">
        <f>IFERROR(__xludf.DUMMYFUNCTION("""COMPUTED_VALUE"""),"First Times a Charm Cider")</f>
        <v>First Times a Charm Cider</v>
      </c>
      <c r="H2467" s="27" t="str">
        <f>IFERROR(__xludf.DUMMYFUNCTION("""COMPUTED_VALUE"""),"")</f>
        <v/>
      </c>
    </row>
    <row r="2468">
      <c r="A2468" s="17"/>
      <c r="B2468" s="23"/>
      <c r="C2468" s="17">
        <f>IFERROR(__xludf.DUMMYFUNCTION("""COMPUTED_VALUE"""),43526.9755010185)</f>
        <v>43526.9755</v>
      </c>
      <c r="D2468" s="23">
        <f>IFERROR(__xludf.DUMMYFUNCTION("""COMPUTED_VALUE"""),1.064)</f>
        <v>1.064</v>
      </c>
      <c r="E2468" s="24">
        <f>IFERROR(__xludf.DUMMYFUNCTION("""COMPUTED_VALUE"""),69.0)</f>
        <v>69</v>
      </c>
      <c r="F2468" s="27" t="str">
        <f>IFERROR(__xludf.DUMMYFUNCTION("""COMPUTED_VALUE"""),"BLACK")</f>
        <v>BLACK</v>
      </c>
      <c r="G2468" s="28" t="str">
        <f>IFERROR(__xludf.DUMMYFUNCTION("""COMPUTED_VALUE"""),"First Times a Charm Cider")</f>
        <v>First Times a Charm Cider</v>
      </c>
      <c r="H2468" s="27" t="str">
        <f>IFERROR(__xludf.DUMMYFUNCTION("""COMPUTED_VALUE"""),"")</f>
        <v/>
      </c>
    </row>
    <row r="2469">
      <c r="A2469" s="17"/>
      <c r="B2469" s="23"/>
      <c r="C2469" s="17">
        <f>IFERROR(__xludf.DUMMYFUNCTION("""COMPUTED_VALUE"""),43526.9650805439)</f>
        <v>43526.96508</v>
      </c>
      <c r="D2469" s="23">
        <f>IFERROR(__xludf.DUMMYFUNCTION("""COMPUTED_VALUE"""),1.064)</f>
        <v>1.064</v>
      </c>
      <c r="E2469" s="24">
        <f>IFERROR(__xludf.DUMMYFUNCTION("""COMPUTED_VALUE"""),69.0)</f>
        <v>69</v>
      </c>
      <c r="F2469" s="27" t="str">
        <f>IFERROR(__xludf.DUMMYFUNCTION("""COMPUTED_VALUE"""),"BLACK")</f>
        <v>BLACK</v>
      </c>
      <c r="G2469" s="28" t="str">
        <f>IFERROR(__xludf.DUMMYFUNCTION("""COMPUTED_VALUE"""),"First Times a Charm Cider")</f>
        <v>First Times a Charm Cider</v>
      </c>
      <c r="H2469" s="27" t="str">
        <f>IFERROR(__xludf.DUMMYFUNCTION("""COMPUTED_VALUE"""),"")</f>
        <v/>
      </c>
    </row>
    <row r="2470">
      <c r="A2470" s="17"/>
      <c r="B2470" s="23"/>
      <c r="C2470" s="17">
        <f>IFERROR(__xludf.DUMMYFUNCTION("""COMPUTED_VALUE"""),43526.9546486574)</f>
        <v>43526.95465</v>
      </c>
      <c r="D2470" s="23">
        <f>IFERROR(__xludf.DUMMYFUNCTION("""COMPUTED_VALUE"""),1.064)</f>
        <v>1.064</v>
      </c>
      <c r="E2470" s="24">
        <f>IFERROR(__xludf.DUMMYFUNCTION("""COMPUTED_VALUE"""),69.0)</f>
        <v>69</v>
      </c>
      <c r="F2470" s="27" t="str">
        <f>IFERROR(__xludf.DUMMYFUNCTION("""COMPUTED_VALUE"""),"BLACK")</f>
        <v>BLACK</v>
      </c>
      <c r="G2470" s="28" t="str">
        <f>IFERROR(__xludf.DUMMYFUNCTION("""COMPUTED_VALUE"""),"First Times a Charm Cider")</f>
        <v>First Times a Charm Cider</v>
      </c>
      <c r="H2470" s="27" t="str">
        <f>IFERROR(__xludf.DUMMYFUNCTION("""COMPUTED_VALUE"""),"")</f>
        <v/>
      </c>
    </row>
    <row r="2471">
      <c r="A2471" s="17"/>
      <c r="B2471" s="23"/>
      <c r="C2471" s="17">
        <f>IFERROR(__xludf.DUMMYFUNCTION("""COMPUTED_VALUE"""),43526.9442251736)</f>
        <v>43526.94423</v>
      </c>
      <c r="D2471" s="23">
        <f>IFERROR(__xludf.DUMMYFUNCTION("""COMPUTED_VALUE"""),1.064)</f>
        <v>1.064</v>
      </c>
      <c r="E2471" s="24">
        <f>IFERROR(__xludf.DUMMYFUNCTION("""COMPUTED_VALUE"""),69.0)</f>
        <v>69</v>
      </c>
      <c r="F2471" s="27" t="str">
        <f>IFERROR(__xludf.DUMMYFUNCTION("""COMPUTED_VALUE"""),"BLACK")</f>
        <v>BLACK</v>
      </c>
      <c r="G2471" s="28" t="str">
        <f>IFERROR(__xludf.DUMMYFUNCTION("""COMPUTED_VALUE"""),"First Times a Charm Cider")</f>
        <v>First Times a Charm Cider</v>
      </c>
      <c r="H2471" s="27" t="str">
        <f>IFERROR(__xludf.DUMMYFUNCTION("""COMPUTED_VALUE"""),"")</f>
        <v/>
      </c>
    </row>
    <row r="2472">
      <c r="A2472" s="17"/>
      <c r="B2472" s="23"/>
      <c r="C2472" s="17">
        <f>IFERROR(__xludf.DUMMYFUNCTION("""COMPUTED_VALUE"""),43526.9338041898)</f>
        <v>43526.9338</v>
      </c>
      <c r="D2472" s="23">
        <f>IFERROR(__xludf.DUMMYFUNCTION("""COMPUTED_VALUE"""),1.064)</f>
        <v>1.064</v>
      </c>
      <c r="E2472" s="24">
        <f>IFERROR(__xludf.DUMMYFUNCTION("""COMPUTED_VALUE"""),69.0)</f>
        <v>69</v>
      </c>
      <c r="F2472" s="27" t="str">
        <f>IFERROR(__xludf.DUMMYFUNCTION("""COMPUTED_VALUE"""),"BLACK")</f>
        <v>BLACK</v>
      </c>
      <c r="G2472" s="28" t="str">
        <f>IFERROR(__xludf.DUMMYFUNCTION("""COMPUTED_VALUE"""),"First Times a Charm Cider")</f>
        <v>First Times a Charm Cider</v>
      </c>
      <c r="H2472" s="27" t="str">
        <f>IFERROR(__xludf.DUMMYFUNCTION("""COMPUTED_VALUE"""),"")</f>
        <v/>
      </c>
    </row>
    <row r="2473">
      <c r="A2473" s="17"/>
      <c r="B2473" s="23"/>
      <c r="C2473" s="17">
        <f>IFERROR(__xludf.DUMMYFUNCTION("""COMPUTED_VALUE"""),43526.9233826504)</f>
        <v>43526.92338</v>
      </c>
      <c r="D2473" s="23">
        <f>IFERROR(__xludf.DUMMYFUNCTION("""COMPUTED_VALUE"""),1.064)</f>
        <v>1.064</v>
      </c>
      <c r="E2473" s="24">
        <f>IFERROR(__xludf.DUMMYFUNCTION("""COMPUTED_VALUE"""),69.0)</f>
        <v>69</v>
      </c>
      <c r="F2473" s="27" t="str">
        <f>IFERROR(__xludf.DUMMYFUNCTION("""COMPUTED_VALUE"""),"BLACK")</f>
        <v>BLACK</v>
      </c>
      <c r="G2473" s="28" t="str">
        <f>IFERROR(__xludf.DUMMYFUNCTION("""COMPUTED_VALUE"""),"First Times a Charm Cider")</f>
        <v>First Times a Charm Cider</v>
      </c>
      <c r="H2473" s="27" t="str">
        <f>IFERROR(__xludf.DUMMYFUNCTION("""COMPUTED_VALUE"""),"")</f>
        <v/>
      </c>
    </row>
    <row r="2474">
      <c r="A2474" s="17"/>
      <c r="B2474" s="23"/>
      <c r="C2474" s="17">
        <f>IFERROR(__xludf.DUMMYFUNCTION("""COMPUTED_VALUE"""),43526.9129601273)</f>
        <v>43526.91296</v>
      </c>
      <c r="D2474" s="23">
        <f>IFERROR(__xludf.DUMMYFUNCTION("""COMPUTED_VALUE"""),1.064)</f>
        <v>1.064</v>
      </c>
      <c r="E2474" s="24">
        <f>IFERROR(__xludf.DUMMYFUNCTION("""COMPUTED_VALUE"""),69.0)</f>
        <v>69</v>
      </c>
      <c r="F2474" s="27" t="str">
        <f>IFERROR(__xludf.DUMMYFUNCTION("""COMPUTED_VALUE"""),"BLACK")</f>
        <v>BLACK</v>
      </c>
      <c r="G2474" s="28" t="str">
        <f>IFERROR(__xludf.DUMMYFUNCTION("""COMPUTED_VALUE"""),"First Times a Charm Cider")</f>
        <v>First Times a Charm Cider</v>
      </c>
      <c r="H2474" s="27" t="str">
        <f>IFERROR(__xludf.DUMMYFUNCTION("""COMPUTED_VALUE"""),"")</f>
        <v/>
      </c>
    </row>
    <row r="2475">
      <c r="A2475" s="17"/>
      <c r="B2475" s="23"/>
      <c r="C2475" s="17">
        <f>IFERROR(__xludf.DUMMYFUNCTION("""COMPUTED_VALUE"""),43526.8921056365)</f>
        <v>43526.89211</v>
      </c>
      <c r="D2475" s="23">
        <f>IFERROR(__xludf.DUMMYFUNCTION("""COMPUTED_VALUE"""),1.064)</f>
        <v>1.064</v>
      </c>
      <c r="E2475" s="24">
        <f>IFERROR(__xludf.DUMMYFUNCTION("""COMPUTED_VALUE"""),69.0)</f>
        <v>69</v>
      </c>
      <c r="F2475" s="27" t="str">
        <f>IFERROR(__xludf.DUMMYFUNCTION("""COMPUTED_VALUE"""),"BLACK")</f>
        <v>BLACK</v>
      </c>
      <c r="G2475" s="28" t="str">
        <f>IFERROR(__xludf.DUMMYFUNCTION("""COMPUTED_VALUE"""),"First Times a Charm Cider")</f>
        <v>First Times a Charm Cider</v>
      </c>
      <c r="H2475" s="27" t="str">
        <f>IFERROR(__xludf.DUMMYFUNCTION("""COMPUTED_VALUE"""),"")</f>
        <v/>
      </c>
    </row>
    <row r="2476">
      <c r="A2476" s="17"/>
      <c r="B2476" s="23"/>
      <c r="C2476" s="17">
        <f>IFERROR(__xludf.DUMMYFUNCTION("""COMPUTED_VALUE"""),43526.8712403472)</f>
        <v>43526.87124</v>
      </c>
      <c r="D2476" s="23">
        <f>IFERROR(__xludf.DUMMYFUNCTION("""COMPUTED_VALUE"""),1.064)</f>
        <v>1.064</v>
      </c>
      <c r="E2476" s="24">
        <f>IFERROR(__xludf.DUMMYFUNCTION("""COMPUTED_VALUE"""),69.0)</f>
        <v>69</v>
      </c>
      <c r="F2476" s="27" t="str">
        <f>IFERROR(__xludf.DUMMYFUNCTION("""COMPUTED_VALUE"""),"BLACK")</f>
        <v>BLACK</v>
      </c>
      <c r="G2476" s="28" t="str">
        <f>IFERROR(__xludf.DUMMYFUNCTION("""COMPUTED_VALUE"""),"First Times a Charm Cider")</f>
        <v>First Times a Charm Cider</v>
      </c>
      <c r="H2476" s="27" t="str">
        <f>IFERROR(__xludf.DUMMYFUNCTION("""COMPUTED_VALUE"""),"")</f>
        <v/>
      </c>
    </row>
    <row r="2477">
      <c r="A2477" s="17"/>
      <c r="B2477" s="23"/>
      <c r="C2477" s="17">
        <f>IFERROR(__xludf.DUMMYFUNCTION("""COMPUTED_VALUE"""),43526.8607963078)</f>
        <v>43526.8608</v>
      </c>
      <c r="D2477" s="23">
        <f>IFERROR(__xludf.DUMMYFUNCTION("""COMPUTED_VALUE"""),1.064)</f>
        <v>1.064</v>
      </c>
      <c r="E2477" s="24">
        <f>IFERROR(__xludf.DUMMYFUNCTION("""COMPUTED_VALUE"""),69.0)</f>
        <v>69</v>
      </c>
      <c r="F2477" s="27" t="str">
        <f>IFERROR(__xludf.DUMMYFUNCTION("""COMPUTED_VALUE"""),"BLACK")</f>
        <v>BLACK</v>
      </c>
      <c r="G2477" s="28" t="str">
        <f>IFERROR(__xludf.DUMMYFUNCTION("""COMPUTED_VALUE"""),"First Times a Charm Cider")</f>
        <v>First Times a Charm Cider</v>
      </c>
      <c r="H2477" s="27" t="str">
        <f>IFERROR(__xludf.DUMMYFUNCTION("""COMPUTED_VALUE"""),"")</f>
        <v/>
      </c>
    </row>
    <row r="2478">
      <c r="A2478" s="17"/>
      <c r="B2478" s="23"/>
      <c r="C2478" s="17">
        <f>IFERROR(__xludf.DUMMYFUNCTION("""COMPUTED_VALUE"""),43526.8503635995)</f>
        <v>43526.85036</v>
      </c>
      <c r="D2478" s="23">
        <f>IFERROR(__xludf.DUMMYFUNCTION("""COMPUTED_VALUE"""),1.064)</f>
        <v>1.064</v>
      </c>
      <c r="E2478" s="24">
        <f>IFERROR(__xludf.DUMMYFUNCTION("""COMPUTED_VALUE"""),69.0)</f>
        <v>69</v>
      </c>
      <c r="F2478" s="27" t="str">
        <f>IFERROR(__xludf.DUMMYFUNCTION("""COMPUTED_VALUE"""),"BLACK")</f>
        <v>BLACK</v>
      </c>
      <c r="G2478" s="28" t="str">
        <f>IFERROR(__xludf.DUMMYFUNCTION("""COMPUTED_VALUE"""),"First Times a Charm Cider")</f>
        <v>First Times a Charm Cider</v>
      </c>
      <c r="H2478" s="27" t="str">
        <f>IFERROR(__xludf.DUMMYFUNCTION("""COMPUTED_VALUE"""),"")</f>
        <v/>
      </c>
    </row>
    <row r="2479">
      <c r="A2479" s="17"/>
      <c r="B2479" s="23"/>
      <c r="C2479" s="17">
        <f>IFERROR(__xludf.DUMMYFUNCTION("""COMPUTED_VALUE"""),43526.8294745949)</f>
        <v>43526.82947</v>
      </c>
      <c r="D2479" s="23">
        <f>IFERROR(__xludf.DUMMYFUNCTION("""COMPUTED_VALUE"""),1.064)</f>
        <v>1.064</v>
      </c>
      <c r="E2479" s="24">
        <f>IFERROR(__xludf.DUMMYFUNCTION("""COMPUTED_VALUE"""),69.0)</f>
        <v>69</v>
      </c>
      <c r="F2479" s="27" t="str">
        <f>IFERROR(__xludf.DUMMYFUNCTION("""COMPUTED_VALUE"""),"BLACK")</f>
        <v>BLACK</v>
      </c>
      <c r="G2479" s="28" t="str">
        <f>IFERROR(__xludf.DUMMYFUNCTION("""COMPUTED_VALUE"""),"First Times a Charm Cider")</f>
        <v>First Times a Charm Cider</v>
      </c>
      <c r="H2479" s="27" t="str">
        <f>IFERROR(__xludf.DUMMYFUNCTION("""COMPUTED_VALUE"""),"")</f>
        <v/>
      </c>
    </row>
    <row r="2480">
      <c r="A2480" s="17"/>
      <c r="B2480" s="23"/>
      <c r="C2480" s="17">
        <f>IFERROR(__xludf.DUMMYFUNCTION("""COMPUTED_VALUE"""),43526.8190530902)</f>
        <v>43526.81905</v>
      </c>
      <c r="D2480" s="23">
        <f>IFERROR(__xludf.DUMMYFUNCTION("""COMPUTED_VALUE"""),1.064)</f>
        <v>1.064</v>
      </c>
      <c r="E2480" s="24">
        <f>IFERROR(__xludf.DUMMYFUNCTION("""COMPUTED_VALUE"""),69.0)</f>
        <v>69</v>
      </c>
      <c r="F2480" s="27" t="str">
        <f>IFERROR(__xludf.DUMMYFUNCTION("""COMPUTED_VALUE"""),"BLACK")</f>
        <v>BLACK</v>
      </c>
      <c r="G2480" s="28" t="str">
        <f>IFERROR(__xludf.DUMMYFUNCTION("""COMPUTED_VALUE"""),"First Times a Charm Cider")</f>
        <v>First Times a Charm Cider</v>
      </c>
      <c r="H2480" s="27" t="str">
        <f>IFERROR(__xludf.DUMMYFUNCTION("""COMPUTED_VALUE"""),"")</f>
        <v/>
      </c>
    </row>
    <row r="2481">
      <c r="A2481" s="17"/>
      <c r="B2481" s="23"/>
      <c r="C2481" s="17">
        <f>IFERROR(__xludf.DUMMYFUNCTION("""COMPUTED_VALUE"""),43526.7981880324)</f>
        <v>43526.79819</v>
      </c>
      <c r="D2481" s="23">
        <f>IFERROR(__xludf.DUMMYFUNCTION("""COMPUTED_VALUE"""),1.065)</f>
        <v>1.065</v>
      </c>
      <c r="E2481" s="24">
        <f>IFERROR(__xludf.DUMMYFUNCTION("""COMPUTED_VALUE"""),69.0)</f>
        <v>69</v>
      </c>
      <c r="F2481" s="27" t="str">
        <f>IFERROR(__xludf.DUMMYFUNCTION("""COMPUTED_VALUE"""),"BLACK")</f>
        <v>BLACK</v>
      </c>
      <c r="G2481" s="28" t="str">
        <f>IFERROR(__xludf.DUMMYFUNCTION("""COMPUTED_VALUE"""),"First Times a Charm Cider")</f>
        <v>First Times a Charm Cider</v>
      </c>
      <c r="H2481" s="27" t="str">
        <f>IFERROR(__xludf.DUMMYFUNCTION("""COMPUTED_VALUE"""),"")</f>
        <v/>
      </c>
    </row>
    <row r="2482">
      <c r="A2482" s="17"/>
      <c r="B2482" s="23"/>
      <c r="C2482" s="17">
        <f>IFERROR(__xludf.DUMMYFUNCTION("""COMPUTED_VALUE"""),43526.7877675925)</f>
        <v>43526.78777</v>
      </c>
      <c r="D2482" s="23">
        <f>IFERROR(__xludf.DUMMYFUNCTION("""COMPUTED_VALUE"""),1.065)</f>
        <v>1.065</v>
      </c>
      <c r="E2482" s="24">
        <f>IFERROR(__xludf.DUMMYFUNCTION("""COMPUTED_VALUE"""),69.0)</f>
        <v>69</v>
      </c>
      <c r="F2482" s="27" t="str">
        <f>IFERROR(__xludf.DUMMYFUNCTION("""COMPUTED_VALUE"""),"BLACK")</f>
        <v>BLACK</v>
      </c>
      <c r="G2482" s="28" t="str">
        <f>IFERROR(__xludf.DUMMYFUNCTION("""COMPUTED_VALUE"""),"First Times a Charm Cider")</f>
        <v>First Times a Charm Cider</v>
      </c>
      <c r="H2482" s="27" t="str">
        <f>IFERROR(__xludf.DUMMYFUNCTION("""COMPUTED_VALUE"""),"")</f>
        <v/>
      </c>
    </row>
    <row r="2483">
      <c r="A2483" s="17"/>
      <c r="B2483" s="23"/>
      <c r="C2483" s="17">
        <f>IFERROR(__xludf.DUMMYFUNCTION("""COMPUTED_VALUE"""),43526.7773464699)</f>
        <v>43526.77735</v>
      </c>
      <c r="D2483" s="23">
        <f>IFERROR(__xludf.DUMMYFUNCTION("""COMPUTED_VALUE"""),1.065)</f>
        <v>1.065</v>
      </c>
      <c r="E2483" s="24">
        <f>IFERROR(__xludf.DUMMYFUNCTION("""COMPUTED_VALUE"""),69.0)</f>
        <v>69</v>
      </c>
      <c r="F2483" s="27" t="str">
        <f>IFERROR(__xludf.DUMMYFUNCTION("""COMPUTED_VALUE"""),"BLACK")</f>
        <v>BLACK</v>
      </c>
      <c r="G2483" s="28" t="str">
        <f>IFERROR(__xludf.DUMMYFUNCTION("""COMPUTED_VALUE"""),"First Times a Charm Cider")</f>
        <v>First Times a Charm Cider</v>
      </c>
      <c r="H2483" s="27" t="str">
        <f>IFERROR(__xludf.DUMMYFUNCTION("""COMPUTED_VALUE"""),"")</f>
        <v/>
      </c>
    </row>
    <row r="2484">
      <c r="A2484" s="17"/>
      <c r="B2484" s="23"/>
      <c r="C2484" s="17">
        <f>IFERROR(__xludf.DUMMYFUNCTION("""COMPUTED_VALUE"""),43526.746048125)</f>
        <v>43526.74605</v>
      </c>
      <c r="D2484" s="23">
        <f>IFERROR(__xludf.DUMMYFUNCTION("""COMPUTED_VALUE"""),1.065)</f>
        <v>1.065</v>
      </c>
      <c r="E2484" s="24">
        <f>IFERROR(__xludf.DUMMYFUNCTION("""COMPUTED_VALUE"""),69.0)</f>
        <v>69</v>
      </c>
      <c r="F2484" s="27" t="str">
        <f>IFERROR(__xludf.DUMMYFUNCTION("""COMPUTED_VALUE"""),"BLACK")</f>
        <v>BLACK</v>
      </c>
      <c r="G2484" s="28" t="str">
        <f>IFERROR(__xludf.DUMMYFUNCTION("""COMPUTED_VALUE"""),"First Times a Charm Cider")</f>
        <v>First Times a Charm Cider</v>
      </c>
      <c r="H2484" s="27" t="str">
        <f>IFERROR(__xludf.DUMMYFUNCTION("""COMPUTED_VALUE"""),"")</f>
        <v/>
      </c>
    </row>
    <row r="2485">
      <c r="A2485" s="17"/>
      <c r="B2485" s="23"/>
      <c r="C2485" s="17">
        <f>IFERROR(__xludf.DUMMYFUNCTION("""COMPUTED_VALUE"""),43526.7147721759)</f>
        <v>43526.71477</v>
      </c>
      <c r="D2485" s="23">
        <f>IFERROR(__xludf.DUMMYFUNCTION("""COMPUTED_VALUE"""),1.065)</f>
        <v>1.065</v>
      </c>
      <c r="E2485" s="24">
        <f>IFERROR(__xludf.DUMMYFUNCTION("""COMPUTED_VALUE"""),69.0)</f>
        <v>69</v>
      </c>
      <c r="F2485" s="27" t="str">
        <f>IFERROR(__xludf.DUMMYFUNCTION("""COMPUTED_VALUE"""),"BLACK")</f>
        <v>BLACK</v>
      </c>
      <c r="G2485" s="28" t="str">
        <f>IFERROR(__xludf.DUMMYFUNCTION("""COMPUTED_VALUE"""),"First Times a Charm Cider")</f>
        <v>First Times a Charm Cider</v>
      </c>
      <c r="H2485" s="27" t="str">
        <f>IFERROR(__xludf.DUMMYFUNCTION("""COMPUTED_VALUE"""),"")</f>
        <v/>
      </c>
    </row>
    <row r="2486">
      <c r="A2486" s="17"/>
      <c r="B2486" s="23"/>
      <c r="C2486" s="17">
        <f>IFERROR(__xludf.DUMMYFUNCTION("""COMPUTED_VALUE"""),43526.7043527662)</f>
        <v>43526.70435</v>
      </c>
      <c r="D2486" s="23">
        <f>IFERROR(__xludf.DUMMYFUNCTION("""COMPUTED_VALUE"""),1.065)</f>
        <v>1.065</v>
      </c>
      <c r="E2486" s="24">
        <f>IFERROR(__xludf.DUMMYFUNCTION("""COMPUTED_VALUE"""),69.0)</f>
        <v>69</v>
      </c>
      <c r="F2486" s="27" t="str">
        <f>IFERROR(__xludf.DUMMYFUNCTION("""COMPUTED_VALUE"""),"BLACK")</f>
        <v>BLACK</v>
      </c>
      <c r="G2486" s="28" t="str">
        <f>IFERROR(__xludf.DUMMYFUNCTION("""COMPUTED_VALUE"""),"First Times a Charm Cider")</f>
        <v>First Times a Charm Cider</v>
      </c>
      <c r="H2486" s="27" t="str">
        <f>IFERROR(__xludf.DUMMYFUNCTION("""COMPUTED_VALUE"""),"")</f>
        <v/>
      </c>
    </row>
    <row r="2487">
      <c r="A2487" s="17"/>
      <c r="B2487" s="23"/>
      <c r="C2487" s="17">
        <f>IFERROR(__xludf.DUMMYFUNCTION("""COMPUTED_VALUE"""),43526.6835100347)</f>
        <v>43526.68351</v>
      </c>
      <c r="D2487" s="23">
        <f>IFERROR(__xludf.DUMMYFUNCTION("""COMPUTED_VALUE"""),1.065)</f>
        <v>1.065</v>
      </c>
      <c r="E2487" s="24">
        <f>IFERROR(__xludf.DUMMYFUNCTION("""COMPUTED_VALUE"""),69.0)</f>
        <v>69</v>
      </c>
      <c r="F2487" s="27" t="str">
        <f>IFERROR(__xludf.DUMMYFUNCTION("""COMPUTED_VALUE"""),"BLACK")</f>
        <v>BLACK</v>
      </c>
      <c r="G2487" s="28" t="str">
        <f>IFERROR(__xludf.DUMMYFUNCTION("""COMPUTED_VALUE"""),"First Times a Charm Cider")</f>
        <v>First Times a Charm Cider</v>
      </c>
      <c r="H2487" s="27" t="str">
        <f>IFERROR(__xludf.DUMMYFUNCTION("""COMPUTED_VALUE"""),"")</f>
        <v/>
      </c>
    </row>
    <row r="2488">
      <c r="A2488" s="17"/>
      <c r="B2488" s="23"/>
      <c r="C2488" s="17">
        <f>IFERROR(__xludf.DUMMYFUNCTION("""COMPUTED_VALUE"""),43526.6730882986)</f>
        <v>43526.67309</v>
      </c>
      <c r="D2488" s="23">
        <f>IFERROR(__xludf.DUMMYFUNCTION("""COMPUTED_VALUE"""),1.065)</f>
        <v>1.065</v>
      </c>
      <c r="E2488" s="24">
        <f>IFERROR(__xludf.DUMMYFUNCTION("""COMPUTED_VALUE"""),69.0)</f>
        <v>69</v>
      </c>
      <c r="F2488" s="27" t="str">
        <f>IFERROR(__xludf.DUMMYFUNCTION("""COMPUTED_VALUE"""),"BLACK")</f>
        <v>BLACK</v>
      </c>
      <c r="G2488" s="28" t="str">
        <f>IFERROR(__xludf.DUMMYFUNCTION("""COMPUTED_VALUE"""),"First Times a Charm Cider")</f>
        <v>First Times a Charm Cider</v>
      </c>
      <c r="H2488" s="27" t="str">
        <f>IFERROR(__xludf.DUMMYFUNCTION("""COMPUTED_VALUE"""),"")</f>
        <v/>
      </c>
    </row>
    <row r="2489">
      <c r="A2489" s="17"/>
      <c r="B2489" s="23"/>
      <c r="C2489" s="17">
        <f>IFERROR(__xludf.DUMMYFUNCTION("""COMPUTED_VALUE"""),43526.6522471527)</f>
        <v>43526.65225</v>
      </c>
      <c r="D2489" s="23">
        <f>IFERROR(__xludf.DUMMYFUNCTION("""COMPUTED_VALUE"""),1.065)</f>
        <v>1.065</v>
      </c>
      <c r="E2489" s="24">
        <f>IFERROR(__xludf.DUMMYFUNCTION("""COMPUTED_VALUE"""),69.0)</f>
        <v>69</v>
      </c>
      <c r="F2489" s="27" t="str">
        <f>IFERROR(__xludf.DUMMYFUNCTION("""COMPUTED_VALUE"""),"BLACK")</f>
        <v>BLACK</v>
      </c>
      <c r="G2489" s="28" t="str">
        <f>IFERROR(__xludf.DUMMYFUNCTION("""COMPUTED_VALUE"""),"First Times a Charm Cider")</f>
        <v>First Times a Charm Cider</v>
      </c>
      <c r="H2489" s="27" t="str">
        <f>IFERROR(__xludf.DUMMYFUNCTION("""COMPUTED_VALUE"""),"")</f>
        <v/>
      </c>
    </row>
    <row r="2490">
      <c r="A2490" s="17"/>
      <c r="B2490" s="23"/>
      <c r="C2490" s="17">
        <f>IFERROR(__xludf.DUMMYFUNCTION("""COMPUTED_VALUE"""),43526.6418142708)</f>
        <v>43526.64181</v>
      </c>
      <c r="D2490" s="23">
        <f>IFERROR(__xludf.DUMMYFUNCTION("""COMPUTED_VALUE"""),1.065)</f>
        <v>1.065</v>
      </c>
      <c r="E2490" s="24">
        <f>IFERROR(__xludf.DUMMYFUNCTION("""COMPUTED_VALUE"""),69.0)</f>
        <v>69</v>
      </c>
      <c r="F2490" s="27" t="str">
        <f>IFERROR(__xludf.DUMMYFUNCTION("""COMPUTED_VALUE"""),"BLACK")</f>
        <v>BLACK</v>
      </c>
      <c r="G2490" s="28" t="str">
        <f>IFERROR(__xludf.DUMMYFUNCTION("""COMPUTED_VALUE"""),"First Times a Charm Cider")</f>
        <v>First Times a Charm Cider</v>
      </c>
      <c r="H2490" s="27" t="str">
        <f>IFERROR(__xludf.DUMMYFUNCTION("""COMPUTED_VALUE"""),"")</f>
        <v/>
      </c>
    </row>
    <row r="2491">
      <c r="A2491" s="17"/>
      <c r="B2491" s="23"/>
      <c r="C2491" s="17">
        <f>IFERROR(__xludf.DUMMYFUNCTION("""COMPUTED_VALUE"""),43526.631394618)</f>
        <v>43526.63139</v>
      </c>
      <c r="D2491" s="23">
        <f>IFERROR(__xludf.DUMMYFUNCTION("""COMPUTED_VALUE"""),1.065)</f>
        <v>1.065</v>
      </c>
      <c r="E2491" s="24">
        <f>IFERROR(__xludf.DUMMYFUNCTION("""COMPUTED_VALUE"""),69.0)</f>
        <v>69</v>
      </c>
      <c r="F2491" s="27" t="str">
        <f>IFERROR(__xludf.DUMMYFUNCTION("""COMPUTED_VALUE"""),"BLACK")</f>
        <v>BLACK</v>
      </c>
      <c r="G2491" s="28" t="str">
        <f>IFERROR(__xludf.DUMMYFUNCTION("""COMPUTED_VALUE"""),"First Times a Charm Cider")</f>
        <v>First Times a Charm Cider</v>
      </c>
      <c r="H2491" s="27" t="str">
        <f>IFERROR(__xludf.DUMMYFUNCTION("""COMPUTED_VALUE"""),"")</f>
        <v/>
      </c>
    </row>
    <row r="2492">
      <c r="A2492" s="17"/>
      <c r="B2492" s="23"/>
      <c r="C2492" s="17">
        <f>IFERROR(__xludf.DUMMYFUNCTION("""COMPUTED_VALUE"""),43526.6209726851)</f>
        <v>43526.62097</v>
      </c>
      <c r="D2492" s="23">
        <f>IFERROR(__xludf.DUMMYFUNCTION("""COMPUTED_VALUE"""),1.065)</f>
        <v>1.065</v>
      </c>
      <c r="E2492" s="24">
        <f>IFERROR(__xludf.DUMMYFUNCTION("""COMPUTED_VALUE"""),69.0)</f>
        <v>69</v>
      </c>
      <c r="F2492" s="27" t="str">
        <f>IFERROR(__xludf.DUMMYFUNCTION("""COMPUTED_VALUE"""),"BLACK")</f>
        <v>BLACK</v>
      </c>
      <c r="G2492" s="28" t="str">
        <f>IFERROR(__xludf.DUMMYFUNCTION("""COMPUTED_VALUE"""),"First Times a Charm Cider")</f>
        <v>First Times a Charm Cider</v>
      </c>
      <c r="H2492" s="27" t="str">
        <f>IFERROR(__xludf.DUMMYFUNCTION("""COMPUTED_VALUE"""),"")</f>
        <v/>
      </c>
    </row>
    <row r="2493">
      <c r="A2493" s="17"/>
      <c r="B2493" s="23"/>
      <c r="C2493" s="17">
        <f>IFERROR(__xludf.DUMMYFUNCTION("""COMPUTED_VALUE"""),43526.6105157638)</f>
        <v>43526.61052</v>
      </c>
      <c r="D2493" s="23">
        <f>IFERROR(__xludf.DUMMYFUNCTION("""COMPUTED_VALUE"""),1.065)</f>
        <v>1.065</v>
      </c>
      <c r="E2493" s="24">
        <f>IFERROR(__xludf.DUMMYFUNCTION("""COMPUTED_VALUE"""),68.0)</f>
        <v>68</v>
      </c>
      <c r="F2493" s="27" t="str">
        <f>IFERROR(__xludf.DUMMYFUNCTION("""COMPUTED_VALUE"""),"BLACK")</f>
        <v>BLACK</v>
      </c>
      <c r="G2493" s="28" t="str">
        <f>IFERROR(__xludf.DUMMYFUNCTION("""COMPUTED_VALUE"""),"First Times a Charm Cider")</f>
        <v>First Times a Charm Cider</v>
      </c>
      <c r="H2493" s="27" t="str">
        <f>IFERROR(__xludf.DUMMYFUNCTION("""COMPUTED_VALUE"""),"")</f>
        <v/>
      </c>
    </row>
    <row r="2494">
      <c r="A2494" s="17"/>
      <c r="B2494" s="23"/>
      <c r="C2494" s="17">
        <f>IFERROR(__xludf.DUMMYFUNCTION("""COMPUTED_VALUE"""),43526.600095706)</f>
        <v>43526.6001</v>
      </c>
      <c r="D2494" s="23">
        <f>IFERROR(__xludf.DUMMYFUNCTION("""COMPUTED_VALUE"""),1.065)</f>
        <v>1.065</v>
      </c>
      <c r="E2494" s="24">
        <f>IFERROR(__xludf.DUMMYFUNCTION("""COMPUTED_VALUE"""),68.0)</f>
        <v>68</v>
      </c>
      <c r="F2494" s="27" t="str">
        <f>IFERROR(__xludf.DUMMYFUNCTION("""COMPUTED_VALUE"""),"BLACK")</f>
        <v>BLACK</v>
      </c>
      <c r="G2494" s="28" t="str">
        <f>IFERROR(__xludf.DUMMYFUNCTION("""COMPUTED_VALUE"""),"First Times a Charm Cider")</f>
        <v>First Times a Charm Cider</v>
      </c>
      <c r="H2494" s="27" t="str">
        <f>IFERROR(__xludf.DUMMYFUNCTION("""COMPUTED_VALUE"""),"")</f>
        <v/>
      </c>
    </row>
    <row r="2495">
      <c r="A2495" s="17"/>
      <c r="B2495" s="23"/>
      <c r="C2495" s="17">
        <f>IFERROR(__xludf.DUMMYFUNCTION("""COMPUTED_VALUE"""),43526.5896756365)</f>
        <v>43526.58968</v>
      </c>
      <c r="D2495" s="23">
        <f>IFERROR(__xludf.DUMMYFUNCTION("""COMPUTED_VALUE"""),1.065)</f>
        <v>1.065</v>
      </c>
      <c r="E2495" s="24">
        <f>IFERROR(__xludf.DUMMYFUNCTION("""COMPUTED_VALUE"""),68.0)</f>
        <v>68</v>
      </c>
      <c r="F2495" s="27" t="str">
        <f>IFERROR(__xludf.DUMMYFUNCTION("""COMPUTED_VALUE"""),"BLACK")</f>
        <v>BLACK</v>
      </c>
      <c r="G2495" s="28" t="str">
        <f>IFERROR(__xludf.DUMMYFUNCTION("""COMPUTED_VALUE"""),"First Times a Charm Cider")</f>
        <v>First Times a Charm Cider</v>
      </c>
      <c r="H2495" s="27" t="str">
        <f>IFERROR(__xludf.DUMMYFUNCTION("""COMPUTED_VALUE"""),"")</f>
        <v/>
      </c>
    </row>
    <row r="2496">
      <c r="A2496" s="17"/>
      <c r="B2496" s="23"/>
      <c r="C2496" s="17">
        <f>IFERROR(__xludf.DUMMYFUNCTION("""COMPUTED_VALUE"""),43526.5792318981)</f>
        <v>43526.57923</v>
      </c>
      <c r="D2496" s="23">
        <f>IFERROR(__xludf.DUMMYFUNCTION("""COMPUTED_VALUE"""),1.065)</f>
        <v>1.065</v>
      </c>
      <c r="E2496" s="24">
        <f>IFERROR(__xludf.DUMMYFUNCTION("""COMPUTED_VALUE"""),68.0)</f>
        <v>68</v>
      </c>
      <c r="F2496" s="27" t="str">
        <f>IFERROR(__xludf.DUMMYFUNCTION("""COMPUTED_VALUE"""),"BLACK")</f>
        <v>BLACK</v>
      </c>
      <c r="G2496" s="28" t="str">
        <f>IFERROR(__xludf.DUMMYFUNCTION("""COMPUTED_VALUE"""),"First Times a Charm Cider")</f>
        <v>First Times a Charm Cider</v>
      </c>
      <c r="H2496" s="27" t="str">
        <f>IFERROR(__xludf.DUMMYFUNCTION("""COMPUTED_VALUE"""),"")</f>
        <v/>
      </c>
    </row>
    <row r="2497">
      <c r="A2497" s="17"/>
      <c r="B2497" s="23"/>
      <c r="C2497" s="17">
        <f>IFERROR(__xludf.DUMMYFUNCTION("""COMPUTED_VALUE"""),43526.5688108333)</f>
        <v>43526.56881</v>
      </c>
      <c r="D2497" s="23">
        <f>IFERROR(__xludf.DUMMYFUNCTION("""COMPUTED_VALUE"""),1.065)</f>
        <v>1.065</v>
      </c>
      <c r="E2497" s="24">
        <f>IFERROR(__xludf.DUMMYFUNCTION("""COMPUTED_VALUE"""),68.0)</f>
        <v>68</v>
      </c>
      <c r="F2497" s="27" t="str">
        <f>IFERROR(__xludf.DUMMYFUNCTION("""COMPUTED_VALUE"""),"BLACK")</f>
        <v>BLACK</v>
      </c>
      <c r="G2497" s="28" t="str">
        <f>IFERROR(__xludf.DUMMYFUNCTION("""COMPUTED_VALUE"""),"First Times a Charm Cider")</f>
        <v>First Times a Charm Cider</v>
      </c>
      <c r="H2497" s="27" t="str">
        <f>IFERROR(__xludf.DUMMYFUNCTION("""COMPUTED_VALUE"""),"")</f>
        <v/>
      </c>
    </row>
    <row r="2498">
      <c r="A2498" s="17"/>
      <c r="B2498" s="23"/>
      <c r="C2498" s="17">
        <f>IFERROR(__xludf.DUMMYFUNCTION("""COMPUTED_VALUE"""),43526.5583670717)</f>
        <v>43526.55837</v>
      </c>
      <c r="D2498" s="23">
        <f>IFERROR(__xludf.DUMMYFUNCTION("""COMPUTED_VALUE"""),1.065)</f>
        <v>1.065</v>
      </c>
      <c r="E2498" s="24">
        <f>IFERROR(__xludf.DUMMYFUNCTION("""COMPUTED_VALUE"""),68.0)</f>
        <v>68</v>
      </c>
      <c r="F2498" s="27" t="str">
        <f>IFERROR(__xludf.DUMMYFUNCTION("""COMPUTED_VALUE"""),"BLACK")</f>
        <v>BLACK</v>
      </c>
      <c r="G2498" s="28" t="str">
        <f>IFERROR(__xludf.DUMMYFUNCTION("""COMPUTED_VALUE"""),"First Times a Charm Cider")</f>
        <v>First Times a Charm Cider</v>
      </c>
      <c r="H2498" s="27" t="str">
        <f>IFERROR(__xludf.DUMMYFUNCTION("""COMPUTED_VALUE"""),"")</f>
        <v/>
      </c>
    </row>
    <row r="2499">
      <c r="A2499" s="17"/>
      <c r="B2499" s="23"/>
      <c r="C2499" s="17">
        <f>IFERROR(__xludf.DUMMYFUNCTION("""COMPUTED_VALUE"""),43526.5479221527)</f>
        <v>43526.54792</v>
      </c>
      <c r="D2499" s="23">
        <f>IFERROR(__xludf.DUMMYFUNCTION("""COMPUTED_VALUE"""),1.065)</f>
        <v>1.065</v>
      </c>
      <c r="E2499" s="24">
        <f>IFERROR(__xludf.DUMMYFUNCTION("""COMPUTED_VALUE"""),68.0)</f>
        <v>68</v>
      </c>
      <c r="F2499" s="27" t="str">
        <f>IFERROR(__xludf.DUMMYFUNCTION("""COMPUTED_VALUE"""),"BLACK")</f>
        <v>BLACK</v>
      </c>
      <c r="G2499" s="28" t="str">
        <f>IFERROR(__xludf.DUMMYFUNCTION("""COMPUTED_VALUE"""),"First Times a Charm Cider")</f>
        <v>First Times a Charm Cider</v>
      </c>
      <c r="H2499" s="27" t="str">
        <f>IFERROR(__xludf.DUMMYFUNCTION("""COMPUTED_VALUE"""),"")</f>
        <v/>
      </c>
    </row>
    <row r="2500">
      <c r="A2500" s="17"/>
      <c r="B2500" s="23"/>
      <c r="C2500" s="17">
        <f>IFERROR(__xludf.DUMMYFUNCTION("""COMPUTED_VALUE"""),43526.537479155)</f>
        <v>43526.53748</v>
      </c>
      <c r="D2500" s="23">
        <f>IFERROR(__xludf.DUMMYFUNCTION("""COMPUTED_VALUE"""),1.065)</f>
        <v>1.065</v>
      </c>
      <c r="E2500" s="24">
        <f>IFERROR(__xludf.DUMMYFUNCTION("""COMPUTED_VALUE"""),68.0)</f>
        <v>68</v>
      </c>
      <c r="F2500" s="27" t="str">
        <f>IFERROR(__xludf.DUMMYFUNCTION("""COMPUTED_VALUE"""),"BLACK")</f>
        <v>BLACK</v>
      </c>
      <c r="G2500" s="28" t="str">
        <f>IFERROR(__xludf.DUMMYFUNCTION("""COMPUTED_VALUE"""),"First Times a Charm Cider")</f>
        <v>First Times a Charm Cider</v>
      </c>
      <c r="H2500" s="27" t="str">
        <f>IFERROR(__xludf.DUMMYFUNCTION("""COMPUTED_VALUE"""),"")</f>
        <v/>
      </c>
    </row>
    <row r="2501">
      <c r="A2501" s="17"/>
      <c r="B2501" s="23"/>
      <c r="C2501" s="17">
        <f>IFERROR(__xludf.DUMMYFUNCTION("""COMPUTED_VALUE"""),43526.5166220833)</f>
        <v>43526.51662</v>
      </c>
      <c r="D2501" s="23">
        <f>IFERROR(__xludf.DUMMYFUNCTION("""COMPUTED_VALUE"""),1.065)</f>
        <v>1.065</v>
      </c>
      <c r="E2501" s="24">
        <f>IFERROR(__xludf.DUMMYFUNCTION("""COMPUTED_VALUE"""),68.0)</f>
        <v>68</v>
      </c>
      <c r="F2501" s="27" t="str">
        <f>IFERROR(__xludf.DUMMYFUNCTION("""COMPUTED_VALUE"""),"BLACK")</f>
        <v>BLACK</v>
      </c>
      <c r="G2501" s="28" t="str">
        <f>IFERROR(__xludf.DUMMYFUNCTION("""COMPUTED_VALUE"""),"First Times a Charm Cider")</f>
        <v>First Times a Charm Cider</v>
      </c>
      <c r="H2501" s="27" t="str">
        <f>IFERROR(__xludf.DUMMYFUNCTION("""COMPUTED_VALUE"""),"")</f>
        <v/>
      </c>
    </row>
    <row r="2502">
      <c r="A2502" s="17"/>
      <c r="B2502" s="23"/>
      <c r="C2502" s="17">
        <f>IFERROR(__xludf.DUMMYFUNCTION("""COMPUTED_VALUE"""),43526.5062009953)</f>
        <v>43526.5062</v>
      </c>
      <c r="D2502" s="23">
        <f>IFERROR(__xludf.DUMMYFUNCTION("""COMPUTED_VALUE"""),1.065)</f>
        <v>1.065</v>
      </c>
      <c r="E2502" s="24">
        <f>IFERROR(__xludf.DUMMYFUNCTION("""COMPUTED_VALUE"""),68.0)</f>
        <v>68</v>
      </c>
      <c r="F2502" s="27" t="str">
        <f>IFERROR(__xludf.DUMMYFUNCTION("""COMPUTED_VALUE"""),"BLACK")</f>
        <v>BLACK</v>
      </c>
      <c r="G2502" s="28" t="str">
        <f>IFERROR(__xludf.DUMMYFUNCTION("""COMPUTED_VALUE"""),"First Times a Charm Cider")</f>
        <v>First Times a Charm Cider</v>
      </c>
      <c r="H2502" s="27" t="str">
        <f>IFERROR(__xludf.DUMMYFUNCTION("""COMPUTED_VALUE"""),"")</f>
        <v/>
      </c>
    </row>
    <row r="2503">
      <c r="A2503" s="17"/>
      <c r="B2503" s="23"/>
      <c r="C2503" s="17">
        <f>IFERROR(__xludf.DUMMYFUNCTION("""COMPUTED_VALUE"""),43526.4957799189)</f>
        <v>43526.49578</v>
      </c>
      <c r="D2503" s="23">
        <f>IFERROR(__xludf.DUMMYFUNCTION("""COMPUTED_VALUE"""),1.066)</f>
        <v>1.066</v>
      </c>
      <c r="E2503" s="24">
        <f>IFERROR(__xludf.DUMMYFUNCTION("""COMPUTED_VALUE"""),68.0)</f>
        <v>68</v>
      </c>
      <c r="F2503" s="27" t="str">
        <f>IFERROR(__xludf.DUMMYFUNCTION("""COMPUTED_VALUE"""),"BLACK")</f>
        <v>BLACK</v>
      </c>
      <c r="G2503" s="28" t="str">
        <f>IFERROR(__xludf.DUMMYFUNCTION("""COMPUTED_VALUE"""),"First Times a Charm Cider")</f>
        <v>First Times a Charm Cider</v>
      </c>
      <c r="H2503" s="27" t="str">
        <f>IFERROR(__xludf.DUMMYFUNCTION("""COMPUTED_VALUE"""),"")</f>
        <v/>
      </c>
    </row>
    <row r="2504">
      <c r="A2504" s="17"/>
      <c r="B2504" s="23"/>
      <c r="C2504" s="17">
        <f>IFERROR(__xludf.DUMMYFUNCTION("""COMPUTED_VALUE"""),43526.485359618)</f>
        <v>43526.48536</v>
      </c>
      <c r="D2504" s="23">
        <f>IFERROR(__xludf.DUMMYFUNCTION("""COMPUTED_VALUE"""),1.066)</f>
        <v>1.066</v>
      </c>
      <c r="E2504" s="24">
        <f>IFERROR(__xludf.DUMMYFUNCTION("""COMPUTED_VALUE"""),68.0)</f>
        <v>68</v>
      </c>
      <c r="F2504" s="27" t="str">
        <f>IFERROR(__xludf.DUMMYFUNCTION("""COMPUTED_VALUE"""),"BLACK")</f>
        <v>BLACK</v>
      </c>
      <c r="G2504" s="28" t="str">
        <f>IFERROR(__xludf.DUMMYFUNCTION("""COMPUTED_VALUE"""),"First Times a Charm Cider")</f>
        <v>First Times a Charm Cider</v>
      </c>
      <c r="H2504" s="27" t="str">
        <f>IFERROR(__xludf.DUMMYFUNCTION("""COMPUTED_VALUE"""),"")</f>
        <v/>
      </c>
    </row>
    <row r="2505">
      <c r="A2505" s="17"/>
      <c r="B2505" s="23"/>
      <c r="C2505" s="17">
        <f>IFERROR(__xludf.DUMMYFUNCTION("""COMPUTED_VALUE"""),43526.4749375347)</f>
        <v>43526.47494</v>
      </c>
      <c r="D2505" s="23">
        <f>IFERROR(__xludf.DUMMYFUNCTION("""COMPUTED_VALUE"""),1.065)</f>
        <v>1.065</v>
      </c>
      <c r="E2505" s="24">
        <f>IFERROR(__xludf.DUMMYFUNCTION("""COMPUTED_VALUE"""),68.0)</f>
        <v>68</v>
      </c>
      <c r="F2505" s="27" t="str">
        <f>IFERROR(__xludf.DUMMYFUNCTION("""COMPUTED_VALUE"""),"BLACK")</f>
        <v>BLACK</v>
      </c>
      <c r="G2505" s="28" t="str">
        <f>IFERROR(__xludf.DUMMYFUNCTION("""COMPUTED_VALUE"""),"First Times a Charm Cider")</f>
        <v>First Times a Charm Cider</v>
      </c>
      <c r="H2505" s="27" t="str">
        <f>IFERROR(__xludf.DUMMYFUNCTION("""COMPUTED_VALUE"""),"")</f>
        <v/>
      </c>
    </row>
    <row r="2506">
      <c r="A2506" s="17"/>
      <c r="B2506" s="23"/>
      <c r="C2506" s="17">
        <f>IFERROR(__xludf.DUMMYFUNCTION("""COMPUTED_VALUE"""),43526.4645161574)</f>
        <v>43526.46452</v>
      </c>
      <c r="D2506" s="23">
        <f>IFERROR(__xludf.DUMMYFUNCTION("""COMPUTED_VALUE"""),1.065)</f>
        <v>1.065</v>
      </c>
      <c r="E2506" s="24">
        <f>IFERROR(__xludf.DUMMYFUNCTION("""COMPUTED_VALUE"""),68.0)</f>
        <v>68</v>
      </c>
      <c r="F2506" s="27" t="str">
        <f>IFERROR(__xludf.DUMMYFUNCTION("""COMPUTED_VALUE"""),"BLACK")</f>
        <v>BLACK</v>
      </c>
      <c r="G2506" s="28" t="str">
        <f>IFERROR(__xludf.DUMMYFUNCTION("""COMPUTED_VALUE"""),"First Times a Charm Cider")</f>
        <v>First Times a Charm Cider</v>
      </c>
      <c r="H2506" s="27" t="str">
        <f>IFERROR(__xludf.DUMMYFUNCTION("""COMPUTED_VALUE"""),"")</f>
        <v/>
      </c>
    </row>
    <row r="2507">
      <c r="A2507" s="17"/>
      <c r="B2507" s="23"/>
      <c r="C2507" s="17">
        <f>IFERROR(__xludf.DUMMYFUNCTION("""COMPUTED_VALUE"""),43526.4540825463)</f>
        <v>43526.45408</v>
      </c>
      <c r="D2507" s="23">
        <f>IFERROR(__xludf.DUMMYFUNCTION("""COMPUTED_VALUE"""),1.066)</f>
        <v>1.066</v>
      </c>
      <c r="E2507" s="24">
        <f>IFERROR(__xludf.DUMMYFUNCTION("""COMPUTED_VALUE"""),68.0)</f>
        <v>68</v>
      </c>
      <c r="F2507" s="27" t="str">
        <f>IFERROR(__xludf.DUMMYFUNCTION("""COMPUTED_VALUE"""),"BLACK")</f>
        <v>BLACK</v>
      </c>
      <c r="G2507" s="28" t="str">
        <f>IFERROR(__xludf.DUMMYFUNCTION("""COMPUTED_VALUE"""),"First Times a Charm Cider")</f>
        <v>First Times a Charm Cider</v>
      </c>
      <c r="H2507" s="27" t="str">
        <f>IFERROR(__xludf.DUMMYFUNCTION("""COMPUTED_VALUE"""),"")</f>
        <v/>
      </c>
    </row>
    <row r="2508">
      <c r="A2508" s="17"/>
      <c r="B2508" s="23"/>
      <c r="C2508" s="17">
        <f>IFERROR(__xludf.DUMMYFUNCTION("""COMPUTED_VALUE"""),43526.4436622453)</f>
        <v>43526.44366</v>
      </c>
      <c r="D2508" s="23">
        <f>IFERROR(__xludf.DUMMYFUNCTION("""COMPUTED_VALUE"""),1.066)</f>
        <v>1.066</v>
      </c>
      <c r="E2508" s="24">
        <f>IFERROR(__xludf.DUMMYFUNCTION("""COMPUTED_VALUE"""),68.0)</f>
        <v>68</v>
      </c>
      <c r="F2508" s="27" t="str">
        <f>IFERROR(__xludf.DUMMYFUNCTION("""COMPUTED_VALUE"""),"BLACK")</f>
        <v>BLACK</v>
      </c>
      <c r="G2508" s="28" t="str">
        <f>IFERROR(__xludf.DUMMYFUNCTION("""COMPUTED_VALUE"""),"First Times a Charm Cider")</f>
        <v>First Times a Charm Cider</v>
      </c>
      <c r="H2508" s="27" t="str">
        <f>IFERROR(__xludf.DUMMYFUNCTION("""COMPUTED_VALUE"""),"")</f>
        <v/>
      </c>
    </row>
    <row r="2509">
      <c r="A2509" s="17"/>
      <c r="B2509" s="23"/>
      <c r="C2509" s="17">
        <f>IFERROR(__xludf.DUMMYFUNCTION("""COMPUTED_VALUE"""),43526.4332276388)</f>
        <v>43526.43323</v>
      </c>
      <c r="D2509" s="23">
        <f>IFERROR(__xludf.DUMMYFUNCTION("""COMPUTED_VALUE"""),1.066)</f>
        <v>1.066</v>
      </c>
      <c r="E2509" s="24">
        <f>IFERROR(__xludf.DUMMYFUNCTION("""COMPUTED_VALUE"""),68.0)</f>
        <v>68</v>
      </c>
      <c r="F2509" s="27" t="str">
        <f>IFERROR(__xludf.DUMMYFUNCTION("""COMPUTED_VALUE"""),"BLACK")</f>
        <v>BLACK</v>
      </c>
      <c r="G2509" s="28" t="str">
        <f>IFERROR(__xludf.DUMMYFUNCTION("""COMPUTED_VALUE"""),"First Times a Charm Cider")</f>
        <v>First Times a Charm Cider</v>
      </c>
      <c r="H2509" s="27" t="str">
        <f>IFERROR(__xludf.DUMMYFUNCTION("""COMPUTED_VALUE"""),"")</f>
        <v/>
      </c>
    </row>
    <row r="2510">
      <c r="A2510" s="17"/>
      <c r="B2510" s="23"/>
      <c r="C2510" s="17">
        <f>IFERROR(__xludf.DUMMYFUNCTION("""COMPUTED_VALUE"""),43526.4228069328)</f>
        <v>43526.42281</v>
      </c>
      <c r="D2510" s="23">
        <f>IFERROR(__xludf.DUMMYFUNCTION("""COMPUTED_VALUE"""),1.066)</f>
        <v>1.066</v>
      </c>
      <c r="E2510" s="24">
        <f>IFERROR(__xludf.DUMMYFUNCTION("""COMPUTED_VALUE"""),68.0)</f>
        <v>68</v>
      </c>
      <c r="F2510" s="27" t="str">
        <f>IFERROR(__xludf.DUMMYFUNCTION("""COMPUTED_VALUE"""),"BLACK")</f>
        <v>BLACK</v>
      </c>
      <c r="G2510" s="28" t="str">
        <f>IFERROR(__xludf.DUMMYFUNCTION("""COMPUTED_VALUE"""),"First Times a Charm Cider")</f>
        <v>First Times a Charm Cider</v>
      </c>
      <c r="H2510" s="27" t="str">
        <f>IFERROR(__xludf.DUMMYFUNCTION("""COMPUTED_VALUE"""),"")</f>
        <v/>
      </c>
    </row>
    <row r="2511">
      <c r="A2511" s="17"/>
      <c r="B2511" s="23"/>
      <c r="C2511" s="17">
        <f>IFERROR(__xludf.DUMMYFUNCTION("""COMPUTED_VALUE"""),43526.4123501851)</f>
        <v>43526.41235</v>
      </c>
      <c r="D2511" s="23">
        <f>IFERROR(__xludf.DUMMYFUNCTION("""COMPUTED_VALUE"""),1.066)</f>
        <v>1.066</v>
      </c>
      <c r="E2511" s="24">
        <f>IFERROR(__xludf.DUMMYFUNCTION("""COMPUTED_VALUE"""),68.0)</f>
        <v>68</v>
      </c>
      <c r="F2511" s="27" t="str">
        <f>IFERROR(__xludf.DUMMYFUNCTION("""COMPUTED_VALUE"""),"BLACK")</f>
        <v>BLACK</v>
      </c>
      <c r="G2511" s="28" t="str">
        <f>IFERROR(__xludf.DUMMYFUNCTION("""COMPUTED_VALUE"""),"First Times a Charm Cider")</f>
        <v>First Times a Charm Cider</v>
      </c>
      <c r="H2511" s="27" t="str">
        <f>IFERROR(__xludf.DUMMYFUNCTION("""COMPUTED_VALUE"""),"")</f>
        <v/>
      </c>
    </row>
    <row r="2512">
      <c r="A2512" s="17"/>
      <c r="B2512" s="23"/>
      <c r="C2512" s="17">
        <f>IFERROR(__xludf.DUMMYFUNCTION("""COMPUTED_VALUE"""),43526.4019298032)</f>
        <v>43526.40193</v>
      </c>
      <c r="D2512" s="23">
        <f>IFERROR(__xludf.DUMMYFUNCTION("""COMPUTED_VALUE"""),1.066)</f>
        <v>1.066</v>
      </c>
      <c r="E2512" s="24">
        <f>IFERROR(__xludf.DUMMYFUNCTION("""COMPUTED_VALUE"""),68.0)</f>
        <v>68</v>
      </c>
      <c r="F2512" s="27" t="str">
        <f>IFERROR(__xludf.DUMMYFUNCTION("""COMPUTED_VALUE"""),"BLACK")</f>
        <v>BLACK</v>
      </c>
      <c r="G2512" s="28" t="str">
        <f>IFERROR(__xludf.DUMMYFUNCTION("""COMPUTED_VALUE"""),"First Times a Charm Cider")</f>
        <v>First Times a Charm Cider</v>
      </c>
      <c r="H2512" s="27" t="str">
        <f>IFERROR(__xludf.DUMMYFUNCTION("""COMPUTED_VALUE"""),"")</f>
        <v/>
      </c>
    </row>
    <row r="2513">
      <c r="A2513" s="17"/>
      <c r="B2513" s="23"/>
      <c r="C2513" s="17">
        <f>IFERROR(__xludf.DUMMYFUNCTION("""COMPUTED_VALUE"""),43526.3915101157)</f>
        <v>43526.39151</v>
      </c>
      <c r="D2513" s="23">
        <f>IFERROR(__xludf.DUMMYFUNCTION("""COMPUTED_VALUE"""),1.066)</f>
        <v>1.066</v>
      </c>
      <c r="E2513" s="24">
        <f>IFERROR(__xludf.DUMMYFUNCTION("""COMPUTED_VALUE"""),68.0)</f>
        <v>68</v>
      </c>
      <c r="F2513" s="27" t="str">
        <f>IFERROR(__xludf.DUMMYFUNCTION("""COMPUTED_VALUE"""),"BLACK")</f>
        <v>BLACK</v>
      </c>
      <c r="G2513" s="28" t="str">
        <f>IFERROR(__xludf.DUMMYFUNCTION("""COMPUTED_VALUE"""),"First Times a Charm Cider")</f>
        <v>First Times a Charm Cider</v>
      </c>
      <c r="H2513" s="27" t="str">
        <f>IFERROR(__xludf.DUMMYFUNCTION("""COMPUTED_VALUE"""),"")</f>
        <v/>
      </c>
    </row>
    <row r="2514">
      <c r="A2514" s="17"/>
      <c r="B2514" s="23"/>
      <c r="C2514" s="17">
        <f>IFERROR(__xludf.DUMMYFUNCTION("""COMPUTED_VALUE"""),43526.3810779745)</f>
        <v>43526.38108</v>
      </c>
      <c r="D2514" s="23">
        <f>IFERROR(__xludf.DUMMYFUNCTION("""COMPUTED_VALUE"""),1.066)</f>
        <v>1.066</v>
      </c>
      <c r="E2514" s="24">
        <f>IFERROR(__xludf.DUMMYFUNCTION("""COMPUTED_VALUE"""),68.0)</f>
        <v>68</v>
      </c>
      <c r="F2514" s="27" t="str">
        <f>IFERROR(__xludf.DUMMYFUNCTION("""COMPUTED_VALUE"""),"BLACK")</f>
        <v>BLACK</v>
      </c>
      <c r="G2514" s="28" t="str">
        <f>IFERROR(__xludf.DUMMYFUNCTION("""COMPUTED_VALUE"""),"First Times a Charm Cider")</f>
        <v>First Times a Charm Cider</v>
      </c>
      <c r="H2514" s="27" t="str">
        <f>IFERROR(__xludf.DUMMYFUNCTION("""COMPUTED_VALUE"""),"")</f>
        <v/>
      </c>
    </row>
    <row r="2515">
      <c r="A2515" s="17"/>
      <c r="B2515" s="23"/>
      <c r="C2515" s="17">
        <f>IFERROR(__xludf.DUMMYFUNCTION("""COMPUTED_VALUE"""),43526.3498168749)</f>
        <v>43526.34982</v>
      </c>
      <c r="D2515" s="23">
        <f>IFERROR(__xludf.DUMMYFUNCTION("""COMPUTED_VALUE"""),1.066)</f>
        <v>1.066</v>
      </c>
      <c r="E2515" s="24">
        <f>IFERROR(__xludf.DUMMYFUNCTION("""COMPUTED_VALUE"""),68.0)</f>
        <v>68</v>
      </c>
      <c r="F2515" s="27" t="str">
        <f>IFERROR(__xludf.DUMMYFUNCTION("""COMPUTED_VALUE"""),"BLACK")</f>
        <v>BLACK</v>
      </c>
      <c r="G2515" s="28" t="str">
        <f>IFERROR(__xludf.DUMMYFUNCTION("""COMPUTED_VALUE"""),"First Times a Charm Cider")</f>
        <v>First Times a Charm Cider</v>
      </c>
      <c r="H2515" s="27" t="str">
        <f>IFERROR(__xludf.DUMMYFUNCTION("""COMPUTED_VALUE"""),"")</f>
        <v/>
      </c>
    </row>
    <row r="2516">
      <c r="A2516" s="17"/>
      <c r="B2516" s="23"/>
      <c r="C2516" s="17">
        <f>IFERROR(__xludf.DUMMYFUNCTION("""COMPUTED_VALUE"""),43526.3289649189)</f>
        <v>43526.32896</v>
      </c>
      <c r="D2516" s="23">
        <f>IFERROR(__xludf.DUMMYFUNCTION("""COMPUTED_VALUE"""),1.066)</f>
        <v>1.066</v>
      </c>
      <c r="E2516" s="24">
        <f>IFERROR(__xludf.DUMMYFUNCTION("""COMPUTED_VALUE"""),68.0)</f>
        <v>68</v>
      </c>
      <c r="F2516" s="27" t="str">
        <f>IFERROR(__xludf.DUMMYFUNCTION("""COMPUTED_VALUE"""),"BLACK")</f>
        <v>BLACK</v>
      </c>
      <c r="G2516" s="28" t="str">
        <f>IFERROR(__xludf.DUMMYFUNCTION("""COMPUTED_VALUE"""),"First Times a Charm Cider")</f>
        <v>First Times a Charm Cider</v>
      </c>
      <c r="H2516" s="27" t="str">
        <f>IFERROR(__xludf.DUMMYFUNCTION("""COMPUTED_VALUE"""),"")</f>
        <v/>
      </c>
    </row>
    <row r="2517">
      <c r="A2517" s="17"/>
      <c r="B2517" s="23"/>
      <c r="C2517" s="17">
        <f>IFERROR(__xludf.DUMMYFUNCTION("""COMPUTED_VALUE"""),43526.3185212037)</f>
        <v>43526.31852</v>
      </c>
      <c r="D2517" s="23">
        <f>IFERROR(__xludf.DUMMYFUNCTION("""COMPUTED_VALUE"""),1.066)</f>
        <v>1.066</v>
      </c>
      <c r="E2517" s="24">
        <f>IFERROR(__xludf.DUMMYFUNCTION("""COMPUTED_VALUE"""),68.0)</f>
        <v>68</v>
      </c>
      <c r="F2517" s="27" t="str">
        <f>IFERROR(__xludf.DUMMYFUNCTION("""COMPUTED_VALUE"""),"BLACK")</f>
        <v>BLACK</v>
      </c>
      <c r="G2517" s="28" t="str">
        <f>IFERROR(__xludf.DUMMYFUNCTION("""COMPUTED_VALUE"""),"First Times a Charm Cider")</f>
        <v>First Times a Charm Cider</v>
      </c>
      <c r="H2517" s="27" t="str">
        <f>IFERROR(__xludf.DUMMYFUNCTION("""COMPUTED_VALUE"""),"")</f>
        <v/>
      </c>
    </row>
    <row r="2518">
      <c r="A2518" s="17"/>
      <c r="B2518" s="23"/>
      <c r="C2518" s="17">
        <f>IFERROR(__xludf.DUMMYFUNCTION("""COMPUTED_VALUE"""),43526.3081003472)</f>
        <v>43526.3081</v>
      </c>
      <c r="D2518" s="23">
        <f>IFERROR(__xludf.DUMMYFUNCTION("""COMPUTED_VALUE"""),1.066)</f>
        <v>1.066</v>
      </c>
      <c r="E2518" s="24">
        <f>IFERROR(__xludf.DUMMYFUNCTION("""COMPUTED_VALUE"""),68.0)</f>
        <v>68</v>
      </c>
      <c r="F2518" s="27" t="str">
        <f>IFERROR(__xludf.DUMMYFUNCTION("""COMPUTED_VALUE"""),"BLACK")</f>
        <v>BLACK</v>
      </c>
      <c r="G2518" s="28" t="str">
        <f>IFERROR(__xludf.DUMMYFUNCTION("""COMPUTED_VALUE"""),"First Times a Charm Cider")</f>
        <v>First Times a Charm Cider</v>
      </c>
      <c r="H2518" s="27" t="str">
        <f>IFERROR(__xludf.DUMMYFUNCTION("""COMPUTED_VALUE"""),"")</f>
        <v/>
      </c>
    </row>
    <row r="2519">
      <c r="A2519" s="17"/>
      <c r="B2519" s="23"/>
      <c r="C2519" s="17">
        <f>IFERROR(__xludf.DUMMYFUNCTION("""COMPUTED_VALUE"""),43526.2976650347)</f>
        <v>43526.29767</v>
      </c>
      <c r="D2519" s="23">
        <f>IFERROR(__xludf.DUMMYFUNCTION("""COMPUTED_VALUE"""),1.066)</f>
        <v>1.066</v>
      </c>
      <c r="E2519" s="24">
        <f>IFERROR(__xludf.DUMMYFUNCTION("""COMPUTED_VALUE"""),68.0)</f>
        <v>68</v>
      </c>
      <c r="F2519" s="27" t="str">
        <f>IFERROR(__xludf.DUMMYFUNCTION("""COMPUTED_VALUE"""),"BLACK")</f>
        <v>BLACK</v>
      </c>
      <c r="G2519" s="28" t="str">
        <f>IFERROR(__xludf.DUMMYFUNCTION("""COMPUTED_VALUE"""),"First Times a Charm Cider")</f>
        <v>First Times a Charm Cider</v>
      </c>
      <c r="H2519" s="27" t="str">
        <f>IFERROR(__xludf.DUMMYFUNCTION("""COMPUTED_VALUE"""),"")</f>
        <v/>
      </c>
    </row>
    <row r="2520">
      <c r="A2520" s="17"/>
      <c r="B2520" s="23"/>
      <c r="C2520" s="17">
        <f>IFERROR(__xludf.DUMMYFUNCTION("""COMPUTED_VALUE"""),43526.2872442939)</f>
        <v>43526.28724</v>
      </c>
      <c r="D2520" s="23">
        <f>IFERROR(__xludf.DUMMYFUNCTION("""COMPUTED_VALUE"""),1.066)</f>
        <v>1.066</v>
      </c>
      <c r="E2520" s="24">
        <f>IFERROR(__xludf.DUMMYFUNCTION("""COMPUTED_VALUE"""),68.0)</f>
        <v>68</v>
      </c>
      <c r="F2520" s="27" t="str">
        <f>IFERROR(__xludf.DUMMYFUNCTION("""COMPUTED_VALUE"""),"BLACK")</f>
        <v>BLACK</v>
      </c>
      <c r="G2520" s="28" t="str">
        <f>IFERROR(__xludf.DUMMYFUNCTION("""COMPUTED_VALUE"""),"First Times a Charm Cider")</f>
        <v>First Times a Charm Cider</v>
      </c>
      <c r="H2520" s="27" t="str">
        <f>IFERROR(__xludf.DUMMYFUNCTION("""COMPUTED_VALUE"""),"")</f>
        <v/>
      </c>
    </row>
    <row r="2521">
      <c r="A2521" s="17"/>
      <c r="B2521" s="23"/>
      <c r="C2521" s="17">
        <f>IFERROR(__xludf.DUMMYFUNCTION("""COMPUTED_VALUE"""),43526.2768232291)</f>
        <v>43526.27682</v>
      </c>
      <c r="D2521" s="23">
        <f>IFERROR(__xludf.DUMMYFUNCTION("""COMPUTED_VALUE"""),1.066)</f>
        <v>1.066</v>
      </c>
      <c r="E2521" s="24">
        <f>IFERROR(__xludf.DUMMYFUNCTION("""COMPUTED_VALUE"""),68.0)</f>
        <v>68</v>
      </c>
      <c r="F2521" s="27" t="str">
        <f>IFERROR(__xludf.DUMMYFUNCTION("""COMPUTED_VALUE"""),"BLACK")</f>
        <v>BLACK</v>
      </c>
      <c r="G2521" s="28" t="str">
        <f>IFERROR(__xludf.DUMMYFUNCTION("""COMPUTED_VALUE"""),"First Times a Charm Cider")</f>
        <v>First Times a Charm Cider</v>
      </c>
      <c r="H2521" s="27" t="str">
        <f>IFERROR(__xludf.DUMMYFUNCTION("""COMPUTED_VALUE"""),"")</f>
        <v/>
      </c>
    </row>
    <row r="2522">
      <c r="A2522" s="17"/>
      <c r="B2522" s="23"/>
      <c r="C2522" s="17">
        <f>IFERROR(__xludf.DUMMYFUNCTION("""COMPUTED_VALUE"""),43526.2455622569)</f>
        <v>43526.24556</v>
      </c>
      <c r="D2522" s="23">
        <f>IFERROR(__xludf.DUMMYFUNCTION("""COMPUTED_VALUE"""),1.066)</f>
        <v>1.066</v>
      </c>
      <c r="E2522" s="24">
        <f>IFERROR(__xludf.DUMMYFUNCTION("""COMPUTED_VALUE"""),68.0)</f>
        <v>68</v>
      </c>
      <c r="F2522" s="27" t="str">
        <f>IFERROR(__xludf.DUMMYFUNCTION("""COMPUTED_VALUE"""),"BLACK")</f>
        <v>BLACK</v>
      </c>
      <c r="G2522" s="28" t="str">
        <f>IFERROR(__xludf.DUMMYFUNCTION("""COMPUTED_VALUE"""),"First Times a Charm Cider")</f>
        <v>First Times a Charm Cider</v>
      </c>
      <c r="H2522" s="27" t="str">
        <f>IFERROR(__xludf.DUMMYFUNCTION("""COMPUTED_VALUE"""),"")</f>
        <v/>
      </c>
    </row>
    <row r="2523">
      <c r="A2523" s="17"/>
      <c r="B2523" s="23"/>
      <c r="C2523" s="17">
        <f>IFERROR(__xludf.DUMMYFUNCTION("""COMPUTED_VALUE"""),43526.2142869675)</f>
        <v>43526.21429</v>
      </c>
      <c r="D2523" s="23">
        <f>IFERROR(__xludf.DUMMYFUNCTION("""COMPUTED_VALUE"""),1.066)</f>
        <v>1.066</v>
      </c>
      <c r="E2523" s="24">
        <f>IFERROR(__xludf.DUMMYFUNCTION("""COMPUTED_VALUE"""),68.0)</f>
        <v>68</v>
      </c>
      <c r="F2523" s="27" t="str">
        <f>IFERROR(__xludf.DUMMYFUNCTION("""COMPUTED_VALUE"""),"BLACK")</f>
        <v>BLACK</v>
      </c>
      <c r="G2523" s="28" t="str">
        <f>IFERROR(__xludf.DUMMYFUNCTION("""COMPUTED_VALUE"""),"First Times a Charm Cider")</f>
        <v>First Times a Charm Cider</v>
      </c>
      <c r="H2523" s="27" t="str">
        <f>IFERROR(__xludf.DUMMYFUNCTION("""COMPUTED_VALUE"""),"")</f>
        <v/>
      </c>
    </row>
    <row r="2524">
      <c r="A2524" s="17"/>
      <c r="B2524" s="23"/>
      <c r="C2524" s="17">
        <f>IFERROR(__xludf.DUMMYFUNCTION("""COMPUTED_VALUE"""),43526.1830225347)</f>
        <v>43526.18302</v>
      </c>
      <c r="D2524" s="23">
        <f>IFERROR(__xludf.DUMMYFUNCTION("""COMPUTED_VALUE"""),1.067)</f>
        <v>1.067</v>
      </c>
      <c r="E2524" s="24">
        <f>IFERROR(__xludf.DUMMYFUNCTION("""COMPUTED_VALUE"""),68.0)</f>
        <v>68</v>
      </c>
      <c r="F2524" s="27" t="str">
        <f>IFERROR(__xludf.DUMMYFUNCTION("""COMPUTED_VALUE"""),"BLACK")</f>
        <v>BLACK</v>
      </c>
      <c r="G2524" s="28" t="str">
        <f>IFERROR(__xludf.DUMMYFUNCTION("""COMPUTED_VALUE"""),"First Times a Charm Cider")</f>
        <v>First Times a Charm Cider</v>
      </c>
      <c r="H2524" s="27" t="str">
        <f>IFERROR(__xludf.DUMMYFUNCTION("""COMPUTED_VALUE"""),"")</f>
        <v/>
      </c>
    </row>
    <row r="2525">
      <c r="A2525" s="17"/>
      <c r="B2525" s="23"/>
      <c r="C2525" s="17">
        <f>IFERROR(__xludf.DUMMYFUNCTION("""COMPUTED_VALUE"""),43526.1621570486)</f>
        <v>43526.16216</v>
      </c>
      <c r="D2525" s="23">
        <f>IFERROR(__xludf.DUMMYFUNCTION("""COMPUTED_VALUE"""),1.067)</f>
        <v>1.067</v>
      </c>
      <c r="E2525" s="24">
        <f>IFERROR(__xludf.DUMMYFUNCTION("""COMPUTED_VALUE"""),68.0)</f>
        <v>68</v>
      </c>
      <c r="F2525" s="27" t="str">
        <f>IFERROR(__xludf.DUMMYFUNCTION("""COMPUTED_VALUE"""),"BLACK")</f>
        <v>BLACK</v>
      </c>
      <c r="G2525" s="28" t="str">
        <f>IFERROR(__xludf.DUMMYFUNCTION("""COMPUTED_VALUE"""),"First Times a Charm Cider")</f>
        <v>First Times a Charm Cider</v>
      </c>
      <c r="H2525" s="27" t="str">
        <f>IFERROR(__xludf.DUMMYFUNCTION("""COMPUTED_VALUE"""),"")</f>
        <v/>
      </c>
    </row>
    <row r="2526">
      <c r="A2526" s="17"/>
      <c r="B2526" s="23"/>
      <c r="C2526" s="17">
        <f>IFERROR(__xludf.DUMMYFUNCTION("""COMPUTED_VALUE"""),43526.1517379976)</f>
        <v>43526.15174</v>
      </c>
      <c r="D2526" s="23">
        <f>IFERROR(__xludf.DUMMYFUNCTION("""COMPUTED_VALUE"""),1.067)</f>
        <v>1.067</v>
      </c>
      <c r="E2526" s="24">
        <f>IFERROR(__xludf.DUMMYFUNCTION("""COMPUTED_VALUE"""),68.0)</f>
        <v>68</v>
      </c>
      <c r="F2526" s="27" t="str">
        <f>IFERROR(__xludf.DUMMYFUNCTION("""COMPUTED_VALUE"""),"BLACK")</f>
        <v>BLACK</v>
      </c>
      <c r="G2526" s="28" t="str">
        <f>IFERROR(__xludf.DUMMYFUNCTION("""COMPUTED_VALUE"""),"First Times a Charm Cider")</f>
        <v>First Times a Charm Cider</v>
      </c>
      <c r="H2526" s="27" t="str">
        <f>IFERROR(__xludf.DUMMYFUNCTION("""COMPUTED_VALUE"""),"")</f>
        <v/>
      </c>
    </row>
    <row r="2527">
      <c r="A2527" s="17"/>
      <c r="B2527" s="23"/>
      <c r="C2527" s="17">
        <f>IFERROR(__xludf.DUMMYFUNCTION("""COMPUTED_VALUE"""),43526.1413167939)</f>
        <v>43526.14132</v>
      </c>
      <c r="D2527" s="23">
        <f>IFERROR(__xludf.DUMMYFUNCTION("""COMPUTED_VALUE"""),1.067)</f>
        <v>1.067</v>
      </c>
      <c r="E2527" s="24">
        <f>IFERROR(__xludf.DUMMYFUNCTION("""COMPUTED_VALUE"""),68.0)</f>
        <v>68</v>
      </c>
      <c r="F2527" s="27" t="str">
        <f>IFERROR(__xludf.DUMMYFUNCTION("""COMPUTED_VALUE"""),"BLACK")</f>
        <v>BLACK</v>
      </c>
      <c r="G2527" s="28" t="str">
        <f>IFERROR(__xludf.DUMMYFUNCTION("""COMPUTED_VALUE"""),"First Times a Charm Cider")</f>
        <v>First Times a Charm Cider</v>
      </c>
      <c r="H2527" s="27" t="str">
        <f>IFERROR(__xludf.DUMMYFUNCTION("""COMPUTED_VALUE"""),"")</f>
        <v/>
      </c>
    </row>
    <row r="2528">
      <c r="A2528" s="17"/>
      <c r="B2528" s="23"/>
      <c r="C2528" s="17">
        <f>IFERROR(__xludf.DUMMYFUNCTION("""COMPUTED_VALUE"""),43526.1308945601)</f>
        <v>43526.13089</v>
      </c>
      <c r="D2528" s="23">
        <f>IFERROR(__xludf.DUMMYFUNCTION("""COMPUTED_VALUE"""),1.067)</f>
        <v>1.067</v>
      </c>
      <c r="E2528" s="24">
        <f>IFERROR(__xludf.DUMMYFUNCTION("""COMPUTED_VALUE"""),68.0)</f>
        <v>68</v>
      </c>
      <c r="F2528" s="27" t="str">
        <f>IFERROR(__xludf.DUMMYFUNCTION("""COMPUTED_VALUE"""),"BLACK")</f>
        <v>BLACK</v>
      </c>
      <c r="G2528" s="28" t="str">
        <f>IFERROR(__xludf.DUMMYFUNCTION("""COMPUTED_VALUE"""),"First Times a Charm Cider")</f>
        <v>First Times a Charm Cider</v>
      </c>
      <c r="H2528" s="27" t="str">
        <f>IFERROR(__xludf.DUMMYFUNCTION("""COMPUTED_VALUE"""),"")</f>
        <v/>
      </c>
    </row>
    <row r="2529">
      <c r="A2529" s="17"/>
      <c r="B2529" s="23"/>
      <c r="C2529" s="17">
        <f>IFERROR(__xludf.DUMMYFUNCTION("""COMPUTED_VALUE"""),43526.1204620601)</f>
        <v>43526.12046</v>
      </c>
      <c r="D2529" s="23">
        <f>IFERROR(__xludf.DUMMYFUNCTION("""COMPUTED_VALUE"""),1.067)</f>
        <v>1.067</v>
      </c>
      <c r="E2529" s="24">
        <f>IFERROR(__xludf.DUMMYFUNCTION("""COMPUTED_VALUE"""),68.0)</f>
        <v>68</v>
      </c>
      <c r="F2529" s="27" t="str">
        <f>IFERROR(__xludf.DUMMYFUNCTION("""COMPUTED_VALUE"""),"BLACK")</f>
        <v>BLACK</v>
      </c>
      <c r="G2529" s="28" t="str">
        <f>IFERROR(__xludf.DUMMYFUNCTION("""COMPUTED_VALUE"""),"First Times a Charm Cider")</f>
        <v>First Times a Charm Cider</v>
      </c>
      <c r="H2529" s="27" t="str">
        <f>IFERROR(__xludf.DUMMYFUNCTION("""COMPUTED_VALUE"""),"")</f>
        <v/>
      </c>
    </row>
    <row r="2530">
      <c r="A2530" s="17"/>
      <c r="B2530" s="23"/>
      <c r="C2530" s="17">
        <f>IFERROR(__xludf.DUMMYFUNCTION("""COMPUTED_VALUE"""),43526.1100415972)</f>
        <v>43526.11004</v>
      </c>
      <c r="D2530" s="23">
        <f>IFERROR(__xludf.DUMMYFUNCTION("""COMPUTED_VALUE"""),1.067)</f>
        <v>1.067</v>
      </c>
      <c r="E2530" s="24">
        <f>IFERROR(__xludf.DUMMYFUNCTION("""COMPUTED_VALUE"""),68.0)</f>
        <v>68</v>
      </c>
      <c r="F2530" s="27" t="str">
        <f>IFERROR(__xludf.DUMMYFUNCTION("""COMPUTED_VALUE"""),"BLACK")</f>
        <v>BLACK</v>
      </c>
      <c r="G2530" s="28" t="str">
        <f>IFERROR(__xludf.DUMMYFUNCTION("""COMPUTED_VALUE"""),"First Times a Charm Cider")</f>
        <v>First Times a Charm Cider</v>
      </c>
      <c r="H2530" s="27" t="str">
        <f>IFERROR(__xludf.DUMMYFUNCTION("""COMPUTED_VALUE"""),"")</f>
        <v/>
      </c>
    </row>
    <row r="2531">
      <c r="A2531" s="17"/>
      <c r="B2531" s="23"/>
      <c r="C2531" s="17">
        <f>IFERROR(__xludf.DUMMYFUNCTION("""COMPUTED_VALUE"""),43526.0996204166)</f>
        <v>43526.09962</v>
      </c>
      <c r="D2531" s="23">
        <f>IFERROR(__xludf.DUMMYFUNCTION("""COMPUTED_VALUE"""),1.067)</f>
        <v>1.067</v>
      </c>
      <c r="E2531" s="24">
        <f>IFERROR(__xludf.DUMMYFUNCTION("""COMPUTED_VALUE"""),68.0)</f>
        <v>68</v>
      </c>
      <c r="F2531" s="27" t="str">
        <f>IFERROR(__xludf.DUMMYFUNCTION("""COMPUTED_VALUE"""),"BLACK")</f>
        <v>BLACK</v>
      </c>
      <c r="G2531" s="28" t="str">
        <f>IFERROR(__xludf.DUMMYFUNCTION("""COMPUTED_VALUE"""),"First Times a Charm Cider")</f>
        <v>First Times a Charm Cider</v>
      </c>
      <c r="H2531" s="27" t="str">
        <f>IFERROR(__xludf.DUMMYFUNCTION("""COMPUTED_VALUE"""),"")</f>
        <v/>
      </c>
    </row>
    <row r="2532">
      <c r="A2532" s="17"/>
      <c r="B2532" s="23"/>
      <c r="C2532" s="17">
        <f>IFERROR(__xludf.DUMMYFUNCTION("""COMPUTED_VALUE"""),43526.0787658101)</f>
        <v>43526.07877</v>
      </c>
      <c r="D2532" s="23">
        <f>IFERROR(__xludf.DUMMYFUNCTION("""COMPUTED_VALUE"""),1.067)</f>
        <v>1.067</v>
      </c>
      <c r="E2532" s="24">
        <f>IFERROR(__xludf.DUMMYFUNCTION("""COMPUTED_VALUE"""),68.0)</f>
        <v>68</v>
      </c>
      <c r="F2532" s="27" t="str">
        <f>IFERROR(__xludf.DUMMYFUNCTION("""COMPUTED_VALUE"""),"BLACK")</f>
        <v>BLACK</v>
      </c>
      <c r="G2532" s="28" t="str">
        <f>IFERROR(__xludf.DUMMYFUNCTION("""COMPUTED_VALUE"""),"First Times a Charm Cider")</f>
        <v>First Times a Charm Cider</v>
      </c>
      <c r="H2532" s="27" t="str">
        <f>IFERROR(__xludf.DUMMYFUNCTION("""COMPUTED_VALUE"""),"")</f>
        <v/>
      </c>
    </row>
    <row r="2533">
      <c r="A2533" s="17"/>
      <c r="B2533" s="23"/>
      <c r="C2533" s="17">
        <f>IFERROR(__xludf.DUMMYFUNCTION("""COMPUTED_VALUE"""),43526.0579255324)</f>
        <v>43526.05793</v>
      </c>
      <c r="D2533" s="23">
        <f>IFERROR(__xludf.DUMMYFUNCTION("""COMPUTED_VALUE"""),1.067)</f>
        <v>1.067</v>
      </c>
      <c r="E2533" s="24">
        <f>IFERROR(__xludf.DUMMYFUNCTION("""COMPUTED_VALUE"""),68.0)</f>
        <v>68</v>
      </c>
      <c r="F2533" s="27" t="str">
        <f>IFERROR(__xludf.DUMMYFUNCTION("""COMPUTED_VALUE"""),"BLACK")</f>
        <v>BLACK</v>
      </c>
      <c r="G2533" s="28" t="str">
        <f>IFERROR(__xludf.DUMMYFUNCTION("""COMPUTED_VALUE"""),"First Times a Charm Cider")</f>
        <v>First Times a Charm Cider</v>
      </c>
      <c r="H2533" s="27" t="str">
        <f>IFERROR(__xludf.DUMMYFUNCTION("""COMPUTED_VALUE"""),"")</f>
        <v/>
      </c>
    </row>
    <row r="2534">
      <c r="A2534" s="17"/>
      <c r="B2534" s="23"/>
      <c r="C2534" s="17">
        <f>IFERROR(__xludf.DUMMYFUNCTION("""COMPUTED_VALUE"""),43526.0475054166)</f>
        <v>43526.04751</v>
      </c>
      <c r="D2534" s="23">
        <f>IFERROR(__xludf.DUMMYFUNCTION("""COMPUTED_VALUE"""),1.067)</f>
        <v>1.067</v>
      </c>
      <c r="E2534" s="24">
        <f>IFERROR(__xludf.DUMMYFUNCTION("""COMPUTED_VALUE"""),68.0)</f>
        <v>68</v>
      </c>
      <c r="F2534" s="27" t="str">
        <f>IFERROR(__xludf.DUMMYFUNCTION("""COMPUTED_VALUE"""),"BLACK")</f>
        <v>BLACK</v>
      </c>
      <c r="G2534" s="28" t="str">
        <f>IFERROR(__xludf.DUMMYFUNCTION("""COMPUTED_VALUE"""),"First Times a Charm Cider")</f>
        <v>First Times a Charm Cider</v>
      </c>
      <c r="H2534" s="27" t="str">
        <f>IFERROR(__xludf.DUMMYFUNCTION("""COMPUTED_VALUE"""),"")</f>
        <v/>
      </c>
    </row>
    <row r="2535">
      <c r="A2535" s="17"/>
      <c r="B2535" s="23"/>
      <c r="C2535" s="17">
        <f>IFERROR(__xludf.DUMMYFUNCTION("""COMPUTED_VALUE"""),43526.0370840856)</f>
        <v>43526.03708</v>
      </c>
      <c r="D2535" s="23">
        <f>IFERROR(__xludf.DUMMYFUNCTION("""COMPUTED_VALUE"""),1.067)</f>
        <v>1.067</v>
      </c>
      <c r="E2535" s="24">
        <f>IFERROR(__xludf.DUMMYFUNCTION("""COMPUTED_VALUE"""),68.0)</f>
        <v>68</v>
      </c>
      <c r="F2535" s="27" t="str">
        <f>IFERROR(__xludf.DUMMYFUNCTION("""COMPUTED_VALUE"""),"BLACK")</f>
        <v>BLACK</v>
      </c>
      <c r="G2535" s="28" t="str">
        <f>IFERROR(__xludf.DUMMYFUNCTION("""COMPUTED_VALUE"""),"First Times a Charm Cider")</f>
        <v>First Times a Charm Cider</v>
      </c>
      <c r="H2535" s="27" t="str">
        <f>IFERROR(__xludf.DUMMYFUNCTION("""COMPUTED_VALUE"""),"")</f>
        <v/>
      </c>
    </row>
    <row r="2536">
      <c r="A2536" s="17"/>
      <c r="B2536" s="23"/>
      <c r="C2536" s="17">
        <f>IFERROR(__xludf.DUMMYFUNCTION("""COMPUTED_VALUE"""),43526.026663125)</f>
        <v>43526.02666</v>
      </c>
      <c r="D2536" s="23">
        <f>IFERROR(__xludf.DUMMYFUNCTION("""COMPUTED_VALUE"""),1.068)</f>
        <v>1.068</v>
      </c>
      <c r="E2536" s="24">
        <f>IFERROR(__xludf.DUMMYFUNCTION("""COMPUTED_VALUE"""),68.0)</f>
        <v>68</v>
      </c>
      <c r="F2536" s="27" t="str">
        <f>IFERROR(__xludf.DUMMYFUNCTION("""COMPUTED_VALUE"""),"BLACK")</f>
        <v>BLACK</v>
      </c>
      <c r="G2536" s="28" t="str">
        <f>IFERROR(__xludf.DUMMYFUNCTION("""COMPUTED_VALUE"""),"First Times a Charm Cider")</f>
        <v>First Times a Charm Cider</v>
      </c>
      <c r="H2536" s="27" t="str">
        <f>IFERROR(__xludf.DUMMYFUNCTION("""COMPUTED_VALUE"""),"")</f>
        <v/>
      </c>
    </row>
    <row r="2537">
      <c r="A2537" s="17"/>
      <c r="B2537" s="23"/>
      <c r="C2537" s="17">
        <f>IFERROR(__xludf.DUMMYFUNCTION("""COMPUTED_VALUE"""),43526.005819618)</f>
        <v>43526.00582</v>
      </c>
      <c r="D2537" s="23">
        <f>IFERROR(__xludf.DUMMYFUNCTION("""COMPUTED_VALUE"""),1.067)</f>
        <v>1.067</v>
      </c>
      <c r="E2537" s="24">
        <f>IFERROR(__xludf.DUMMYFUNCTION("""COMPUTED_VALUE"""),67.0)</f>
        <v>67</v>
      </c>
      <c r="F2537" s="27" t="str">
        <f>IFERROR(__xludf.DUMMYFUNCTION("""COMPUTED_VALUE"""),"BLACK")</f>
        <v>BLACK</v>
      </c>
      <c r="G2537" s="28" t="str">
        <f>IFERROR(__xludf.DUMMYFUNCTION("""COMPUTED_VALUE"""),"First Times a Charm Cider")</f>
        <v>First Times a Charm Cider</v>
      </c>
      <c r="H2537" s="27" t="str">
        <f>IFERROR(__xludf.DUMMYFUNCTION("""COMPUTED_VALUE"""),"")</f>
        <v/>
      </c>
    </row>
    <row r="2538">
      <c r="A2538" s="17"/>
      <c r="B2538" s="23"/>
      <c r="C2538" s="17">
        <f>IFERROR(__xludf.DUMMYFUNCTION("""COMPUTED_VALUE"""),43525.9953991782)</f>
        <v>43525.9954</v>
      </c>
      <c r="D2538" s="23">
        <f>IFERROR(__xludf.DUMMYFUNCTION("""COMPUTED_VALUE"""),1.068)</f>
        <v>1.068</v>
      </c>
      <c r="E2538" s="24">
        <f>IFERROR(__xludf.DUMMYFUNCTION("""COMPUTED_VALUE"""),67.0)</f>
        <v>67</v>
      </c>
      <c r="F2538" s="27" t="str">
        <f>IFERROR(__xludf.DUMMYFUNCTION("""COMPUTED_VALUE"""),"BLACK")</f>
        <v>BLACK</v>
      </c>
      <c r="G2538" s="28" t="str">
        <f>IFERROR(__xludf.DUMMYFUNCTION("""COMPUTED_VALUE"""),"First Times a Charm Cider")</f>
        <v>First Times a Charm Cider</v>
      </c>
      <c r="H2538" s="27" t="str">
        <f>IFERROR(__xludf.DUMMYFUNCTION("""COMPUTED_VALUE"""),"")</f>
        <v/>
      </c>
    </row>
    <row r="2539">
      <c r="A2539" s="17"/>
      <c r="B2539" s="23"/>
      <c r="C2539" s="17">
        <f>IFERROR(__xludf.DUMMYFUNCTION("""COMPUTED_VALUE"""),43525.9849782986)</f>
        <v>43525.98498</v>
      </c>
      <c r="D2539" s="23">
        <f>IFERROR(__xludf.DUMMYFUNCTION("""COMPUTED_VALUE"""),1.068)</f>
        <v>1.068</v>
      </c>
      <c r="E2539" s="24">
        <f>IFERROR(__xludf.DUMMYFUNCTION("""COMPUTED_VALUE"""),68.0)</f>
        <v>68</v>
      </c>
      <c r="F2539" s="27" t="str">
        <f>IFERROR(__xludf.DUMMYFUNCTION("""COMPUTED_VALUE"""),"BLACK")</f>
        <v>BLACK</v>
      </c>
      <c r="G2539" s="28" t="str">
        <f>IFERROR(__xludf.DUMMYFUNCTION("""COMPUTED_VALUE"""),"First Times a Charm Cider")</f>
        <v>First Times a Charm Cider</v>
      </c>
      <c r="H2539" s="27" t="str">
        <f>IFERROR(__xludf.DUMMYFUNCTION("""COMPUTED_VALUE"""),"")</f>
        <v/>
      </c>
    </row>
    <row r="2540">
      <c r="A2540" s="17"/>
      <c r="B2540" s="23"/>
      <c r="C2540" s="17">
        <f>IFERROR(__xludf.DUMMYFUNCTION("""COMPUTED_VALUE"""),43525.95368)</f>
        <v>43525.95368</v>
      </c>
      <c r="D2540" s="23">
        <f>IFERROR(__xludf.DUMMYFUNCTION("""COMPUTED_VALUE"""),1.067)</f>
        <v>1.067</v>
      </c>
      <c r="E2540" s="24">
        <f>IFERROR(__xludf.DUMMYFUNCTION("""COMPUTED_VALUE"""),67.0)</f>
        <v>67</v>
      </c>
      <c r="F2540" s="27" t="str">
        <f>IFERROR(__xludf.DUMMYFUNCTION("""COMPUTED_VALUE"""),"BLACK")</f>
        <v>BLACK</v>
      </c>
      <c r="G2540" s="28" t="str">
        <f>IFERROR(__xludf.DUMMYFUNCTION("""COMPUTED_VALUE"""),"First Times a Charm Cider")</f>
        <v>First Times a Charm Cider</v>
      </c>
      <c r="H2540" s="27" t="str">
        <f>IFERROR(__xludf.DUMMYFUNCTION("""COMPUTED_VALUE"""),"")</f>
        <v/>
      </c>
    </row>
    <row r="2541">
      <c r="A2541" s="17"/>
      <c r="B2541" s="23"/>
      <c r="C2541" s="17">
        <f>IFERROR(__xludf.DUMMYFUNCTION("""COMPUTED_VALUE"""),43525.9328256481)</f>
        <v>43525.93283</v>
      </c>
      <c r="D2541" s="23">
        <f>IFERROR(__xludf.DUMMYFUNCTION("""COMPUTED_VALUE"""),1.068)</f>
        <v>1.068</v>
      </c>
      <c r="E2541" s="24">
        <f>IFERROR(__xludf.DUMMYFUNCTION("""COMPUTED_VALUE"""),67.0)</f>
        <v>67</v>
      </c>
      <c r="F2541" s="27" t="str">
        <f>IFERROR(__xludf.DUMMYFUNCTION("""COMPUTED_VALUE"""),"BLACK")</f>
        <v>BLACK</v>
      </c>
      <c r="G2541" s="28" t="str">
        <f>IFERROR(__xludf.DUMMYFUNCTION("""COMPUTED_VALUE"""),"First Times a Charm Cider")</f>
        <v>First Times a Charm Cider</v>
      </c>
      <c r="H2541" s="27" t="str">
        <f>IFERROR(__xludf.DUMMYFUNCTION("""COMPUTED_VALUE"""),"")</f>
        <v/>
      </c>
    </row>
    <row r="2542">
      <c r="A2542" s="17"/>
      <c r="B2542" s="23"/>
      <c r="C2542" s="17">
        <f>IFERROR(__xludf.DUMMYFUNCTION("""COMPUTED_VALUE"""),43525.9119479861)</f>
        <v>43525.91195</v>
      </c>
      <c r="D2542" s="23">
        <f>IFERROR(__xludf.DUMMYFUNCTION("""COMPUTED_VALUE"""),1.068)</f>
        <v>1.068</v>
      </c>
      <c r="E2542" s="24">
        <f>IFERROR(__xludf.DUMMYFUNCTION("""COMPUTED_VALUE"""),67.0)</f>
        <v>67</v>
      </c>
      <c r="F2542" s="27" t="str">
        <f>IFERROR(__xludf.DUMMYFUNCTION("""COMPUTED_VALUE"""),"BLACK")</f>
        <v>BLACK</v>
      </c>
      <c r="G2542" s="28" t="str">
        <f>IFERROR(__xludf.DUMMYFUNCTION("""COMPUTED_VALUE"""),"First Times a Charm Cider")</f>
        <v>First Times a Charm Cider</v>
      </c>
      <c r="H2542" s="27" t="str">
        <f>IFERROR(__xludf.DUMMYFUNCTION("""COMPUTED_VALUE"""),"")</f>
        <v/>
      </c>
    </row>
    <row r="2543">
      <c r="A2543" s="17"/>
      <c r="B2543" s="23"/>
      <c r="C2543" s="17">
        <f>IFERROR(__xludf.DUMMYFUNCTION("""COMPUTED_VALUE"""),43525.9015280092)</f>
        <v>43525.90153</v>
      </c>
      <c r="D2543" s="23">
        <f>IFERROR(__xludf.DUMMYFUNCTION("""COMPUTED_VALUE"""),1.068)</f>
        <v>1.068</v>
      </c>
      <c r="E2543" s="24">
        <f>IFERROR(__xludf.DUMMYFUNCTION("""COMPUTED_VALUE"""),67.0)</f>
        <v>67</v>
      </c>
      <c r="F2543" s="27" t="str">
        <f>IFERROR(__xludf.DUMMYFUNCTION("""COMPUTED_VALUE"""),"BLACK")</f>
        <v>BLACK</v>
      </c>
      <c r="G2543" s="28" t="str">
        <f>IFERROR(__xludf.DUMMYFUNCTION("""COMPUTED_VALUE"""),"First Times a Charm Cider")</f>
        <v>First Times a Charm Cider</v>
      </c>
      <c r="H2543" s="27" t="str">
        <f>IFERROR(__xludf.DUMMYFUNCTION("""COMPUTED_VALUE"""),"")</f>
        <v/>
      </c>
    </row>
    <row r="2544">
      <c r="A2544" s="17"/>
      <c r="B2544" s="23"/>
      <c r="C2544" s="17">
        <f>IFERROR(__xludf.DUMMYFUNCTION("""COMPUTED_VALUE"""),43525.8910717361)</f>
        <v>43525.89107</v>
      </c>
      <c r="D2544" s="23">
        <f>IFERROR(__xludf.DUMMYFUNCTION("""COMPUTED_VALUE"""),1.068)</f>
        <v>1.068</v>
      </c>
      <c r="E2544" s="24">
        <f>IFERROR(__xludf.DUMMYFUNCTION("""COMPUTED_VALUE"""),67.0)</f>
        <v>67</v>
      </c>
      <c r="F2544" s="27" t="str">
        <f>IFERROR(__xludf.DUMMYFUNCTION("""COMPUTED_VALUE"""),"BLACK")</f>
        <v>BLACK</v>
      </c>
      <c r="G2544" s="28" t="str">
        <f>IFERROR(__xludf.DUMMYFUNCTION("""COMPUTED_VALUE"""),"First Times a Charm Cider")</f>
        <v>First Times a Charm Cider</v>
      </c>
      <c r="H2544" s="27" t="str">
        <f>IFERROR(__xludf.DUMMYFUNCTION("""COMPUTED_VALUE"""),"")</f>
        <v/>
      </c>
    </row>
    <row r="2545">
      <c r="A2545" s="17"/>
      <c r="B2545" s="23"/>
      <c r="C2545" s="17">
        <f>IFERROR(__xludf.DUMMYFUNCTION("""COMPUTED_VALUE"""),43525.8806405439)</f>
        <v>43525.88064</v>
      </c>
      <c r="D2545" s="23">
        <f>IFERROR(__xludf.DUMMYFUNCTION("""COMPUTED_VALUE"""),1.068)</f>
        <v>1.068</v>
      </c>
      <c r="E2545" s="24">
        <f>IFERROR(__xludf.DUMMYFUNCTION("""COMPUTED_VALUE"""),67.0)</f>
        <v>67</v>
      </c>
      <c r="F2545" s="27" t="str">
        <f>IFERROR(__xludf.DUMMYFUNCTION("""COMPUTED_VALUE"""),"BLACK")</f>
        <v>BLACK</v>
      </c>
      <c r="G2545" s="28" t="str">
        <f>IFERROR(__xludf.DUMMYFUNCTION("""COMPUTED_VALUE"""),"First Times a Charm Cider")</f>
        <v>First Times a Charm Cider</v>
      </c>
      <c r="H2545" s="27" t="str">
        <f>IFERROR(__xludf.DUMMYFUNCTION("""COMPUTED_VALUE"""),"")</f>
        <v/>
      </c>
    </row>
    <row r="2546">
      <c r="A2546" s="17"/>
      <c r="B2546" s="23"/>
      <c r="C2546" s="17">
        <f>IFERROR(__xludf.DUMMYFUNCTION("""COMPUTED_VALUE"""),43525.870216956)</f>
        <v>43525.87022</v>
      </c>
      <c r="D2546" s="23">
        <f>IFERROR(__xludf.DUMMYFUNCTION("""COMPUTED_VALUE"""),1.068)</f>
        <v>1.068</v>
      </c>
      <c r="E2546" s="24">
        <f>IFERROR(__xludf.DUMMYFUNCTION("""COMPUTED_VALUE"""),67.0)</f>
        <v>67</v>
      </c>
      <c r="F2546" s="27" t="str">
        <f>IFERROR(__xludf.DUMMYFUNCTION("""COMPUTED_VALUE"""),"BLACK")</f>
        <v>BLACK</v>
      </c>
      <c r="G2546" s="28" t="str">
        <f>IFERROR(__xludf.DUMMYFUNCTION("""COMPUTED_VALUE"""),"First Times a Charm Cider")</f>
        <v>First Times a Charm Cider</v>
      </c>
      <c r="H2546" s="27" t="str">
        <f>IFERROR(__xludf.DUMMYFUNCTION("""COMPUTED_VALUE"""),"")</f>
        <v/>
      </c>
    </row>
    <row r="2547">
      <c r="A2547" s="17"/>
      <c r="B2547" s="23"/>
      <c r="C2547" s="17">
        <f>IFERROR(__xludf.DUMMYFUNCTION("""COMPUTED_VALUE"""),43525.8597838657)</f>
        <v>43525.85978</v>
      </c>
      <c r="D2547" s="23">
        <f>IFERROR(__xludf.DUMMYFUNCTION("""COMPUTED_VALUE"""),1.068)</f>
        <v>1.068</v>
      </c>
      <c r="E2547" s="24">
        <f>IFERROR(__xludf.DUMMYFUNCTION("""COMPUTED_VALUE"""),67.0)</f>
        <v>67</v>
      </c>
      <c r="F2547" s="27" t="str">
        <f>IFERROR(__xludf.DUMMYFUNCTION("""COMPUTED_VALUE"""),"BLACK")</f>
        <v>BLACK</v>
      </c>
      <c r="G2547" s="28" t="str">
        <f>IFERROR(__xludf.DUMMYFUNCTION("""COMPUTED_VALUE"""),"First Times a Charm Cider")</f>
        <v>First Times a Charm Cider</v>
      </c>
      <c r="H2547" s="27" t="str">
        <f>IFERROR(__xludf.DUMMYFUNCTION("""COMPUTED_VALUE"""),"")</f>
        <v/>
      </c>
    </row>
    <row r="2548">
      <c r="A2548" s="17"/>
      <c r="B2548" s="23"/>
      <c r="C2548" s="17">
        <f>IFERROR(__xludf.DUMMYFUNCTION("""COMPUTED_VALUE"""),43525.849362905)</f>
        <v>43525.84936</v>
      </c>
      <c r="D2548" s="23">
        <f>IFERROR(__xludf.DUMMYFUNCTION("""COMPUTED_VALUE"""),1.068)</f>
        <v>1.068</v>
      </c>
      <c r="E2548" s="24">
        <f>IFERROR(__xludf.DUMMYFUNCTION("""COMPUTED_VALUE"""),67.0)</f>
        <v>67</v>
      </c>
      <c r="F2548" s="27" t="str">
        <f>IFERROR(__xludf.DUMMYFUNCTION("""COMPUTED_VALUE"""),"BLACK")</f>
        <v>BLACK</v>
      </c>
      <c r="G2548" s="28" t="str">
        <f>IFERROR(__xludf.DUMMYFUNCTION("""COMPUTED_VALUE"""),"First Times a Charm Cider")</f>
        <v>First Times a Charm Cider</v>
      </c>
      <c r="H2548" s="27" t="str">
        <f>IFERROR(__xludf.DUMMYFUNCTION("""COMPUTED_VALUE"""),"")</f>
        <v/>
      </c>
    </row>
    <row r="2549">
      <c r="A2549" s="17"/>
      <c r="B2549" s="23"/>
      <c r="C2549" s="17">
        <f>IFERROR(__xludf.DUMMYFUNCTION("""COMPUTED_VALUE"""),43525.8284275926)</f>
        <v>43525.82843</v>
      </c>
      <c r="D2549" s="23">
        <f>IFERROR(__xludf.DUMMYFUNCTION("""COMPUTED_VALUE"""),1.068)</f>
        <v>1.068</v>
      </c>
      <c r="E2549" s="24">
        <f>IFERROR(__xludf.DUMMYFUNCTION("""COMPUTED_VALUE"""),67.0)</f>
        <v>67</v>
      </c>
      <c r="F2549" s="27" t="str">
        <f>IFERROR(__xludf.DUMMYFUNCTION("""COMPUTED_VALUE"""),"BLACK")</f>
        <v>BLACK</v>
      </c>
      <c r="G2549" s="28" t="str">
        <f>IFERROR(__xludf.DUMMYFUNCTION("""COMPUTED_VALUE"""),"First Times a Charm Cider")</f>
        <v>First Times a Charm Cider</v>
      </c>
      <c r="H2549" s="27" t="str">
        <f>IFERROR(__xludf.DUMMYFUNCTION("""COMPUTED_VALUE"""),"")</f>
        <v/>
      </c>
    </row>
    <row r="2550">
      <c r="A2550" s="17"/>
      <c r="B2550" s="23"/>
      <c r="C2550" s="17">
        <f>IFERROR(__xludf.DUMMYFUNCTION("""COMPUTED_VALUE"""),43525.8075266435)</f>
        <v>43525.80753</v>
      </c>
      <c r="D2550" s="23">
        <f>IFERROR(__xludf.DUMMYFUNCTION("""COMPUTED_VALUE"""),1.068)</f>
        <v>1.068</v>
      </c>
      <c r="E2550" s="24">
        <f>IFERROR(__xludf.DUMMYFUNCTION("""COMPUTED_VALUE"""),67.0)</f>
        <v>67</v>
      </c>
      <c r="F2550" s="27" t="str">
        <f>IFERROR(__xludf.DUMMYFUNCTION("""COMPUTED_VALUE"""),"BLACK")</f>
        <v>BLACK</v>
      </c>
      <c r="G2550" s="28" t="str">
        <f>IFERROR(__xludf.DUMMYFUNCTION("""COMPUTED_VALUE"""),"First Times a Charm Cider")</f>
        <v>First Times a Charm Cider</v>
      </c>
      <c r="H2550" s="27" t="str">
        <f>IFERROR(__xludf.DUMMYFUNCTION("""COMPUTED_VALUE"""),"")</f>
        <v/>
      </c>
    </row>
    <row r="2551">
      <c r="A2551" s="17"/>
      <c r="B2551" s="23"/>
      <c r="C2551" s="17">
        <f>IFERROR(__xludf.DUMMYFUNCTION("""COMPUTED_VALUE"""),43525.7553592245)</f>
        <v>43525.75536</v>
      </c>
      <c r="D2551" s="23">
        <f>IFERROR(__xludf.DUMMYFUNCTION("""COMPUTED_VALUE"""),1.068)</f>
        <v>1.068</v>
      </c>
      <c r="E2551" s="24">
        <f>IFERROR(__xludf.DUMMYFUNCTION("""COMPUTED_VALUE"""),67.0)</f>
        <v>67</v>
      </c>
      <c r="F2551" s="27" t="str">
        <f>IFERROR(__xludf.DUMMYFUNCTION("""COMPUTED_VALUE"""),"BLACK")</f>
        <v>BLACK</v>
      </c>
      <c r="G2551" s="28" t="str">
        <f>IFERROR(__xludf.DUMMYFUNCTION("""COMPUTED_VALUE"""),"First Times a Charm Cider")</f>
        <v>First Times a Charm Cider</v>
      </c>
      <c r="H2551" s="27" t="str">
        <f>IFERROR(__xludf.DUMMYFUNCTION("""COMPUTED_VALUE"""),"")</f>
        <v/>
      </c>
    </row>
    <row r="2552">
      <c r="A2552" s="17"/>
      <c r="B2552" s="23"/>
      <c r="C2552" s="17">
        <f>IFERROR(__xludf.DUMMYFUNCTION("""COMPUTED_VALUE"""),43525.7345173611)</f>
        <v>43525.73452</v>
      </c>
      <c r="D2552" s="23">
        <f>IFERROR(__xludf.DUMMYFUNCTION("""COMPUTED_VALUE"""),1.068)</f>
        <v>1.068</v>
      </c>
      <c r="E2552" s="24">
        <f>IFERROR(__xludf.DUMMYFUNCTION("""COMPUTED_VALUE"""),67.0)</f>
        <v>67</v>
      </c>
      <c r="F2552" s="27" t="str">
        <f>IFERROR(__xludf.DUMMYFUNCTION("""COMPUTED_VALUE"""),"BLACK")</f>
        <v>BLACK</v>
      </c>
      <c r="G2552" s="28" t="str">
        <f>IFERROR(__xludf.DUMMYFUNCTION("""COMPUTED_VALUE"""),"First Times a Charm Cider")</f>
        <v>First Times a Charm Cider</v>
      </c>
      <c r="H2552" s="27" t="str">
        <f>IFERROR(__xludf.DUMMYFUNCTION("""COMPUTED_VALUE"""),"")</f>
        <v/>
      </c>
    </row>
    <row r="2553">
      <c r="A2553" s="17"/>
      <c r="B2553" s="23"/>
      <c r="C2553" s="17">
        <f>IFERROR(__xludf.DUMMYFUNCTION("""COMPUTED_VALUE"""),43525.7240613541)</f>
        <v>43525.72406</v>
      </c>
      <c r="D2553" s="23">
        <f>IFERROR(__xludf.DUMMYFUNCTION("""COMPUTED_VALUE"""),1.069)</f>
        <v>1.069</v>
      </c>
      <c r="E2553" s="24">
        <f>IFERROR(__xludf.DUMMYFUNCTION("""COMPUTED_VALUE"""),67.0)</f>
        <v>67</v>
      </c>
      <c r="F2553" s="27" t="str">
        <f>IFERROR(__xludf.DUMMYFUNCTION("""COMPUTED_VALUE"""),"BLACK")</f>
        <v>BLACK</v>
      </c>
      <c r="G2553" s="28" t="str">
        <f>IFERROR(__xludf.DUMMYFUNCTION("""COMPUTED_VALUE"""),"First Times a Charm Cider")</f>
        <v>First Times a Charm Cider</v>
      </c>
      <c r="H2553" s="27" t="str">
        <f>IFERROR(__xludf.DUMMYFUNCTION("""COMPUTED_VALUE"""),"")</f>
        <v/>
      </c>
    </row>
    <row r="2554">
      <c r="A2554" s="17"/>
      <c r="B2554" s="23"/>
      <c r="C2554" s="17">
        <f>IFERROR(__xludf.DUMMYFUNCTION("""COMPUTED_VALUE"""),43525.7136293055)</f>
        <v>43525.71363</v>
      </c>
      <c r="D2554" s="23">
        <f>IFERROR(__xludf.DUMMYFUNCTION("""COMPUTED_VALUE"""),1.068)</f>
        <v>1.068</v>
      </c>
      <c r="E2554" s="24">
        <f>IFERROR(__xludf.DUMMYFUNCTION("""COMPUTED_VALUE"""),67.0)</f>
        <v>67</v>
      </c>
      <c r="F2554" s="27" t="str">
        <f>IFERROR(__xludf.DUMMYFUNCTION("""COMPUTED_VALUE"""),"BLACK")</f>
        <v>BLACK</v>
      </c>
      <c r="G2554" s="28" t="str">
        <f>IFERROR(__xludf.DUMMYFUNCTION("""COMPUTED_VALUE"""),"First Times a Charm Cider")</f>
        <v>First Times a Charm Cider</v>
      </c>
      <c r="H2554" s="27" t="str">
        <f>IFERROR(__xludf.DUMMYFUNCTION("""COMPUTED_VALUE"""),"")</f>
        <v/>
      </c>
    </row>
    <row r="2555">
      <c r="A2555" s="17"/>
      <c r="B2555" s="23"/>
      <c r="C2555" s="17">
        <f>IFERROR(__xludf.DUMMYFUNCTION("""COMPUTED_VALUE"""),43525.703209699)</f>
        <v>43525.70321</v>
      </c>
      <c r="D2555" s="23">
        <f>IFERROR(__xludf.DUMMYFUNCTION("""COMPUTED_VALUE"""),1.069)</f>
        <v>1.069</v>
      </c>
      <c r="E2555" s="24">
        <f>IFERROR(__xludf.DUMMYFUNCTION("""COMPUTED_VALUE"""),67.0)</f>
        <v>67</v>
      </c>
      <c r="F2555" s="27" t="str">
        <f>IFERROR(__xludf.DUMMYFUNCTION("""COMPUTED_VALUE"""),"BLACK")</f>
        <v>BLACK</v>
      </c>
      <c r="G2555" s="28" t="str">
        <f>IFERROR(__xludf.DUMMYFUNCTION("""COMPUTED_VALUE"""),"First Times a Charm Cider")</f>
        <v>First Times a Charm Cider</v>
      </c>
      <c r="H2555" s="27" t="str">
        <f>IFERROR(__xludf.DUMMYFUNCTION("""COMPUTED_VALUE"""),"")</f>
        <v/>
      </c>
    </row>
    <row r="2556">
      <c r="A2556" s="17"/>
      <c r="B2556" s="23"/>
      <c r="C2556" s="17">
        <f>IFERROR(__xludf.DUMMYFUNCTION("""COMPUTED_VALUE"""),43525.6927894675)</f>
        <v>43525.69279</v>
      </c>
      <c r="D2556" s="23">
        <f>IFERROR(__xludf.DUMMYFUNCTION("""COMPUTED_VALUE"""),1.069)</f>
        <v>1.069</v>
      </c>
      <c r="E2556" s="24">
        <f>IFERROR(__xludf.DUMMYFUNCTION("""COMPUTED_VALUE"""),67.0)</f>
        <v>67</v>
      </c>
      <c r="F2556" s="27" t="str">
        <f>IFERROR(__xludf.DUMMYFUNCTION("""COMPUTED_VALUE"""),"BLACK")</f>
        <v>BLACK</v>
      </c>
      <c r="G2556" s="28" t="str">
        <f>IFERROR(__xludf.DUMMYFUNCTION("""COMPUTED_VALUE"""),"First Times a Charm Cider")</f>
        <v>First Times a Charm Cider</v>
      </c>
      <c r="H2556" s="27" t="str">
        <f>IFERROR(__xludf.DUMMYFUNCTION("""COMPUTED_VALUE"""),"")</f>
        <v/>
      </c>
    </row>
    <row r="2557">
      <c r="A2557" s="17"/>
      <c r="B2557" s="23"/>
      <c r="C2557" s="17">
        <f>IFERROR(__xludf.DUMMYFUNCTION("""COMPUTED_VALUE"""),43525.682310949)</f>
        <v>43525.68231</v>
      </c>
      <c r="D2557" s="23">
        <f>IFERROR(__xludf.DUMMYFUNCTION("""COMPUTED_VALUE"""),1.069)</f>
        <v>1.069</v>
      </c>
      <c r="E2557" s="24">
        <f>IFERROR(__xludf.DUMMYFUNCTION("""COMPUTED_VALUE"""),66.0)</f>
        <v>66</v>
      </c>
      <c r="F2557" s="27" t="str">
        <f>IFERROR(__xludf.DUMMYFUNCTION("""COMPUTED_VALUE"""),"BLACK")</f>
        <v>BLACK</v>
      </c>
      <c r="G2557" s="28" t="str">
        <f>IFERROR(__xludf.DUMMYFUNCTION("""COMPUTED_VALUE"""),"First Times a Charm Cider")</f>
        <v>First Times a Charm Cider</v>
      </c>
      <c r="H2557" s="27" t="str">
        <f>IFERROR(__xludf.DUMMYFUNCTION("""COMPUTED_VALUE"""),"")</f>
        <v/>
      </c>
    </row>
    <row r="2558">
      <c r="A2558" s="17"/>
      <c r="B2558" s="23"/>
      <c r="C2558" s="17">
        <f>IFERROR(__xludf.DUMMYFUNCTION("""COMPUTED_VALUE"""),43525.6510472222)</f>
        <v>43525.65105</v>
      </c>
      <c r="D2558" s="23">
        <f>IFERROR(__xludf.DUMMYFUNCTION("""COMPUTED_VALUE"""),1.069)</f>
        <v>1.069</v>
      </c>
      <c r="E2558" s="24">
        <f>IFERROR(__xludf.DUMMYFUNCTION("""COMPUTED_VALUE"""),66.0)</f>
        <v>66</v>
      </c>
      <c r="F2558" s="27" t="str">
        <f>IFERROR(__xludf.DUMMYFUNCTION("""COMPUTED_VALUE"""),"BLACK")</f>
        <v>BLACK</v>
      </c>
      <c r="G2558" s="28" t="str">
        <f>IFERROR(__xludf.DUMMYFUNCTION("""COMPUTED_VALUE"""),"First Times a Charm Cider")</f>
        <v>First Times a Charm Cider</v>
      </c>
      <c r="H2558" s="27" t="str">
        <f>IFERROR(__xludf.DUMMYFUNCTION("""COMPUTED_VALUE"""),"")</f>
        <v/>
      </c>
    </row>
    <row r="2559">
      <c r="A2559" s="17"/>
      <c r="B2559" s="23"/>
      <c r="C2559" s="17">
        <f>IFERROR(__xludf.DUMMYFUNCTION("""COMPUTED_VALUE"""),43525.6302043518)</f>
        <v>43525.6302</v>
      </c>
      <c r="D2559" s="23">
        <f>IFERROR(__xludf.DUMMYFUNCTION("""COMPUTED_VALUE"""),1.069)</f>
        <v>1.069</v>
      </c>
      <c r="E2559" s="24">
        <f>IFERROR(__xludf.DUMMYFUNCTION("""COMPUTED_VALUE"""),66.0)</f>
        <v>66</v>
      </c>
      <c r="F2559" s="27" t="str">
        <f>IFERROR(__xludf.DUMMYFUNCTION("""COMPUTED_VALUE"""),"BLACK")</f>
        <v>BLACK</v>
      </c>
      <c r="G2559" s="28" t="str">
        <f>IFERROR(__xludf.DUMMYFUNCTION("""COMPUTED_VALUE"""),"First Times a Charm Cider")</f>
        <v>First Times a Charm Cider</v>
      </c>
      <c r="H2559" s="27" t="str">
        <f>IFERROR(__xludf.DUMMYFUNCTION("""COMPUTED_VALUE"""),"")</f>
        <v/>
      </c>
    </row>
    <row r="2560">
      <c r="A2560" s="17"/>
      <c r="B2560" s="23"/>
      <c r="C2560" s="17">
        <f>IFERROR(__xludf.DUMMYFUNCTION("""COMPUTED_VALUE"""),43525.6093356828)</f>
        <v>43525.60934</v>
      </c>
      <c r="D2560" s="23">
        <f>IFERROR(__xludf.DUMMYFUNCTION("""COMPUTED_VALUE"""),1.069)</f>
        <v>1.069</v>
      </c>
      <c r="E2560" s="24">
        <f>IFERROR(__xludf.DUMMYFUNCTION("""COMPUTED_VALUE"""),66.0)</f>
        <v>66</v>
      </c>
      <c r="F2560" s="27" t="str">
        <f>IFERROR(__xludf.DUMMYFUNCTION("""COMPUTED_VALUE"""),"BLACK")</f>
        <v>BLACK</v>
      </c>
      <c r="G2560" s="28" t="str">
        <f>IFERROR(__xludf.DUMMYFUNCTION("""COMPUTED_VALUE"""),"First Times a Charm Cider")</f>
        <v>First Times a Charm Cider</v>
      </c>
      <c r="H2560" s="27" t="str">
        <f>IFERROR(__xludf.DUMMYFUNCTION("""COMPUTED_VALUE"""),"")</f>
        <v/>
      </c>
    </row>
    <row r="2561">
      <c r="A2561" s="17"/>
      <c r="B2561" s="23"/>
      <c r="C2561" s="17">
        <f>IFERROR(__xludf.DUMMYFUNCTION("""COMPUTED_VALUE"""),43525.5989150925)</f>
        <v>43525.59892</v>
      </c>
      <c r="D2561" s="23">
        <f>IFERROR(__xludf.DUMMYFUNCTION("""COMPUTED_VALUE"""),1.069)</f>
        <v>1.069</v>
      </c>
      <c r="E2561" s="24">
        <f>IFERROR(__xludf.DUMMYFUNCTION("""COMPUTED_VALUE"""),66.0)</f>
        <v>66</v>
      </c>
      <c r="F2561" s="27" t="str">
        <f>IFERROR(__xludf.DUMMYFUNCTION("""COMPUTED_VALUE"""),"BLACK")</f>
        <v>BLACK</v>
      </c>
      <c r="G2561" s="28" t="str">
        <f>IFERROR(__xludf.DUMMYFUNCTION("""COMPUTED_VALUE"""),"First Times a Charm Cider")</f>
        <v>First Times a Charm Cider</v>
      </c>
      <c r="H2561" s="27" t="str">
        <f>IFERROR(__xludf.DUMMYFUNCTION("""COMPUTED_VALUE"""),"")</f>
        <v/>
      </c>
    </row>
    <row r="2562">
      <c r="A2562" s="17"/>
      <c r="B2562" s="23"/>
      <c r="C2562" s="17">
        <f>IFERROR(__xludf.DUMMYFUNCTION("""COMPUTED_VALUE"""),43525.5884701736)</f>
        <v>43525.58847</v>
      </c>
      <c r="D2562" s="23">
        <f>IFERROR(__xludf.DUMMYFUNCTION("""COMPUTED_VALUE"""),1.069)</f>
        <v>1.069</v>
      </c>
      <c r="E2562" s="24">
        <f>IFERROR(__xludf.DUMMYFUNCTION("""COMPUTED_VALUE"""),66.0)</f>
        <v>66</v>
      </c>
      <c r="F2562" s="27" t="str">
        <f>IFERROR(__xludf.DUMMYFUNCTION("""COMPUTED_VALUE"""),"BLACK")</f>
        <v>BLACK</v>
      </c>
      <c r="G2562" s="28" t="str">
        <f>IFERROR(__xludf.DUMMYFUNCTION("""COMPUTED_VALUE"""),"First Times a Charm Cider")</f>
        <v>First Times a Charm Cider</v>
      </c>
      <c r="H2562" s="27" t="str">
        <f>IFERROR(__xludf.DUMMYFUNCTION("""COMPUTED_VALUE"""),"")</f>
        <v/>
      </c>
    </row>
    <row r="2563">
      <c r="A2563" s="17"/>
      <c r="B2563" s="23"/>
      <c r="C2563" s="17">
        <f>IFERROR(__xludf.DUMMYFUNCTION("""COMPUTED_VALUE"""),43525.5780499768)</f>
        <v>43525.57805</v>
      </c>
      <c r="D2563" s="23">
        <f>IFERROR(__xludf.DUMMYFUNCTION("""COMPUTED_VALUE"""),1.069)</f>
        <v>1.069</v>
      </c>
      <c r="E2563" s="24">
        <f>IFERROR(__xludf.DUMMYFUNCTION("""COMPUTED_VALUE"""),66.0)</f>
        <v>66</v>
      </c>
      <c r="F2563" s="27" t="str">
        <f>IFERROR(__xludf.DUMMYFUNCTION("""COMPUTED_VALUE"""),"BLACK")</f>
        <v>BLACK</v>
      </c>
      <c r="G2563" s="28" t="str">
        <f>IFERROR(__xludf.DUMMYFUNCTION("""COMPUTED_VALUE"""),"First Times a Charm Cider")</f>
        <v>First Times a Charm Cider</v>
      </c>
      <c r="H2563" s="27" t="str">
        <f>IFERROR(__xludf.DUMMYFUNCTION("""COMPUTED_VALUE"""),"")</f>
        <v/>
      </c>
    </row>
    <row r="2564">
      <c r="A2564" s="17"/>
      <c r="B2564" s="23"/>
      <c r="C2564" s="17">
        <f>IFERROR(__xludf.DUMMYFUNCTION("""COMPUTED_VALUE"""),43525.5676059838)</f>
        <v>43525.56761</v>
      </c>
      <c r="D2564" s="23">
        <f>IFERROR(__xludf.DUMMYFUNCTION("""COMPUTED_VALUE"""),1.069)</f>
        <v>1.069</v>
      </c>
      <c r="E2564" s="24">
        <f>IFERROR(__xludf.DUMMYFUNCTION("""COMPUTED_VALUE"""),66.0)</f>
        <v>66</v>
      </c>
      <c r="F2564" s="27" t="str">
        <f>IFERROR(__xludf.DUMMYFUNCTION("""COMPUTED_VALUE"""),"BLACK")</f>
        <v>BLACK</v>
      </c>
      <c r="G2564" s="28" t="str">
        <f>IFERROR(__xludf.DUMMYFUNCTION("""COMPUTED_VALUE"""),"First Times a Charm Cider")</f>
        <v>First Times a Charm Cider</v>
      </c>
      <c r="H2564" s="27" t="str">
        <f>IFERROR(__xludf.DUMMYFUNCTION("""COMPUTED_VALUE"""),"")</f>
        <v/>
      </c>
    </row>
    <row r="2565">
      <c r="A2565" s="17"/>
      <c r="B2565" s="23"/>
      <c r="C2565" s="17">
        <f>IFERROR(__xludf.DUMMYFUNCTION("""COMPUTED_VALUE"""),43525.5571856944)</f>
        <v>43525.55719</v>
      </c>
      <c r="D2565" s="23">
        <f>IFERROR(__xludf.DUMMYFUNCTION("""COMPUTED_VALUE"""),1.069)</f>
        <v>1.069</v>
      </c>
      <c r="E2565" s="24">
        <f>IFERROR(__xludf.DUMMYFUNCTION("""COMPUTED_VALUE"""),66.0)</f>
        <v>66</v>
      </c>
      <c r="F2565" s="27" t="str">
        <f>IFERROR(__xludf.DUMMYFUNCTION("""COMPUTED_VALUE"""),"BLACK")</f>
        <v>BLACK</v>
      </c>
      <c r="G2565" s="28" t="str">
        <f>IFERROR(__xludf.DUMMYFUNCTION("""COMPUTED_VALUE"""),"First Times a Charm Cider")</f>
        <v>First Times a Charm Cider</v>
      </c>
      <c r="H2565" s="27" t="str">
        <f>IFERROR(__xludf.DUMMYFUNCTION("""COMPUTED_VALUE"""),"")</f>
        <v/>
      </c>
    </row>
    <row r="2566">
      <c r="A2566" s="17"/>
      <c r="B2566" s="23"/>
      <c r="C2566" s="17">
        <f>IFERROR(__xludf.DUMMYFUNCTION("""COMPUTED_VALUE"""),43525.5258049305)</f>
        <v>43525.5258</v>
      </c>
      <c r="D2566" s="23">
        <f>IFERROR(__xludf.DUMMYFUNCTION("""COMPUTED_VALUE"""),1.069)</f>
        <v>1.069</v>
      </c>
      <c r="E2566" s="24">
        <f>IFERROR(__xludf.DUMMYFUNCTION("""COMPUTED_VALUE"""),66.0)</f>
        <v>66</v>
      </c>
      <c r="F2566" s="27" t="str">
        <f>IFERROR(__xludf.DUMMYFUNCTION("""COMPUTED_VALUE"""),"BLACK")</f>
        <v>BLACK</v>
      </c>
      <c r="G2566" s="28" t="str">
        <f>IFERROR(__xludf.DUMMYFUNCTION("""COMPUTED_VALUE"""),"First Times a Charm Cider")</f>
        <v>First Times a Charm Cider</v>
      </c>
      <c r="H2566" s="27" t="str">
        <f>IFERROR(__xludf.DUMMYFUNCTION("""COMPUTED_VALUE"""),"")</f>
        <v/>
      </c>
    </row>
    <row r="2567">
      <c r="A2567" s="17"/>
      <c r="B2567" s="23"/>
      <c r="C2567" s="17">
        <f>IFERROR(__xludf.DUMMYFUNCTION("""COMPUTED_VALUE"""),43525.5153719097)</f>
        <v>43525.51537</v>
      </c>
      <c r="D2567" s="23">
        <f>IFERROR(__xludf.DUMMYFUNCTION("""COMPUTED_VALUE"""),1.069)</f>
        <v>1.069</v>
      </c>
      <c r="E2567" s="24">
        <f>IFERROR(__xludf.DUMMYFUNCTION("""COMPUTED_VALUE"""),66.0)</f>
        <v>66</v>
      </c>
      <c r="F2567" s="27" t="str">
        <f>IFERROR(__xludf.DUMMYFUNCTION("""COMPUTED_VALUE"""),"BLACK")</f>
        <v>BLACK</v>
      </c>
      <c r="G2567" s="28" t="str">
        <f>IFERROR(__xludf.DUMMYFUNCTION("""COMPUTED_VALUE"""),"First Times a Charm Cider")</f>
        <v>First Times a Charm Cider</v>
      </c>
      <c r="H2567" s="27" t="str">
        <f>IFERROR(__xludf.DUMMYFUNCTION("""COMPUTED_VALUE"""),"")</f>
        <v/>
      </c>
    </row>
    <row r="2568">
      <c r="A2568" s="17"/>
      <c r="B2568" s="23"/>
      <c r="C2568" s="17">
        <f>IFERROR(__xludf.DUMMYFUNCTION("""COMPUTED_VALUE"""),43525.5049511574)</f>
        <v>43525.50495</v>
      </c>
      <c r="D2568" s="23">
        <f>IFERROR(__xludf.DUMMYFUNCTION("""COMPUTED_VALUE"""),1.069)</f>
        <v>1.069</v>
      </c>
      <c r="E2568" s="24">
        <f>IFERROR(__xludf.DUMMYFUNCTION("""COMPUTED_VALUE"""),66.0)</f>
        <v>66</v>
      </c>
      <c r="F2568" s="27" t="str">
        <f>IFERROR(__xludf.DUMMYFUNCTION("""COMPUTED_VALUE"""),"BLACK")</f>
        <v>BLACK</v>
      </c>
      <c r="G2568" s="28" t="str">
        <f>IFERROR(__xludf.DUMMYFUNCTION("""COMPUTED_VALUE"""),"First Times a Charm Cider")</f>
        <v>First Times a Charm Cider</v>
      </c>
      <c r="H2568" s="27" t="str">
        <f>IFERROR(__xludf.DUMMYFUNCTION("""COMPUTED_VALUE"""),"")</f>
        <v/>
      </c>
    </row>
    <row r="2569">
      <c r="A2569" s="17"/>
      <c r="B2569" s="23"/>
      <c r="C2569" s="17">
        <f>IFERROR(__xludf.DUMMYFUNCTION("""COMPUTED_VALUE"""),43525.4944827777)</f>
        <v>43525.49448</v>
      </c>
      <c r="D2569" s="23">
        <f>IFERROR(__xludf.DUMMYFUNCTION("""COMPUTED_VALUE"""),1.069)</f>
        <v>1.069</v>
      </c>
      <c r="E2569" s="24">
        <f>IFERROR(__xludf.DUMMYFUNCTION("""COMPUTED_VALUE"""),66.0)</f>
        <v>66</v>
      </c>
      <c r="F2569" s="27" t="str">
        <f>IFERROR(__xludf.DUMMYFUNCTION("""COMPUTED_VALUE"""),"BLACK")</f>
        <v>BLACK</v>
      </c>
      <c r="G2569" s="28" t="str">
        <f>IFERROR(__xludf.DUMMYFUNCTION("""COMPUTED_VALUE"""),"First Times a Charm Cider")</f>
        <v>First Times a Charm Cider</v>
      </c>
      <c r="H2569" s="27" t="str">
        <f>IFERROR(__xludf.DUMMYFUNCTION("""COMPUTED_VALUE"""),"")</f>
        <v/>
      </c>
    </row>
    <row r="2570">
      <c r="A2570" s="17"/>
      <c r="B2570" s="23"/>
      <c r="C2570" s="17">
        <f>IFERROR(__xludf.DUMMYFUNCTION("""COMPUTED_VALUE"""),43525.473616412)</f>
        <v>43525.47362</v>
      </c>
      <c r="D2570" s="23">
        <f>IFERROR(__xludf.DUMMYFUNCTION("""COMPUTED_VALUE"""),1.069)</f>
        <v>1.069</v>
      </c>
      <c r="E2570" s="24">
        <f>IFERROR(__xludf.DUMMYFUNCTION("""COMPUTED_VALUE"""),66.0)</f>
        <v>66</v>
      </c>
      <c r="F2570" s="27" t="str">
        <f>IFERROR(__xludf.DUMMYFUNCTION("""COMPUTED_VALUE"""),"BLACK")</f>
        <v>BLACK</v>
      </c>
      <c r="G2570" s="28" t="str">
        <f>IFERROR(__xludf.DUMMYFUNCTION("""COMPUTED_VALUE"""),"First Times a Charm Cider")</f>
        <v>First Times a Charm Cider</v>
      </c>
      <c r="H2570" s="27" t="str">
        <f>IFERROR(__xludf.DUMMYFUNCTION("""COMPUTED_VALUE"""),"")</f>
        <v/>
      </c>
    </row>
    <row r="2571">
      <c r="A2571" s="17"/>
      <c r="B2571" s="23"/>
      <c r="C2571" s="17">
        <f>IFERROR(__xludf.DUMMYFUNCTION("""COMPUTED_VALUE"""),43525.463195949)</f>
        <v>43525.4632</v>
      </c>
      <c r="D2571" s="23">
        <f>IFERROR(__xludf.DUMMYFUNCTION("""COMPUTED_VALUE"""),1.069)</f>
        <v>1.069</v>
      </c>
      <c r="E2571" s="24">
        <f>IFERROR(__xludf.DUMMYFUNCTION("""COMPUTED_VALUE"""),66.0)</f>
        <v>66</v>
      </c>
      <c r="F2571" s="27" t="str">
        <f>IFERROR(__xludf.DUMMYFUNCTION("""COMPUTED_VALUE"""),"BLACK")</f>
        <v>BLACK</v>
      </c>
      <c r="G2571" s="28" t="str">
        <f>IFERROR(__xludf.DUMMYFUNCTION("""COMPUTED_VALUE"""),"First Times a Charm Cider")</f>
        <v>First Times a Charm Cider</v>
      </c>
      <c r="H2571" s="27" t="str">
        <f>IFERROR(__xludf.DUMMYFUNCTION("""COMPUTED_VALUE"""),"")</f>
        <v/>
      </c>
    </row>
    <row r="2572">
      <c r="A2572" s="17"/>
      <c r="B2572" s="23"/>
      <c r="C2572" s="17">
        <f>IFERROR(__xludf.DUMMYFUNCTION("""COMPUTED_VALUE"""),43525.4527741319)</f>
        <v>43525.45277</v>
      </c>
      <c r="D2572" s="23">
        <f>IFERROR(__xludf.DUMMYFUNCTION("""COMPUTED_VALUE"""),1.069)</f>
        <v>1.069</v>
      </c>
      <c r="E2572" s="24">
        <f>IFERROR(__xludf.DUMMYFUNCTION("""COMPUTED_VALUE"""),66.0)</f>
        <v>66</v>
      </c>
      <c r="F2572" s="27" t="str">
        <f>IFERROR(__xludf.DUMMYFUNCTION("""COMPUTED_VALUE"""),"BLACK")</f>
        <v>BLACK</v>
      </c>
      <c r="G2572" s="28" t="str">
        <f>IFERROR(__xludf.DUMMYFUNCTION("""COMPUTED_VALUE"""),"First Times a Charm Cider")</f>
        <v>First Times a Charm Cider</v>
      </c>
      <c r="H2572" s="27" t="str">
        <f>IFERROR(__xludf.DUMMYFUNCTION("""COMPUTED_VALUE"""),"")</f>
        <v/>
      </c>
    </row>
    <row r="2573">
      <c r="A2573" s="17"/>
      <c r="B2573" s="23"/>
      <c r="C2573" s="17">
        <f>IFERROR(__xludf.DUMMYFUNCTION("""COMPUTED_VALUE"""),43525.4423528356)</f>
        <v>43525.44235</v>
      </c>
      <c r="D2573" s="23">
        <f>IFERROR(__xludf.DUMMYFUNCTION("""COMPUTED_VALUE"""),1.069)</f>
        <v>1.069</v>
      </c>
      <c r="E2573" s="24">
        <f>IFERROR(__xludf.DUMMYFUNCTION("""COMPUTED_VALUE"""),66.0)</f>
        <v>66</v>
      </c>
      <c r="F2573" s="27" t="str">
        <f>IFERROR(__xludf.DUMMYFUNCTION("""COMPUTED_VALUE"""),"BLACK")</f>
        <v>BLACK</v>
      </c>
      <c r="G2573" s="28" t="str">
        <f>IFERROR(__xludf.DUMMYFUNCTION("""COMPUTED_VALUE"""),"First Times a Charm Cider")</f>
        <v>First Times a Charm Cider</v>
      </c>
      <c r="H2573" s="27" t="str">
        <f>IFERROR(__xludf.DUMMYFUNCTION("""COMPUTED_VALUE"""),"")</f>
        <v/>
      </c>
    </row>
    <row r="2574">
      <c r="A2574" s="17"/>
      <c r="B2574" s="23"/>
      <c r="C2574" s="17">
        <f>IFERROR(__xludf.DUMMYFUNCTION("""COMPUTED_VALUE"""),43525.4319317013)</f>
        <v>43525.43193</v>
      </c>
      <c r="D2574" s="23">
        <f>IFERROR(__xludf.DUMMYFUNCTION("""COMPUTED_VALUE"""),1.07)</f>
        <v>1.07</v>
      </c>
      <c r="E2574" s="24">
        <f>IFERROR(__xludf.DUMMYFUNCTION("""COMPUTED_VALUE"""),66.0)</f>
        <v>66</v>
      </c>
      <c r="F2574" s="27" t="str">
        <f>IFERROR(__xludf.DUMMYFUNCTION("""COMPUTED_VALUE"""),"BLACK")</f>
        <v>BLACK</v>
      </c>
      <c r="G2574" s="28" t="str">
        <f>IFERROR(__xludf.DUMMYFUNCTION("""COMPUTED_VALUE"""),"First Times a Charm Cider")</f>
        <v>First Times a Charm Cider</v>
      </c>
      <c r="H2574" s="27" t="str">
        <f>IFERROR(__xludf.DUMMYFUNCTION("""COMPUTED_VALUE"""),"")</f>
        <v/>
      </c>
    </row>
    <row r="2575">
      <c r="A2575" s="17"/>
      <c r="B2575" s="23"/>
      <c r="C2575" s="17">
        <f>IFERROR(__xludf.DUMMYFUNCTION("""COMPUTED_VALUE"""),43525.4110762037)</f>
        <v>43525.41108</v>
      </c>
      <c r="D2575" s="23">
        <f>IFERROR(__xludf.DUMMYFUNCTION("""COMPUTED_VALUE"""),1.069)</f>
        <v>1.069</v>
      </c>
      <c r="E2575" s="24">
        <f>IFERROR(__xludf.DUMMYFUNCTION("""COMPUTED_VALUE"""),66.0)</f>
        <v>66</v>
      </c>
      <c r="F2575" s="27" t="str">
        <f>IFERROR(__xludf.DUMMYFUNCTION("""COMPUTED_VALUE"""),"BLACK")</f>
        <v>BLACK</v>
      </c>
      <c r="G2575" s="28" t="str">
        <f>IFERROR(__xludf.DUMMYFUNCTION("""COMPUTED_VALUE"""),"First Times a Charm Cider")</f>
        <v>First Times a Charm Cider</v>
      </c>
      <c r="H2575" s="27" t="str">
        <f>IFERROR(__xludf.DUMMYFUNCTION("""COMPUTED_VALUE"""),"")</f>
        <v/>
      </c>
    </row>
    <row r="2576">
      <c r="A2576" s="17"/>
      <c r="B2576" s="23"/>
      <c r="C2576" s="17">
        <f>IFERROR(__xludf.DUMMYFUNCTION("""COMPUTED_VALUE"""),43525.4006556365)</f>
        <v>43525.40066</v>
      </c>
      <c r="D2576" s="23">
        <f>IFERROR(__xludf.DUMMYFUNCTION("""COMPUTED_VALUE"""),1.07)</f>
        <v>1.07</v>
      </c>
      <c r="E2576" s="24">
        <f>IFERROR(__xludf.DUMMYFUNCTION("""COMPUTED_VALUE"""),66.0)</f>
        <v>66</v>
      </c>
      <c r="F2576" s="27" t="str">
        <f>IFERROR(__xludf.DUMMYFUNCTION("""COMPUTED_VALUE"""),"BLACK")</f>
        <v>BLACK</v>
      </c>
      <c r="G2576" s="28" t="str">
        <f>IFERROR(__xludf.DUMMYFUNCTION("""COMPUTED_VALUE"""),"First Times a Charm Cider")</f>
        <v>First Times a Charm Cider</v>
      </c>
      <c r="H2576" s="27" t="str">
        <f>IFERROR(__xludf.DUMMYFUNCTION("""COMPUTED_VALUE"""),"")</f>
        <v/>
      </c>
    </row>
    <row r="2577">
      <c r="A2577" s="17"/>
      <c r="B2577" s="23"/>
      <c r="C2577" s="17">
        <f>IFERROR(__xludf.DUMMYFUNCTION("""COMPUTED_VALUE"""),43525.390235868)</f>
        <v>43525.39024</v>
      </c>
      <c r="D2577" s="23">
        <f>IFERROR(__xludf.DUMMYFUNCTION("""COMPUTED_VALUE"""),1.069)</f>
        <v>1.069</v>
      </c>
      <c r="E2577" s="24">
        <f>IFERROR(__xludf.DUMMYFUNCTION("""COMPUTED_VALUE"""),66.0)</f>
        <v>66</v>
      </c>
      <c r="F2577" s="27" t="str">
        <f>IFERROR(__xludf.DUMMYFUNCTION("""COMPUTED_VALUE"""),"BLACK")</f>
        <v>BLACK</v>
      </c>
      <c r="G2577" s="28" t="str">
        <f>IFERROR(__xludf.DUMMYFUNCTION("""COMPUTED_VALUE"""),"First Times a Charm Cider")</f>
        <v>First Times a Charm Cider</v>
      </c>
      <c r="H2577" s="27" t="str">
        <f>IFERROR(__xludf.DUMMYFUNCTION("""COMPUTED_VALUE"""),"")</f>
        <v/>
      </c>
    </row>
    <row r="2578">
      <c r="A2578" s="17"/>
      <c r="B2578" s="23"/>
      <c r="C2578" s="17">
        <f>IFERROR(__xludf.DUMMYFUNCTION("""COMPUTED_VALUE"""),43525.3798042476)</f>
        <v>43525.3798</v>
      </c>
      <c r="D2578" s="23">
        <f>IFERROR(__xludf.DUMMYFUNCTION("""COMPUTED_VALUE"""),1.07)</f>
        <v>1.07</v>
      </c>
      <c r="E2578" s="24">
        <f>IFERROR(__xludf.DUMMYFUNCTION("""COMPUTED_VALUE"""),66.0)</f>
        <v>66</v>
      </c>
      <c r="F2578" s="27" t="str">
        <f>IFERROR(__xludf.DUMMYFUNCTION("""COMPUTED_VALUE"""),"BLACK")</f>
        <v>BLACK</v>
      </c>
      <c r="G2578" s="28" t="str">
        <f>IFERROR(__xludf.DUMMYFUNCTION("""COMPUTED_VALUE"""),"First Times a Charm Cider")</f>
        <v>First Times a Charm Cider</v>
      </c>
      <c r="H2578" s="27" t="str">
        <f>IFERROR(__xludf.DUMMYFUNCTION("""COMPUTED_VALUE"""),"")</f>
        <v/>
      </c>
    </row>
    <row r="2579">
      <c r="A2579" s="17"/>
      <c r="B2579" s="23"/>
      <c r="C2579" s="17">
        <f>IFERROR(__xludf.DUMMYFUNCTION("""COMPUTED_VALUE"""),43525.3693827662)</f>
        <v>43525.36938</v>
      </c>
      <c r="D2579" s="23">
        <f>IFERROR(__xludf.DUMMYFUNCTION("""COMPUTED_VALUE"""),1.07)</f>
        <v>1.07</v>
      </c>
      <c r="E2579" s="24">
        <f>IFERROR(__xludf.DUMMYFUNCTION("""COMPUTED_VALUE"""),66.0)</f>
        <v>66</v>
      </c>
      <c r="F2579" s="27" t="str">
        <f>IFERROR(__xludf.DUMMYFUNCTION("""COMPUTED_VALUE"""),"BLACK")</f>
        <v>BLACK</v>
      </c>
      <c r="G2579" s="28" t="str">
        <f>IFERROR(__xludf.DUMMYFUNCTION("""COMPUTED_VALUE"""),"First Times a Charm Cider")</f>
        <v>First Times a Charm Cider</v>
      </c>
      <c r="H2579" s="27" t="str">
        <f>IFERROR(__xludf.DUMMYFUNCTION("""COMPUTED_VALUE"""),"")</f>
        <v/>
      </c>
    </row>
    <row r="2580">
      <c r="A2580" s="17"/>
      <c r="B2580" s="23"/>
      <c r="C2580" s="17">
        <f>IFERROR(__xludf.DUMMYFUNCTION("""COMPUTED_VALUE"""),43525.3589499189)</f>
        <v>43525.35895</v>
      </c>
      <c r="D2580" s="23">
        <f>IFERROR(__xludf.DUMMYFUNCTION("""COMPUTED_VALUE"""),1.07)</f>
        <v>1.07</v>
      </c>
      <c r="E2580" s="24">
        <f>IFERROR(__xludf.DUMMYFUNCTION("""COMPUTED_VALUE"""),66.0)</f>
        <v>66</v>
      </c>
      <c r="F2580" s="27" t="str">
        <f>IFERROR(__xludf.DUMMYFUNCTION("""COMPUTED_VALUE"""),"BLACK")</f>
        <v>BLACK</v>
      </c>
      <c r="G2580" s="28" t="str">
        <f>IFERROR(__xludf.DUMMYFUNCTION("""COMPUTED_VALUE"""),"First Times a Charm Cider")</f>
        <v>First Times a Charm Cider</v>
      </c>
      <c r="H2580" s="27" t="str">
        <f>IFERROR(__xludf.DUMMYFUNCTION("""COMPUTED_VALUE"""),"")</f>
        <v/>
      </c>
    </row>
    <row r="2581">
      <c r="A2581" s="17"/>
      <c r="B2581" s="23"/>
      <c r="C2581" s="17">
        <f>IFERROR(__xludf.DUMMYFUNCTION("""COMPUTED_VALUE"""),43525.3485274305)</f>
        <v>43525.34853</v>
      </c>
      <c r="D2581" s="23">
        <f>IFERROR(__xludf.DUMMYFUNCTION("""COMPUTED_VALUE"""),1.07)</f>
        <v>1.07</v>
      </c>
      <c r="E2581" s="24">
        <f>IFERROR(__xludf.DUMMYFUNCTION("""COMPUTED_VALUE"""),66.0)</f>
        <v>66</v>
      </c>
      <c r="F2581" s="27" t="str">
        <f>IFERROR(__xludf.DUMMYFUNCTION("""COMPUTED_VALUE"""),"BLACK")</f>
        <v>BLACK</v>
      </c>
      <c r="G2581" s="28" t="str">
        <f>IFERROR(__xludf.DUMMYFUNCTION("""COMPUTED_VALUE"""),"First Times a Charm Cider")</f>
        <v>First Times a Charm Cider</v>
      </c>
      <c r="H2581" s="27" t="str">
        <f>IFERROR(__xludf.DUMMYFUNCTION("""COMPUTED_VALUE"""),"")</f>
        <v/>
      </c>
    </row>
    <row r="2582">
      <c r="A2582" s="17"/>
      <c r="B2582" s="23"/>
      <c r="C2582" s="17">
        <f>IFERROR(__xludf.DUMMYFUNCTION("""COMPUTED_VALUE"""),43525.3380965856)</f>
        <v>43525.3381</v>
      </c>
      <c r="D2582" s="23">
        <f>IFERROR(__xludf.DUMMYFUNCTION("""COMPUTED_VALUE"""),1.07)</f>
        <v>1.07</v>
      </c>
      <c r="E2582" s="24">
        <f>IFERROR(__xludf.DUMMYFUNCTION("""COMPUTED_VALUE"""),66.0)</f>
        <v>66</v>
      </c>
      <c r="F2582" s="27" t="str">
        <f>IFERROR(__xludf.DUMMYFUNCTION("""COMPUTED_VALUE"""),"BLACK")</f>
        <v>BLACK</v>
      </c>
      <c r="G2582" s="28" t="str">
        <f>IFERROR(__xludf.DUMMYFUNCTION("""COMPUTED_VALUE"""),"First Times a Charm Cider")</f>
        <v>First Times a Charm Cider</v>
      </c>
      <c r="H2582" s="27" t="str">
        <f>IFERROR(__xludf.DUMMYFUNCTION("""COMPUTED_VALUE"""),"")</f>
        <v/>
      </c>
    </row>
    <row r="2583">
      <c r="A2583" s="17"/>
      <c r="B2583" s="23"/>
      <c r="C2583" s="17">
        <f>IFERROR(__xludf.DUMMYFUNCTION("""COMPUTED_VALUE"""),43525.296363993)</f>
        <v>43525.29636</v>
      </c>
      <c r="D2583" s="23">
        <f>IFERROR(__xludf.DUMMYFUNCTION("""COMPUTED_VALUE"""),1.07)</f>
        <v>1.07</v>
      </c>
      <c r="E2583" s="24">
        <f>IFERROR(__xludf.DUMMYFUNCTION("""COMPUTED_VALUE"""),66.0)</f>
        <v>66</v>
      </c>
      <c r="F2583" s="27" t="str">
        <f>IFERROR(__xludf.DUMMYFUNCTION("""COMPUTED_VALUE"""),"BLACK")</f>
        <v>BLACK</v>
      </c>
      <c r="G2583" s="28" t="str">
        <f>IFERROR(__xludf.DUMMYFUNCTION("""COMPUTED_VALUE"""),"First Times a Charm Cider")</f>
        <v>First Times a Charm Cider</v>
      </c>
      <c r="H2583" s="27" t="str">
        <f>IFERROR(__xludf.DUMMYFUNCTION("""COMPUTED_VALUE"""),"")</f>
        <v/>
      </c>
    </row>
    <row r="2584">
      <c r="A2584" s="17"/>
      <c r="B2584" s="23"/>
      <c r="C2584" s="17">
        <f>IFERROR(__xludf.DUMMYFUNCTION("""COMPUTED_VALUE"""),43525.2859313773)</f>
        <v>43525.28593</v>
      </c>
      <c r="D2584" s="23">
        <f>IFERROR(__xludf.DUMMYFUNCTION("""COMPUTED_VALUE"""),1.07)</f>
        <v>1.07</v>
      </c>
      <c r="E2584" s="24">
        <f>IFERROR(__xludf.DUMMYFUNCTION("""COMPUTED_VALUE"""),66.0)</f>
        <v>66</v>
      </c>
      <c r="F2584" s="27" t="str">
        <f>IFERROR(__xludf.DUMMYFUNCTION("""COMPUTED_VALUE"""),"BLACK")</f>
        <v>BLACK</v>
      </c>
      <c r="G2584" s="28" t="str">
        <f>IFERROR(__xludf.DUMMYFUNCTION("""COMPUTED_VALUE"""),"First Times a Charm Cider")</f>
        <v>First Times a Charm Cider</v>
      </c>
      <c r="H2584" s="27" t="str">
        <f>IFERROR(__xludf.DUMMYFUNCTION("""COMPUTED_VALUE"""),"")</f>
        <v/>
      </c>
    </row>
    <row r="2585">
      <c r="A2585" s="17"/>
      <c r="B2585" s="23"/>
      <c r="C2585" s="17">
        <f>IFERROR(__xludf.DUMMYFUNCTION("""COMPUTED_VALUE"""),43525.2755080092)</f>
        <v>43525.27551</v>
      </c>
      <c r="D2585" s="23">
        <f>IFERROR(__xludf.DUMMYFUNCTION("""COMPUTED_VALUE"""),1.07)</f>
        <v>1.07</v>
      </c>
      <c r="E2585" s="24">
        <f>IFERROR(__xludf.DUMMYFUNCTION("""COMPUTED_VALUE"""),66.0)</f>
        <v>66</v>
      </c>
      <c r="F2585" s="27" t="str">
        <f>IFERROR(__xludf.DUMMYFUNCTION("""COMPUTED_VALUE"""),"BLACK")</f>
        <v>BLACK</v>
      </c>
      <c r="G2585" s="28" t="str">
        <f>IFERROR(__xludf.DUMMYFUNCTION("""COMPUTED_VALUE"""),"First Times a Charm Cider")</f>
        <v>First Times a Charm Cider</v>
      </c>
      <c r="H2585" s="27" t="str">
        <f>IFERROR(__xludf.DUMMYFUNCTION("""COMPUTED_VALUE"""),"")</f>
        <v/>
      </c>
    </row>
    <row r="2586">
      <c r="A2586" s="17"/>
      <c r="B2586" s="23"/>
      <c r="C2586" s="17">
        <f>IFERROR(__xludf.DUMMYFUNCTION("""COMPUTED_VALUE"""),43525.265085787)</f>
        <v>43525.26509</v>
      </c>
      <c r="D2586" s="23">
        <f>IFERROR(__xludf.DUMMYFUNCTION("""COMPUTED_VALUE"""),1.07)</f>
        <v>1.07</v>
      </c>
      <c r="E2586" s="24">
        <f>IFERROR(__xludf.DUMMYFUNCTION("""COMPUTED_VALUE"""),67.0)</f>
        <v>67</v>
      </c>
      <c r="F2586" s="27" t="str">
        <f>IFERROR(__xludf.DUMMYFUNCTION("""COMPUTED_VALUE"""),"BLACK")</f>
        <v>BLACK</v>
      </c>
      <c r="G2586" s="28" t="str">
        <f>IFERROR(__xludf.DUMMYFUNCTION("""COMPUTED_VALUE"""),"First Times a Charm Cider")</f>
        <v>First Times a Charm Cider</v>
      </c>
      <c r="H2586" s="27" t="str">
        <f>IFERROR(__xludf.DUMMYFUNCTION("""COMPUTED_VALUE"""),"")</f>
        <v/>
      </c>
    </row>
    <row r="2587">
      <c r="A2587" s="17"/>
      <c r="B2587" s="23"/>
      <c r="C2587" s="17">
        <f>IFERROR(__xludf.DUMMYFUNCTION("""COMPUTED_VALUE"""),43525.2546651736)</f>
        <v>43525.25467</v>
      </c>
      <c r="D2587" s="23">
        <f>IFERROR(__xludf.DUMMYFUNCTION("""COMPUTED_VALUE"""),1.07)</f>
        <v>1.07</v>
      </c>
      <c r="E2587" s="24">
        <f>IFERROR(__xludf.DUMMYFUNCTION("""COMPUTED_VALUE"""),67.0)</f>
        <v>67</v>
      </c>
      <c r="F2587" s="27" t="str">
        <f>IFERROR(__xludf.DUMMYFUNCTION("""COMPUTED_VALUE"""),"BLACK")</f>
        <v>BLACK</v>
      </c>
      <c r="G2587" s="28" t="str">
        <f>IFERROR(__xludf.DUMMYFUNCTION("""COMPUTED_VALUE"""),"First Times a Charm Cider")</f>
        <v>First Times a Charm Cider</v>
      </c>
      <c r="H2587" s="27" t="str">
        <f>IFERROR(__xludf.DUMMYFUNCTION("""COMPUTED_VALUE"""),"")</f>
        <v/>
      </c>
    </row>
    <row r="2588">
      <c r="A2588" s="17"/>
      <c r="B2588" s="23"/>
      <c r="C2588" s="17">
        <f>IFERROR(__xludf.DUMMYFUNCTION("""COMPUTED_VALUE"""),43525.2442333333)</f>
        <v>43525.24423</v>
      </c>
      <c r="D2588" s="23">
        <f>IFERROR(__xludf.DUMMYFUNCTION("""COMPUTED_VALUE"""),1.07)</f>
        <v>1.07</v>
      </c>
      <c r="E2588" s="24">
        <f>IFERROR(__xludf.DUMMYFUNCTION("""COMPUTED_VALUE"""),66.0)</f>
        <v>66</v>
      </c>
      <c r="F2588" s="27" t="str">
        <f>IFERROR(__xludf.DUMMYFUNCTION("""COMPUTED_VALUE"""),"BLACK")</f>
        <v>BLACK</v>
      </c>
      <c r="G2588" s="28" t="str">
        <f>IFERROR(__xludf.DUMMYFUNCTION("""COMPUTED_VALUE"""),"First Times a Charm Cider")</f>
        <v>First Times a Charm Cider</v>
      </c>
      <c r="H2588" s="27" t="str">
        <f>IFERROR(__xludf.DUMMYFUNCTION("""COMPUTED_VALUE"""),"")</f>
        <v/>
      </c>
    </row>
    <row r="2589">
      <c r="A2589" s="17"/>
      <c r="B2589" s="23"/>
      <c r="C2589" s="17">
        <f>IFERROR(__xludf.DUMMYFUNCTION("""COMPUTED_VALUE"""),43525.2338113425)</f>
        <v>43525.23381</v>
      </c>
      <c r="D2589" s="23">
        <f>IFERROR(__xludf.DUMMYFUNCTION("""COMPUTED_VALUE"""),1.07)</f>
        <v>1.07</v>
      </c>
      <c r="E2589" s="24">
        <f>IFERROR(__xludf.DUMMYFUNCTION("""COMPUTED_VALUE"""),67.0)</f>
        <v>67</v>
      </c>
      <c r="F2589" s="27" t="str">
        <f>IFERROR(__xludf.DUMMYFUNCTION("""COMPUTED_VALUE"""),"BLACK")</f>
        <v>BLACK</v>
      </c>
      <c r="G2589" s="28" t="str">
        <f>IFERROR(__xludf.DUMMYFUNCTION("""COMPUTED_VALUE"""),"First Times a Charm Cider")</f>
        <v>First Times a Charm Cider</v>
      </c>
      <c r="H2589" s="27" t="str">
        <f>IFERROR(__xludf.DUMMYFUNCTION("""COMPUTED_VALUE"""),"")</f>
        <v/>
      </c>
    </row>
    <row r="2590">
      <c r="A2590" s="17"/>
      <c r="B2590" s="23"/>
      <c r="C2590" s="17">
        <f>IFERROR(__xludf.DUMMYFUNCTION("""COMPUTED_VALUE"""),43525.2233871412)</f>
        <v>43525.22339</v>
      </c>
      <c r="D2590" s="23">
        <f>IFERROR(__xludf.DUMMYFUNCTION("""COMPUTED_VALUE"""),1.07)</f>
        <v>1.07</v>
      </c>
      <c r="E2590" s="24">
        <f>IFERROR(__xludf.DUMMYFUNCTION("""COMPUTED_VALUE"""),67.0)</f>
        <v>67</v>
      </c>
      <c r="F2590" s="27" t="str">
        <f>IFERROR(__xludf.DUMMYFUNCTION("""COMPUTED_VALUE"""),"BLACK")</f>
        <v>BLACK</v>
      </c>
      <c r="G2590" s="28" t="str">
        <f>IFERROR(__xludf.DUMMYFUNCTION("""COMPUTED_VALUE"""),"First Times a Charm Cider")</f>
        <v>First Times a Charm Cider</v>
      </c>
      <c r="H2590" s="27" t="str">
        <f>IFERROR(__xludf.DUMMYFUNCTION("""COMPUTED_VALUE"""),"")</f>
        <v/>
      </c>
    </row>
    <row r="2591">
      <c r="A2591" s="17"/>
      <c r="B2591" s="23"/>
      <c r="C2591" s="17">
        <f>IFERROR(__xludf.DUMMYFUNCTION("""COMPUTED_VALUE"""),43525.2129658333)</f>
        <v>43525.21297</v>
      </c>
      <c r="D2591" s="23">
        <f>IFERROR(__xludf.DUMMYFUNCTION("""COMPUTED_VALUE"""),1.07)</f>
        <v>1.07</v>
      </c>
      <c r="E2591" s="24">
        <f>IFERROR(__xludf.DUMMYFUNCTION("""COMPUTED_VALUE"""),67.0)</f>
        <v>67</v>
      </c>
      <c r="F2591" s="27" t="str">
        <f>IFERROR(__xludf.DUMMYFUNCTION("""COMPUTED_VALUE"""),"BLACK")</f>
        <v>BLACK</v>
      </c>
      <c r="G2591" s="28" t="str">
        <f>IFERROR(__xludf.DUMMYFUNCTION("""COMPUTED_VALUE"""),"First Times a Charm Cider")</f>
        <v>First Times a Charm Cider</v>
      </c>
      <c r="H2591" s="27" t="str">
        <f>IFERROR(__xludf.DUMMYFUNCTION("""COMPUTED_VALUE"""),"")</f>
        <v/>
      </c>
    </row>
    <row r="2592">
      <c r="A2592" s="17"/>
      <c r="B2592" s="23"/>
      <c r="C2592" s="17">
        <f>IFERROR(__xludf.DUMMYFUNCTION("""COMPUTED_VALUE"""),43525.2025436574)</f>
        <v>43525.20254</v>
      </c>
      <c r="D2592" s="23">
        <f>IFERROR(__xludf.DUMMYFUNCTION("""COMPUTED_VALUE"""),1.07)</f>
        <v>1.07</v>
      </c>
      <c r="E2592" s="24">
        <f>IFERROR(__xludf.DUMMYFUNCTION("""COMPUTED_VALUE"""),66.0)</f>
        <v>66</v>
      </c>
      <c r="F2592" s="27" t="str">
        <f>IFERROR(__xludf.DUMMYFUNCTION("""COMPUTED_VALUE"""),"BLACK")</f>
        <v>BLACK</v>
      </c>
      <c r="G2592" s="28" t="str">
        <f>IFERROR(__xludf.DUMMYFUNCTION("""COMPUTED_VALUE"""),"First Times a Charm Cider")</f>
        <v>First Times a Charm Cider</v>
      </c>
      <c r="H2592" s="27" t="str">
        <f>IFERROR(__xludf.DUMMYFUNCTION("""COMPUTED_VALUE"""),"")</f>
        <v/>
      </c>
    </row>
    <row r="2593">
      <c r="A2593" s="17"/>
      <c r="B2593" s="23"/>
      <c r="C2593" s="17">
        <f>IFERROR(__xludf.DUMMYFUNCTION("""COMPUTED_VALUE"""),43525.1921223611)</f>
        <v>43525.19212</v>
      </c>
      <c r="D2593" s="23">
        <f>IFERROR(__xludf.DUMMYFUNCTION("""COMPUTED_VALUE"""),1.07)</f>
        <v>1.07</v>
      </c>
      <c r="E2593" s="24">
        <f>IFERROR(__xludf.DUMMYFUNCTION("""COMPUTED_VALUE"""),66.0)</f>
        <v>66</v>
      </c>
      <c r="F2593" s="27" t="str">
        <f>IFERROR(__xludf.DUMMYFUNCTION("""COMPUTED_VALUE"""),"BLACK")</f>
        <v>BLACK</v>
      </c>
      <c r="G2593" s="28" t="str">
        <f>IFERROR(__xludf.DUMMYFUNCTION("""COMPUTED_VALUE"""),"First Times a Charm Cider")</f>
        <v>First Times a Charm Cider</v>
      </c>
      <c r="H2593" s="27" t="str">
        <f>IFERROR(__xludf.DUMMYFUNCTION("""COMPUTED_VALUE"""),"")</f>
        <v/>
      </c>
    </row>
    <row r="2594">
      <c r="A2594" s="17"/>
      <c r="B2594" s="23"/>
      <c r="C2594" s="17">
        <f>IFERROR(__xludf.DUMMYFUNCTION("""COMPUTED_VALUE"""),43525.1816898495)</f>
        <v>43525.18169</v>
      </c>
      <c r="D2594" s="23">
        <f>IFERROR(__xludf.DUMMYFUNCTION("""COMPUTED_VALUE"""),1.07)</f>
        <v>1.07</v>
      </c>
      <c r="E2594" s="24">
        <f>IFERROR(__xludf.DUMMYFUNCTION("""COMPUTED_VALUE"""),66.0)</f>
        <v>66</v>
      </c>
      <c r="F2594" s="27" t="str">
        <f>IFERROR(__xludf.DUMMYFUNCTION("""COMPUTED_VALUE"""),"BLACK")</f>
        <v>BLACK</v>
      </c>
      <c r="G2594" s="28" t="str">
        <f>IFERROR(__xludf.DUMMYFUNCTION("""COMPUTED_VALUE"""),"First Times a Charm Cider")</f>
        <v>First Times a Charm Cider</v>
      </c>
      <c r="H2594" s="27" t="str">
        <f>IFERROR(__xludf.DUMMYFUNCTION("""COMPUTED_VALUE"""),"")</f>
        <v/>
      </c>
    </row>
    <row r="2595">
      <c r="A2595" s="17"/>
      <c r="B2595" s="23"/>
      <c r="C2595" s="17">
        <f>IFERROR(__xludf.DUMMYFUNCTION("""COMPUTED_VALUE"""),43525.1608368518)</f>
        <v>43525.16084</v>
      </c>
      <c r="D2595" s="23">
        <f>IFERROR(__xludf.DUMMYFUNCTION("""COMPUTED_VALUE"""),1.07)</f>
        <v>1.07</v>
      </c>
      <c r="E2595" s="24">
        <f>IFERROR(__xludf.DUMMYFUNCTION("""COMPUTED_VALUE"""),66.0)</f>
        <v>66</v>
      </c>
      <c r="F2595" s="27" t="str">
        <f>IFERROR(__xludf.DUMMYFUNCTION("""COMPUTED_VALUE"""),"BLACK")</f>
        <v>BLACK</v>
      </c>
      <c r="G2595" s="28" t="str">
        <f>IFERROR(__xludf.DUMMYFUNCTION("""COMPUTED_VALUE"""),"First Times a Charm Cider")</f>
        <v>First Times a Charm Cider</v>
      </c>
      <c r="H2595" s="27" t="str">
        <f>IFERROR(__xludf.DUMMYFUNCTION("""COMPUTED_VALUE"""),"")</f>
        <v/>
      </c>
    </row>
    <row r="2596">
      <c r="A2596" s="17"/>
      <c r="B2596" s="23"/>
      <c r="C2596" s="17">
        <f>IFERROR(__xludf.DUMMYFUNCTION("""COMPUTED_VALUE"""),43525.1504141551)</f>
        <v>43525.15041</v>
      </c>
      <c r="D2596" s="23">
        <f>IFERROR(__xludf.DUMMYFUNCTION("""COMPUTED_VALUE"""),1.07)</f>
        <v>1.07</v>
      </c>
      <c r="E2596" s="24">
        <f>IFERROR(__xludf.DUMMYFUNCTION("""COMPUTED_VALUE"""),66.0)</f>
        <v>66</v>
      </c>
      <c r="F2596" s="27" t="str">
        <f>IFERROR(__xludf.DUMMYFUNCTION("""COMPUTED_VALUE"""),"BLACK")</f>
        <v>BLACK</v>
      </c>
      <c r="G2596" s="28" t="str">
        <f>IFERROR(__xludf.DUMMYFUNCTION("""COMPUTED_VALUE"""),"First Times a Charm Cider")</f>
        <v>First Times a Charm Cider</v>
      </c>
      <c r="H2596" s="27" t="str">
        <f>IFERROR(__xludf.DUMMYFUNCTION("""COMPUTED_VALUE"""),"")</f>
        <v/>
      </c>
    </row>
    <row r="2597">
      <c r="A2597" s="17"/>
      <c r="B2597" s="23"/>
      <c r="C2597" s="17">
        <f>IFERROR(__xludf.DUMMYFUNCTION("""COMPUTED_VALUE"""),43525.1191239814)</f>
        <v>43525.11912</v>
      </c>
      <c r="D2597" s="23">
        <f>IFERROR(__xludf.DUMMYFUNCTION("""COMPUTED_VALUE"""),1.07)</f>
        <v>1.07</v>
      </c>
      <c r="E2597" s="24">
        <f>IFERROR(__xludf.DUMMYFUNCTION("""COMPUTED_VALUE"""),66.0)</f>
        <v>66</v>
      </c>
      <c r="F2597" s="27" t="str">
        <f>IFERROR(__xludf.DUMMYFUNCTION("""COMPUTED_VALUE"""),"BLACK")</f>
        <v>BLACK</v>
      </c>
      <c r="G2597" s="28" t="str">
        <f>IFERROR(__xludf.DUMMYFUNCTION("""COMPUTED_VALUE"""),"First Times a Charm Cider")</f>
        <v>First Times a Charm Cider</v>
      </c>
      <c r="H2597" s="27" t="str">
        <f>IFERROR(__xludf.DUMMYFUNCTION("""COMPUTED_VALUE"""),"")</f>
        <v/>
      </c>
    </row>
    <row r="2598">
      <c r="A2598" s="17"/>
      <c r="B2598" s="23"/>
      <c r="C2598" s="17">
        <f>IFERROR(__xludf.DUMMYFUNCTION("""COMPUTED_VALUE"""),43525.1087028587)</f>
        <v>43525.1087</v>
      </c>
      <c r="D2598" s="23">
        <f>IFERROR(__xludf.DUMMYFUNCTION("""COMPUTED_VALUE"""),1.07)</f>
        <v>1.07</v>
      </c>
      <c r="E2598" s="24">
        <f>IFERROR(__xludf.DUMMYFUNCTION("""COMPUTED_VALUE"""),66.0)</f>
        <v>66</v>
      </c>
      <c r="F2598" s="27" t="str">
        <f>IFERROR(__xludf.DUMMYFUNCTION("""COMPUTED_VALUE"""),"BLACK")</f>
        <v>BLACK</v>
      </c>
      <c r="G2598" s="28" t="str">
        <f>IFERROR(__xludf.DUMMYFUNCTION("""COMPUTED_VALUE"""),"First Times a Charm Cider")</f>
        <v>First Times a Charm Cider</v>
      </c>
      <c r="H2598" s="27" t="str">
        <f>IFERROR(__xludf.DUMMYFUNCTION("""COMPUTED_VALUE"""),"")</f>
        <v/>
      </c>
    </row>
    <row r="2599">
      <c r="A2599" s="17"/>
      <c r="B2599" s="23"/>
      <c r="C2599" s="17">
        <f>IFERROR(__xludf.DUMMYFUNCTION("""COMPUTED_VALUE"""),43525.098248368)</f>
        <v>43525.09825</v>
      </c>
      <c r="D2599" s="23">
        <f>IFERROR(__xludf.DUMMYFUNCTION("""COMPUTED_VALUE"""),1.07)</f>
        <v>1.07</v>
      </c>
      <c r="E2599" s="24">
        <f>IFERROR(__xludf.DUMMYFUNCTION("""COMPUTED_VALUE"""),66.0)</f>
        <v>66</v>
      </c>
      <c r="F2599" s="27" t="str">
        <f>IFERROR(__xludf.DUMMYFUNCTION("""COMPUTED_VALUE"""),"BLACK")</f>
        <v>BLACK</v>
      </c>
      <c r="G2599" s="28" t="str">
        <f>IFERROR(__xludf.DUMMYFUNCTION("""COMPUTED_VALUE"""),"First Times a Charm Cider")</f>
        <v>First Times a Charm Cider</v>
      </c>
      <c r="H2599" s="27" t="str">
        <f>IFERROR(__xludf.DUMMYFUNCTION("""COMPUTED_VALUE"""),"")</f>
        <v/>
      </c>
    </row>
    <row r="2600">
      <c r="A2600" s="17"/>
      <c r="B2600" s="23"/>
      <c r="C2600" s="17">
        <f>IFERROR(__xludf.DUMMYFUNCTION("""COMPUTED_VALUE"""),43525.0878251967)</f>
        <v>43525.08783</v>
      </c>
      <c r="D2600" s="23">
        <f>IFERROR(__xludf.DUMMYFUNCTION("""COMPUTED_VALUE"""),1.071)</f>
        <v>1.071</v>
      </c>
      <c r="E2600" s="24">
        <f>IFERROR(__xludf.DUMMYFUNCTION("""COMPUTED_VALUE"""),66.0)</f>
        <v>66</v>
      </c>
      <c r="F2600" s="27" t="str">
        <f>IFERROR(__xludf.DUMMYFUNCTION("""COMPUTED_VALUE"""),"BLACK")</f>
        <v>BLACK</v>
      </c>
      <c r="G2600" s="28" t="str">
        <f>IFERROR(__xludf.DUMMYFUNCTION("""COMPUTED_VALUE"""),"First Times a Charm Cider")</f>
        <v>First Times a Charm Cider</v>
      </c>
      <c r="H2600" s="27" t="str">
        <f>IFERROR(__xludf.DUMMYFUNCTION("""COMPUTED_VALUE"""),"")</f>
        <v/>
      </c>
    </row>
    <row r="2601">
      <c r="A2601" s="17"/>
      <c r="B2601" s="23"/>
      <c r="C2601" s="17">
        <f>IFERROR(__xludf.DUMMYFUNCTION("""COMPUTED_VALUE"""),43525.0774067824)</f>
        <v>43525.07741</v>
      </c>
      <c r="D2601" s="23">
        <f>IFERROR(__xludf.DUMMYFUNCTION("""COMPUTED_VALUE"""),1.071)</f>
        <v>1.071</v>
      </c>
      <c r="E2601" s="24">
        <f>IFERROR(__xludf.DUMMYFUNCTION("""COMPUTED_VALUE"""),66.0)</f>
        <v>66</v>
      </c>
      <c r="F2601" s="27" t="str">
        <f>IFERROR(__xludf.DUMMYFUNCTION("""COMPUTED_VALUE"""),"BLACK")</f>
        <v>BLACK</v>
      </c>
      <c r="G2601" s="28" t="str">
        <f>IFERROR(__xludf.DUMMYFUNCTION("""COMPUTED_VALUE"""),"First Times a Charm Cider")</f>
        <v>First Times a Charm Cider</v>
      </c>
      <c r="H2601" s="27" t="str">
        <f>IFERROR(__xludf.DUMMYFUNCTION("""COMPUTED_VALUE"""),"")</f>
        <v/>
      </c>
    </row>
    <row r="2602">
      <c r="A2602" s="17"/>
      <c r="B2602" s="23"/>
      <c r="C2602" s="17">
        <f>IFERROR(__xludf.DUMMYFUNCTION("""COMPUTED_VALUE"""),43525.0669857638)</f>
        <v>43525.06699</v>
      </c>
      <c r="D2602" s="23">
        <f>IFERROR(__xludf.DUMMYFUNCTION("""COMPUTED_VALUE"""),1.071)</f>
        <v>1.071</v>
      </c>
      <c r="E2602" s="24">
        <f>IFERROR(__xludf.DUMMYFUNCTION("""COMPUTED_VALUE"""),66.0)</f>
        <v>66</v>
      </c>
      <c r="F2602" s="27" t="str">
        <f>IFERROR(__xludf.DUMMYFUNCTION("""COMPUTED_VALUE"""),"BLACK")</f>
        <v>BLACK</v>
      </c>
      <c r="G2602" s="28" t="str">
        <f>IFERROR(__xludf.DUMMYFUNCTION("""COMPUTED_VALUE"""),"First Times a Charm Cider")</f>
        <v>First Times a Charm Cider</v>
      </c>
      <c r="H2602" s="27" t="str">
        <f>IFERROR(__xludf.DUMMYFUNCTION("""COMPUTED_VALUE"""),"")</f>
        <v/>
      </c>
    </row>
    <row r="2603">
      <c r="A2603" s="17"/>
      <c r="B2603" s="23"/>
      <c r="C2603" s="17">
        <f>IFERROR(__xludf.DUMMYFUNCTION("""COMPUTED_VALUE"""),43525.0565647801)</f>
        <v>43525.05656</v>
      </c>
      <c r="D2603" s="23">
        <f>IFERROR(__xludf.DUMMYFUNCTION("""COMPUTED_VALUE"""),1.071)</f>
        <v>1.071</v>
      </c>
      <c r="E2603" s="24">
        <f>IFERROR(__xludf.DUMMYFUNCTION("""COMPUTED_VALUE"""),66.0)</f>
        <v>66</v>
      </c>
      <c r="F2603" s="27" t="str">
        <f>IFERROR(__xludf.DUMMYFUNCTION("""COMPUTED_VALUE"""),"BLACK")</f>
        <v>BLACK</v>
      </c>
      <c r="G2603" s="28" t="str">
        <f>IFERROR(__xludf.DUMMYFUNCTION("""COMPUTED_VALUE"""),"First Times a Charm Cider")</f>
        <v>First Times a Charm Cider</v>
      </c>
      <c r="H2603" s="27" t="str">
        <f>IFERROR(__xludf.DUMMYFUNCTION("""COMPUTED_VALUE"""),"")</f>
        <v/>
      </c>
    </row>
    <row r="2604">
      <c r="A2604" s="17"/>
      <c r="B2604" s="23"/>
      <c r="C2604" s="17">
        <f>IFERROR(__xludf.DUMMYFUNCTION("""COMPUTED_VALUE"""),43525.0461436342)</f>
        <v>43525.04614</v>
      </c>
      <c r="D2604" s="23">
        <f>IFERROR(__xludf.DUMMYFUNCTION("""COMPUTED_VALUE"""),1.071)</f>
        <v>1.071</v>
      </c>
      <c r="E2604" s="24">
        <f>IFERROR(__xludf.DUMMYFUNCTION("""COMPUTED_VALUE"""),66.0)</f>
        <v>66</v>
      </c>
      <c r="F2604" s="27" t="str">
        <f>IFERROR(__xludf.DUMMYFUNCTION("""COMPUTED_VALUE"""),"BLACK")</f>
        <v>BLACK</v>
      </c>
      <c r="G2604" s="28" t="str">
        <f>IFERROR(__xludf.DUMMYFUNCTION("""COMPUTED_VALUE"""),"First Times a Charm Cider")</f>
        <v>First Times a Charm Cider</v>
      </c>
      <c r="H2604" s="27" t="str">
        <f>IFERROR(__xludf.DUMMYFUNCTION("""COMPUTED_VALUE"""),"")</f>
        <v/>
      </c>
    </row>
    <row r="2605">
      <c r="A2605" s="17"/>
      <c r="B2605" s="23"/>
      <c r="C2605" s="17">
        <f>IFERROR(__xludf.DUMMYFUNCTION("""COMPUTED_VALUE"""),43525.0148788541)</f>
        <v>43525.01488</v>
      </c>
      <c r="D2605" s="23">
        <f>IFERROR(__xludf.DUMMYFUNCTION("""COMPUTED_VALUE"""),1.071)</f>
        <v>1.071</v>
      </c>
      <c r="E2605" s="24">
        <f>IFERROR(__xludf.DUMMYFUNCTION("""COMPUTED_VALUE"""),66.0)</f>
        <v>66</v>
      </c>
      <c r="F2605" s="27" t="str">
        <f>IFERROR(__xludf.DUMMYFUNCTION("""COMPUTED_VALUE"""),"BLACK")</f>
        <v>BLACK</v>
      </c>
      <c r="G2605" s="28" t="str">
        <f>IFERROR(__xludf.DUMMYFUNCTION("""COMPUTED_VALUE"""),"First Times a Charm Cider")</f>
        <v>First Times a Charm Cider</v>
      </c>
      <c r="H2605" s="27" t="str">
        <f>IFERROR(__xludf.DUMMYFUNCTION("""COMPUTED_VALUE"""),"")</f>
        <v/>
      </c>
    </row>
    <row r="2606">
      <c r="A2606" s="17"/>
      <c r="B2606" s="23"/>
      <c r="C2606" s="17">
        <f>IFERROR(__xludf.DUMMYFUNCTION("""COMPUTED_VALUE"""),43525.0044578124)</f>
        <v>43525.00446</v>
      </c>
      <c r="D2606" s="23">
        <f>IFERROR(__xludf.DUMMYFUNCTION("""COMPUTED_VALUE"""),1.071)</f>
        <v>1.071</v>
      </c>
      <c r="E2606" s="24">
        <f>IFERROR(__xludf.DUMMYFUNCTION("""COMPUTED_VALUE"""),66.0)</f>
        <v>66</v>
      </c>
      <c r="F2606" s="27" t="str">
        <f>IFERROR(__xludf.DUMMYFUNCTION("""COMPUTED_VALUE"""),"BLACK")</f>
        <v>BLACK</v>
      </c>
      <c r="G2606" s="28" t="str">
        <f>IFERROR(__xludf.DUMMYFUNCTION("""COMPUTED_VALUE"""),"First Times a Charm Cider")</f>
        <v>First Times a Charm Cider</v>
      </c>
      <c r="H2606" s="27" t="str">
        <f>IFERROR(__xludf.DUMMYFUNCTION("""COMPUTED_VALUE"""),"")</f>
        <v/>
      </c>
    </row>
    <row r="2607">
      <c r="A2607" s="17"/>
      <c r="B2607" s="23"/>
      <c r="C2607" s="17">
        <f>IFERROR(__xludf.DUMMYFUNCTION("""COMPUTED_VALUE"""),43524.9836042476)</f>
        <v>43524.9836</v>
      </c>
      <c r="D2607" s="23">
        <f>IFERROR(__xludf.DUMMYFUNCTION("""COMPUTED_VALUE"""),1.071)</f>
        <v>1.071</v>
      </c>
      <c r="E2607" s="24">
        <f>IFERROR(__xludf.DUMMYFUNCTION("""COMPUTED_VALUE"""),66.0)</f>
        <v>66</v>
      </c>
      <c r="F2607" s="27" t="str">
        <f>IFERROR(__xludf.DUMMYFUNCTION("""COMPUTED_VALUE"""),"BLACK")</f>
        <v>BLACK</v>
      </c>
      <c r="G2607" s="28" t="str">
        <f>IFERROR(__xludf.DUMMYFUNCTION("""COMPUTED_VALUE"""),"First Times a Charm Cider")</f>
        <v>First Times a Charm Cider</v>
      </c>
      <c r="H2607" s="27" t="str">
        <f>IFERROR(__xludf.DUMMYFUNCTION("""COMPUTED_VALUE"""),"")</f>
        <v/>
      </c>
    </row>
    <row r="2608">
      <c r="A2608" s="17"/>
      <c r="B2608" s="23"/>
      <c r="C2608" s="17">
        <f>IFERROR(__xludf.DUMMYFUNCTION("""COMPUTED_VALUE"""),43524.9731700694)</f>
        <v>43524.97317</v>
      </c>
      <c r="D2608" s="23">
        <f>IFERROR(__xludf.DUMMYFUNCTION("""COMPUTED_VALUE"""),1.071)</f>
        <v>1.071</v>
      </c>
      <c r="E2608" s="24">
        <f>IFERROR(__xludf.DUMMYFUNCTION("""COMPUTED_VALUE"""),66.0)</f>
        <v>66</v>
      </c>
      <c r="F2608" s="27" t="str">
        <f>IFERROR(__xludf.DUMMYFUNCTION("""COMPUTED_VALUE"""),"BLACK")</f>
        <v>BLACK</v>
      </c>
      <c r="G2608" s="28" t="str">
        <f>IFERROR(__xludf.DUMMYFUNCTION("""COMPUTED_VALUE"""),"First Times a Charm Cider")</f>
        <v>First Times a Charm Cider</v>
      </c>
      <c r="H2608" s="27" t="str">
        <f>IFERROR(__xludf.DUMMYFUNCTION("""COMPUTED_VALUE"""),"")</f>
        <v/>
      </c>
    </row>
    <row r="2609">
      <c r="A2609" s="17"/>
      <c r="B2609" s="23"/>
      <c r="C2609" s="17">
        <f>IFERROR(__xludf.DUMMYFUNCTION("""COMPUTED_VALUE"""),43524.9627475115)</f>
        <v>43524.96275</v>
      </c>
      <c r="D2609" s="23">
        <f>IFERROR(__xludf.DUMMYFUNCTION("""COMPUTED_VALUE"""),1.071)</f>
        <v>1.071</v>
      </c>
      <c r="E2609" s="24">
        <f>IFERROR(__xludf.DUMMYFUNCTION("""COMPUTED_VALUE"""),66.0)</f>
        <v>66</v>
      </c>
      <c r="F2609" s="27" t="str">
        <f>IFERROR(__xludf.DUMMYFUNCTION("""COMPUTED_VALUE"""),"BLACK")</f>
        <v>BLACK</v>
      </c>
      <c r="G2609" s="28" t="str">
        <f>IFERROR(__xludf.DUMMYFUNCTION("""COMPUTED_VALUE"""),"First Times a Charm Cider")</f>
        <v>First Times a Charm Cider</v>
      </c>
      <c r="H2609" s="27" t="str">
        <f>IFERROR(__xludf.DUMMYFUNCTION("""COMPUTED_VALUE"""),"")</f>
        <v/>
      </c>
    </row>
    <row r="2610">
      <c r="A2610" s="17"/>
      <c r="B2610" s="23"/>
      <c r="C2610" s="17">
        <f>IFERROR(__xludf.DUMMYFUNCTION("""COMPUTED_VALUE"""),43524.9419065509)</f>
        <v>43524.94191</v>
      </c>
      <c r="D2610" s="23">
        <f>IFERROR(__xludf.DUMMYFUNCTION("""COMPUTED_VALUE"""),1.071)</f>
        <v>1.071</v>
      </c>
      <c r="E2610" s="24">
        <f>IFERROR(__xludf.DUMMYFUNCTION("""COMPUTED_VALUE"""),66.0)</f>
        <v>66</v>
      </c>
      <c r="F2610" s="27" t="str">
        <f>IFERROR(__xludf.DUMMYFUNCTION("""COMPUTED_VALUE"""),"BLACK")</f>
        <v>BLACK</v>
      </c>
      <c r="G2610" s="28" t="str">
        <f>IFERROR(__xludf.DUMMYFUNCTION("""COMPUTED_VALUE"""),"First Times a Charm Cider")</f>
        <v>First Times a Charm Cider</v>
      </c>
      <c r="H2610" s="27" t="str">
        <f>IFERROR(__xludf.DUMMYFUNCTION("""COMPUTED_VALUE"""),"")</f>
        <v/>
      </c>
    </row>
    <row r="2611">
      <c r="A2611" s="17"/>
      <c r="B2611" s="23"/>
      <c r="C2611" s="17">
        <f>IFERROR(__xludf.DUMMYFUNCTION("""COMPUTED_VALUE"""),43524.931486574)</f>
        <v>43524.93149</v>
      </c>
      <c r="D2611" s="23">
        <f>IFERROR(__xludf.DUMMYFUNCTION("""COMPUTED_VALUE"""),1.071)</f>
        <v>1.071</v>
      </c>
      <c r="E2611" s="24">
        <f>IFERROR(__xludf.DUMMYFUNCTION("""COMPUTED_VALUE"""),66.0)</f>
        <v>66</v>
      </c>
      <c r="F2611" s="27" t="str">
        <f>IFERROR(__xludf.DUMMYFUNCTION("""COMPUTED_VALUE"""),"BLACK")</f>
        <v>BLACK</v>
      </c>
      <c r="G2611" s="28" t="str">
        <f>IFERROR(__xludf.DUMMYFUNCTION("""COMPUTED_VALUE"""),"First Times a Charm Cider")</f>
        <v>First Times a Charm Cider</v>
      </c>
      <c r="H2611" s="27" t="str">
        <f>IFERROR(__xludf.DUMMYFUNCTION("""COMPUTED_VALUE"""),"")</f>
        <v/>
      </c>
    </row>
    <row r="2612">
      <c r="A2612" s="17"/>
      <c r="B2612" s="23"/>
      <c r="C2612" s="17">
        <f>IFERROR(__xludf.DUMMYFUNCTION("""COMPUTED_VALUE"""),43524.9106431944)</f>
        <v>43524.91064</v>
      </c>
      <c r="D2612" s="23">
        <f>IFERROR(__xludf.DUMMYFUNCTION("""COMPUTED_VALUE"""),1.071)</f>
        <v>1.071</v>
      </c>
      <c r="E2612" s="24">
        <f>IFERROR(__xludf.DUMMYFUNCTION("""COMPUTED_VALUE"""),66.0)</f>
        <v>66</v>
      </c>
      <c r="F2612" s="27" t="str">
        <f>IFERROR(__xludf.DUMMYFUNCTION("""COMPUTED_VALUE"""),"BLACK")</f>
        <v>BLACK</v>
      </c>
      <c r="G2612" s="28" t="str">
        <f>IFERROR(__xludf.DUMMYFUNCTION("""COMPUTED_VALUE"""),"First Times a Charm Cider")</f>
        <v>First Times a Charm Cider</v>
      </c>
      <c r="H2612" s="27" t="str">
        <f>IFERROR(__xludf.DUMMYFUNCTION("""COMPUTED_VALUE"""),"")</f>
        <v/>
      </c>
    </row>
    <row r="2613">
      <c r="A2613" s="17"/>
      <c r="B2613" s="23"/>
      <c r="C2613" s="17">
        <f>IFERROR(__xludf.DUMMYFUNCTION("""COMPUTED_VALUE"""),43524.8897869212)</f>
        <v>43524.88979</v>
      </c>
      <c r="D2613" s="23">
        <f>IFERROR(__xludf.DUMMYFUNCTION("""COMPUTED_VALUE"""),1.072)</f>
        <v>1.072</v>
      </c>
      <c r="E2613" s="24">
        <f>IFERROR(__xludf.DUMMYFUNCTION("""COMPUTED_VALUE"""),66.0)</f>
        <v>66</v>
      </c>
      <c r="F2613" s="27" t="str">
        <f>IFERROR(__xludf.DUMMYFUNCTION("""COMPUTED_VALUE"""),"BLACK")</f>
        <v>BLACK</v>
      </c>
      <c r="G2613" s="28" t="str">
        <f>IFERROR(__xludf.DUMMYFUNCTION("""COMPUTED_VALUE"""),"First Times a Charm Cider")</f>
        <v>First Times a Charm Cider</v>
      </c>
      <c r="H2613" s="27" t="str">
        <f>IFERROR(__xludf.DUMMYFUNCTION("""COMPUTED_VALUE"""),"")</f>
        <v/>
      </c>
    </row>
    <row r="2614">
      <c r="A2614" s="17"/>
      <c r="B2614" s="23"/>
      <c r="C2614" s="17">
        <f>IFERROR(__xludf.DUMMYFUNCTION("""COMPUTED_VALUE"""),43524.8585198611)</f>
        <v>43524.85852</v>
      </c>
      <c r="D2614" s="23">
        <f>IFERROR(__xludf.DUMMYFUNCTION("""COMPUTED_VALUE"""),1.071)</f>
        <v>1.071</v>
      </c>
      <c r="E2614" s="24">
        <f>IFERROR(__xludf.DUMMYFUNCTION("""COMPUTED_VALUE"""),65.0)</f>
        <v>65</v>
      </c>
      <c r="F2614" s="27" t="str">
        <f>IFERROR(__xludf.DUMMYFUNCTION("""COMPUTED_VALUE"""),"BLACK")</f>
        <v>BLACK</v>
      </c>
      <c r="G2614" s="28" t="str">
        <f>IFERROR(__xludf.DUMMYFUNCTION("""COMPUTED_VALUE"""),"First Times a Charm Cider")</f>
        <v>First Times a Charm Cider</v>
      </c>
      <c r="H2614" s="27" t="str">
        <f>IFERROR(__xludf.DUMMYFUNCTION("""COMPUTED_VALUE"""),"")</f>
        <v/>
      </c>
    </row>
    <row r="2615">
      <c r="A2615" s="17"/>
      <c r="B2615" s="23"/>
      <c r="C2615" s="17">
        <f>IFERROR(__xludf.DUMMYFUNCTION("""COMPUTED_VALUE"""),43524.8272320486)</f>
        <v>43524.82723</v>
      </c>
      <c r="D2615" s="23">
        <f>IFERROR(__xludf.DUMMYFUNCTION("""COMPUTED_VALUE"""),1.071)</f>
        <v>1.071</v>
      </c>
      <c r="E2615" s="24">
        <f>IFERROR(__xludf.DUMMYFUNCTION("""COMPUTED_VALUE"""),66.0)</f>
        <v>66</v>
      </c>
      <c r="F2615" s="27" t="str">
        <f>IFERROR(__xludf.DUMMYFUNCTION("""COMPUTED_VALUE"""),"BLACK")</f>
        <v>BLACK</v>
      </c>
      <c r="G2615" s="28" t="str">
        <f>IFERROR(__xludf.DUMMYFUNCTION("""COMPUTED_VALUE"""),"First Times a Charm Cider")</f>
        <v>First Times a Charm Cider</v>
      </c>
      <c r="H2615" s="27" t="str">
        <f>IFERROR(__xludf.DUMMYFUNCTION("""COMPUTED_VALUE"""),"")</f>
        <v/>
      </c>
    </row>
    <row r="2616">
      <c r="A2616" s="17"/>
      <c r="B2616" s="23"/>
      <c r="C2616" s="17">
        <f>IFERROR(__xludf.DUMMYFUNCTION("""COMPUTED_VALUE"""),43524.8063895138)</f>
        <v>43524.80639</v>
      </c>
      <c r="D2616" s="23">
        <f>IFERROR(__xludf.DUMMYFUNCTION("""COMPUTED_VALUE"""),1.072)</f>
        <v>1.072</v>
      </c>
      <c r="E2616" s="24">
        <f>IFERROR(__xludf.DUMMYFUNCTION("""COMPUTED_VALUE"""),66.0)</f>
        <v>66</v>
      </c>
      <c r="F2616" s="27" t="str">
        <f>IFERROR(__xludf.DUMMYFUNCTION("""COMPUTED_VALUE"""),"BLACK")</f>
        <v>BLACK</v>
      </c>
      <c r="G2616" s="28" t="str">
        <f>IFERROR(__xludf.DUMMYFUNCTION("""COMPUTED_VALUE"""),"First Times a Charm Cider")</f>
        <v>First Times a Charm Cider</v>
      </c>
      <c r="H2616" s="27" t="str">
        <f>IFERROR(__xludf.DUMMYFUNCTION("""COMPUTED_VALUE"""),"")</f>
        <v/>
      </c>
    </row>
    <row r="2617">
      <c r="A2617" s="17"/>
      <c r="B2617" s="23"/>
      <c r="C2617" s="17">
        <f>IFERROR(__xludf.DUMMYFUNCTION("""COMPUTED_VALUE"""),43524.7959669675)</f>
        <v>43524.79597</v>
      </c>
      <c r="D2617" s="23">
        <f>IFERROR(__xludf.DUMMYFUNCTION("""COMPUTED_VALUE"""),1.072)</f>
        <v>1.072</v>
      </c>
      <c r="E2617" s="24">
        <f>IFERROR(__xludf.DUMMYFUNCTION("""COMPUTED_VALUE"""),66.0)</f>
        <v>66</v>
      </c>
      <c r="F2617" s="27" t="str">
        <f>IFERROR(__xludf.DUMMYFUNCTION("""COMPUTED_VALUE"""),"BLACK")</f>
        <v>BLACK</v>
      </c>
      <c r="G2617" s="28" t="str">
        <f>IFERROR(__xludf.DUMMYFUNCTION("""COMPUTED_VALUE"""),"First Times a Charm Cider")</f>
        <v>First Times a Charm Cider</v>
      </c>
      <c r="H2617" s="27" t="str">
        <f>IFERROR(__xludf.DUMMYFUNCTION("""COMPUTED_VALUE"""),"")</f>
        <v/>
      </c>
    </row>
    <row r="2618">
      <c r="A2618" s="17"/>
      <c r="B2618" s="23"/>
      <c r="C2618" s="17">
        <f>IFERROR(__xludf.DUMMYFUNCTION("""COMPUTED_VALUE"""),43524.7855473495)</f>
        <v>43524.78555</v>
      </c>
      <c r="D2618" s="23">
        <f>IFERROR(__xludf.DUMMYFUNCTION("""COMPUTED_VALUE"""),1.072)</f>
        <v>1.072</v>
      </c>
      <c r="E2618" s="24">
        <f>IFERROR(__xludf.DUMMYFUNCTION("""COMPUTED_VALUE"""),66.0)</f>
        <v>66</v>
      </c>
      <c r="F2618" s="27" t="str">
        <f>IFERROR(__xludf.DUMMYFUNCTION("""COMPUTED_VALUE"""),"BLACK")</f>
        <v>BLACK</v>
      </c>
      <c r="G2618" s="28" t="str">
        <f>IFERROR(__xludf.DUMMYFUNCTION("""COMPUTED_VALUE"""),"First Times a Charm Cider")</f>
        <v>First Times a Charm Cider</v>
      </c>
      <c r="H2618" s="27" t="str">
        <f>IFERROR(__xludf.DUMMYFUNCTION("""COMPUTED_VALUE"""),"")</f>
        <v/>
      </c>
    </row>
    <row r="2619">
      <c r="A2619" s="17"/>
      <c r="B2619" s="23"/>
      <c r="C2619" s="17">
        <f>IFERROR(__xludf.DUMMYFUNCTION("""COMPUTED_VALUE"""),43524.7751283912)</f>
        <v>43524.77513</v>
      </c>
      <c r="D2619" s="23">
        <f>IFERROR(__xludf.DUMMYFUNCTION("""COMPUTED_VALUE"""),1.072)</f>
        <v>1.072</v>
      </c>
      <c r="E2619" s="24">
        <f>IFERROR(__xludf.DUMMYFUNCTION("""COMPUTED_VALUE"""),66.0)</f>
        <v>66</v>
      </c>
      <c r="F2619" s="27" t="str">
        <f>IFERROR(__xludf.DUMMYFUNCTION("""COMPUTED_VALUE"""),"BLACK")</f>
        <v>BLACK</v>
      </c>
      <c r="G2619" s="28" t="str">
        <f>IFERROR(__xludf.DUMMYFUNCTION("""COMPUTED_VALUE"""),"First Times a Charm Cider")</f>
        <v>First Times a Charm Cider</v>
      </c>
      <c r="H2619" s="27" t="str">
        <f>IFERROR(__xludf.DUMMYFUNCTION("""COMPUTED_VALUE"""),"")</f>
        <v/>
      </c>
    </row>
    <row r="2620">
      <c r="A2620" s="17"/>
      <c r="B2620" s="23"/>
      <c r="C2620" s="17">
        <f>IFERROR(__xludf.DUMMYFUNCTION("""COMPUTED_VALUE"""),43524.7438572338)</f>
        <v>43524.74386</v>
      </c>
      <c r="D2620" s="23">
        <f>IFERROR(__xludf.DUMMYFUNCTION("""COMPUTED_VALUE"""),1.072)</f>
        <v>1.072</v>
      </c>
      <c r="E2620" s="24">
        <f>IFERROR(__xludf.DUMMYFUNCTION("""COMPUTED_VALUE"""),66.0)</f>
        <v>66</v>
      </c>
      <c r="F2620" s="27" t="str">
        <f>IFERROR(__xludf.DUMMYFUNCTION("""COMPUTED_VALUE"""),"BLACK")</f>
        <v>BLACK</v>
      </c>
      <c r="G2620" s="28" t="str">
        <f>IFERROR(__xludf.DUMMYFUNCTION("""COMPUTED_VALUE"""),"First Times a Charm Cider")</f>
        <v>First Times a Charm Cider</v>
      </c>
      <c r="H2620" s="27" t="str">
        <f>IFERROR(__xludf.DUMMYFUNCTION("""COMPUTED_VALUE"""),"")</f>
        <v/>
      </c>
    </row>
    <row r="2621">
      <c r="A2621" s="17"/>
      <c r="B2621" s="23"/>
      <c r="C2621" s="17">
        <f>IFERROR(__xludf.DUMMYFUNCTION("""COMPUTED_VALUE"""),43524.7125809143)</f>
        <v>43524.71258</v>
      </c>
      <c r="D2621" s="23">
        <f>IFERROR(__xludf.DUMMYFUNCTION("""COMPUTED_VALUE"""),1.072)</f>
        <v>1.072</v>
      </c>
      <c r="E2621" s="24">
        <f>IFERROR(__xludf.DUMMYFUNCTION("""COMPUTED_VALUE"""),66.0)</f>
        <v>66</v>
      </c>
      <c r="F2621" s="27" t="str">
        <f>IFERROR(__xludf.DUMMYFUNCTION("""COMPUTED_VALUE"""),"BLACK")</f>
        <v>BLACK</v>
      </c>
      <c r="G2621" s="28" t="str">
        <f>IFERROR(__xludf.DUMMYFUNCTION("""COMPUTED_VALUE"""),"First Times a Charm Cider")</f>
        <v>First Times a Charm Cider</v>
      </c>
      <c r="H2621" s="27" t="str">
        <f>IFERROR(__xludf.DUMMYFUNCTION("""COMPUTED_VALUE"""),"")</f>
        <v/>
      </c>
    </row>
    <row r="2622">
      <c r="A2622" s="17"/>
      <c r="B2622" s="23"/>
      <c r="C2622" s="17">
        <f>IFERROR(__xludf.DUMMYFUNCTION("""COMPUTED_VALUE"""),43524.702160081)</f>
        <v>43524.70216</v>
      </c>
      <c r="D2622" s="23">
        <f>IFERROR(__xludf.DUMMYFUNCTION("""COMPUTED_VALUE"""),1.072)</f>
        <v>1.072</v>
      </c>
      <c r="E2622" s="24">
        <f>IFERROR(__xludf.DUMMYFUNCTION("""COMPUTED_VALUE"""),66.0)</f>
        <v>66</v>
      </c>
      <c r="F2622" s="27" t="str">
        <f>IFERROR(__xludf.DUMMYFUNCTION("""COMPUTED_VALUE"""),"BLACK")</f>
        <v>BLACK</v>
      </c>
      <c r="G2622" s="28" t="str">
        <f>IFERROR(__xludf.DUMMYFUNCTION("""COMPUTED_VALUE"""),"First Times a Charm Cider")</f>
        <v>First Times a Charm Cider</v>
      </c>
      <c r="H2622" s="27" t="str">
        <f>IFERROR(__xludf.DUMMYFUNCTION("""COMPUTED_VALUE"""),"")</f>
        <v/>
      </c>
    </row>
    <row r="2623">
      <c r="A2623" s="17"/>
      <c r="B2623" s="23"/>
      <c r="C2623" s="17">
        <f>IFERROR(__xludf.DUMMYFUNCTION("""COMPUTED_VALUE"""),43524.691737743)</f>
        <v>43524.69174</v>
      </c>
      <c r="D2623" s="23">
        <f>IFERROR(__xludf.DUMMYFUNCTION("""COMPUTED_VALUE"""),1.072)</f>
        <v>1.072</v>
      </c>
      <c r="E2623" s="24">
        <f>IFERROR(__xludf.DUMMYFUNCTION("""COMPUTED_VALUE"""),66.0)</f>
        <v>66</v>
      </c>
      <c r="F2623" s="27" t="str">
        <f>IFERROR(__xludf.DUMMYFUNCTION("""COMPUTED_VALUE"""),"BLACK")</f>
        <v>BLACK</v>
      </c>
      <c r="G2623" s="28" t="str">
        <f>IFERROR(__xludf.DUMMYFUNCTION("""COMPUTED_VALUE"""),"First Times a Charm Cider")</f>
        <v>First Times a Charm Cider</v>
      </c>
      <c r="H2623" s="27" t="str">
        <f>IFERROR(__xludf.DUMMYFUNCTION("""COMPUTED_VALUE"""),"")</f>
        <v/>
      </c>
    </row>
    <row r="2624">
      <c r="A2624" s="17"/>
      <c r="B2624" s="23"/>
      <c r="C2624" s="17">
        <f>IFERROR(__xludf.DUMMYFUNCTION("""COMPUTED_VALUE"""),43524.6813164467)</f>
        <v>43524.68132</v>
      </c>
      <c r="D2624" s="23">
        <f>IFERROR(__xludf.DUMMYFUNCTION("""COMPUTED_VALUE"""),1.072)</f>
        <v>1.072</v>
      </c>
      <c r="E2624" s="24">
        <f>IFERROR(__xludf.DUMMYFUNCTION("""COMPUTED_VALUE"""),66.0)</f>
        <v>66</v>
      </c>
      <c r="F2624" s="27" t="str">
        <f>IFERROR(__xludf.DUMMYFUNCTION("""COMPUTED_VALUE"""),"BLACK")</f>
        <v>BLACK</v>
      </c>
      <c r="G2624" s="28" t="str">
        <f>IFERROR(__xludf.DUMMYFUNCTION("""COMPUTED_VALUE"""),"First Times a Charm Cider")</f>
        <v>First Times a Charm Cider</v>
      </c>
      <c r="H2624" s="27" t="str">
        <f>IFERROR(__xludf.DUMMYFUNCTION("""COMPUTED_VALUE"""),"")</f>
        <v/>
      </c>
    </row>
    <row r="2625">
      <c r="A2625" s="17"/>
      <c r="B2625" s="23"/>
      <c r="C2625" s="17">
        <f>IFERROR(__xludf.DUMMYFUNCTION("""COMPUTED_VALUE"""),43524.6604724189)</f>
        <v>43524.66047</v>
      </c>
      <c r="D2625" s="23">
        <f>IFERROR(__xludf.DUMMYFUNCTION("""COMPUTED_VALUE"""),1.072)</f>
        <v>1.072</v>
      </c>
      <c r="E2625" s="24">
        <f>IFERROR(__xludf.DUMMYFUNCTION("""COMPUTED_VALUE"""),66.0)</f>
        <v>66</v>
      </c>
      <c r="F2625" s="27" t="str">
        <f>IFERROR(__xludf.DUMMYFUNCTION("""COMPUTED_VALUE"""),"BLACK")</f>
        <v>BLACK</v>
      </c>
      <c r="G2625" s="28" t="str">
        <f>IFERROR(__xludf.DUMMYFUNCTION("""COMPUTED_VALUE"""),"First Times a Charm Cider")</f>
        <v>First Times a Charm Cider</v>
      </c>
      <c r="H2625" s="27" t="str">
        <f>IFERROR(__xludf.DUMMYFUNCTION("""COMPUTED_VALUE"""),"")</f>
        <v/>
      </c>
    </row>
    <row r="2626">
      <c r="A2626" s="17"/>
      <c r="B2626" s="23"/>
      <c r="C2626" s="17">
        <f>IFERROR(__xludf.DUMMYFUNCTION("""COMPUTED_VALUE"""),43524.6500492013)</f>
        <v>43524.65005</v>
      </c>
      <c r="D2626" s="23">
        <f>IFERROR(__xludf.DUMMYFUNCTION("""COMPUTED_VALUE"""),1.072)</f>
        <v>1.072</v>
      </c>
      <c r="E2626" s="24">
        <f>IFERROR(__xludf.DUMMYFUNCTION("""COMPUTED_VALUE"""),66.0)</f>
        <v>66</v>
      </c>
      <c r="F2626" s="27" t="str">
        <f>IFERROR(__xludf.DUMMYFUNCTION("""COMPUTED_VALUE"""),"BLACK")</f>
        <v>BLACK</v>
      </c>
      <c r="G2626" s="28" t="str">
        <f>IFERROR(__xludf.DUMMYFUNCTION("""COMPUTED_VALUE"""),"First Times a Charm Cider")</f>
        <v>First Times a Charm Cider</v>
      </c>
      <c r="H2626" s="27" t="str">
        <f>IFERROR(__xludf.DUMMYFUNCTION("""COMPUTED_VALUE"""),"")</f>
        <v/>
      </c>
    </row>
    <row r="2627">
      <c r="A2627" s="17"/>
      <c r="B2627" s="23"/>
      <c r="C2627" s="17">
        <f>IFERROR(__xludf.DUMMYFUNCTION("""COMPUTED_VALUE"""),43524.6291969328)</f>
        <v>43524.6292</v>
      </c>
      <c r="D2627" s="23">
        <f>IFERROR(__xludf.DUMMYFUNCTION("""COMPUTED_VALUE"""),1.072)</f>
        <v>1.072</v>
      </c>
      <c r="E2627" s="24">
        <f>IFERROR(__xludf.DUMMYFUNCTION("""COMPUTED_VALUE"""),66.0)</f>
        <v>66</v>
      </c>
      <c r="F2627" s="27" t="str">
        <f>IFERROR(__xludf.DUMMYFUNCTION("""COMPUTED_VALUE"""),"BLACK")</f>
        <v>BLACK</v>
      </c>
      <c r="G2627" s="28" t="str">
        <f>IFERROR(__xludf.DUMMYFUNCTION("""COMPUTED_VALUE"""),"First Times a Charm Cider")</f>
        <v>First Times a Charm Cider</v>
      </c>
      <c r="H2627" s="27" t="str">
        <f>IFERROR(__xludf.DUMMYFUNCTION("""COMPUTED_VALUE"""),"")</f>
        <v/>
      </c>
    </row>
    <row r="2628">
      <c r="A2628" s="17"/>
      <c r="B2628" s="23"/>
      <c r="C2628" s="17">
        <f>IFERROR(__xludf.DUMMYFUNCTION("""COMPUTED_VALUE"""),43524.6187746412)</f>
        <v>43524.61877</v>
      </c>
      <c r="D2628" s="23">
        <f>IFERROR(__xludf.DUMMYFUNCTION("""COMPUTED_VALUE"""),1.072)</f>
        <v>1.072</v>
      </c>
      <c r="E2628" s="24">
        <f>IFERROR(__xludf.DUMMYFUNCTION("""COMPUTED_VALUE"""),66.0)</f>
        <v>66</v>
      </c>
      <c r="F2628" s="27" t="str">
        <f>IFERROR(__xludf.DUMMYFUNCTION("""COMPUTED_VALUE"""),"BLACK")</f>
        <v>BLACK</v>
      </c>
      <c r="G2628" s="28" t="str">
        <f>IFERROR(__xludf.DUMMYFUNCTION("""COMPUTED_VALUE"""),"First Times a Charm Cider")</f>
        <v>First Times a Charm Cider</v>
      </c>
      <c r="H2628" s="27" t="str">
        <f>IFERROR(__xludf.DUMMYFUNCTION("""COMPUTED_VALUE"""),"")</f>
        <v/>
      </c>
    </row>
    <row r="2629">
      <c r="A2629" s="17"/>
      <c r="B2629" s="23"/>
      <c r="C2629" s="17">
        <f>IFERROR(__xludf.DUMMYFUNCTION("""COMPUTED_VALUE"""),43524.5770647222)</f>
        <v>43524.57706</v>
      </c>
      <c r="D2629" s="23">
        <f>IFERROR(__xludf.DUMMYFUNCTION("""COMPUTED_VALUE"""),1.072)</f>
        <v>1.072</v>
      </c>
      <c r="E2629" s="24">
        <f>IFERROR(__xludf.DUMMYFUNCTION("""COMPUTED_VALUE"""),66.0)</f>
        <v>66</v>
      </c>
      <c r="F2629" s="27" t="str">
        <f>IFERROR(__xludf.DUMMYFUNCTION("""COMPUTED_VALUE"""),"BLACK")</f>
        <v>BLACK</v>
      </c>
      <c r="G2629" s="28" t="str">
        <f>IFERROR(__xludf.DUMMYFUNCTION("""COMPUTED_VALUE"""),"First Times a Charm Cider")</f>
        <v>First Times a Charm Cider</v>
      </c>
      <c r="H2629" s="27" t="str">
        <f>IFERROR(__xludf.DUMMYFUNCTION("""COMPUTED_VALUE"""),"")</f>
        <v/>
      </c>
    </row>
    <row r="2630">
      <c r="A2630" s="17"/>
      <c r="B2630" s="23"/>
      <c r="C2630" s="17">
        <f>IFERROR(__xludf.DUMMYFUNCTION("""COMPUTED_VALUE"""),43524.5666441435)</f>
        <v>43524.56664</v>
      </c>
      <c r="D2630" s="23">
        <f>IFERROR(__xludf.DUMMYFUNCTION("""COMPUTED_VALUE"""),1.073)</f>
        <v>1.073</v>
      </c>
      <c r="E2630" s="24">
        <f>IFERROR(__xludf.DUMMYFUNCTION("""COMPUTED_VALUE"""),66.0)</f>
        <v>66</v>
      </c>
      <c r="F2630" s="27" t="str">
        <f>IFERROR(__xludf.DUMMYFUNCTION("""COMPUTED_VALUE"""),"BLACK")</f>
        <v>BLACK</v>
      </c>
      <c r="G2630" s="28" t="str">
        <f>IFERROR(__xludf.DUMMYFUNCTION("""COMPUTED_VALUE"""),"First Times a Charm Cider")</f>
        <v>First Times a Charm Cider</v>
      </c>
      <c r="H2630" s="27" t="str">
        <f>IFERROR(__xludf.DUMMYFUNCTION("""COMPUTED_VALUE"""),"")</f>
        <v/>
      </c>
    </row>
    <row r="2631">
      <c r="A2631" s="17"/>
      <c r="B2631" s="23"/>
      <c r="C2631" s="17">
        <f>IFERROR(__xludf.DUMMYFUNCTION("""COMPUTED_VALUE"""),43524.5458014814)</f>
        <v>43524.5458</v>
      </c>
      <c r="D2631" s="23">
        <f>IFERROR(__xludf.DUMMYFUNCTION("""COMPUTED_VALUE"""),1.073)</f>
        <v>1.073</v>
      </c>
      <c r="E2631" s="24">
        <f>IFERROR(__xludf.DUMMYFUNCTION("""COMPUTED_VALUE"""),66.0)</f>
        <v>66</v>
      </c>
      <c r="F2631" s="27" t="str">
        <f>IFERROR(__xludf.DUMMYFUNCTION("""COMPUTED_VALUE"""),"BLACK")</f>
        <v>BLACK</v>
      </c>
      <c r="G2631" s="28" t="str">
        <f>IFERROR(__xludf.DUMMYFUNCTION("""COMPUTED_VALUE"""),"First Times a Charm Cider")</f>
        <v>First Times a Charm Cider</v>
      </c>
      <c r="H2631" s="27" t="str">
        <f>IFERROR(__xludf.DUMMYFUNCTION("""COMPUTED_VALUE"""),"")</f>
        <v/>
      </c>
    </row>
    <row r="2632">
      <c r="A2632" s="17"/>
      <c r="B2632" s="23"/>
      <c r="C2632" s="17">
        <f>IFERROR(__xludf.DUMMYFUNCTION("""COMPUTED_VALUE"""),43524.5249588657)</f>
        <v>43524.52496</v>
      </c>
      <c r="D2632" s="23">
        <f>IFERROR(__xludf.DUMMYFUNCTION("""COMPUTED_VALUE"""),1.073)</f>
        <v>1.073</v>
      </c>
      <c r="E2632" s="24">
        <f>IFERROR(__xludf.DUMMYFUNCTION("""COMPUTED_VALUE"""),66.0)</f>
        <v>66</v>
      </c>
      <c r="F2632" s="27" t="str">
        <f>IFERROR(__xludf.DUMMYFUNCTION("""COMPUTED_VALUE"""),"BLACK")</f>
        <v>BLACK</v>
      </c>
      <c r="G2632" s="28" t="str">
        <f>IFERROR(__xludf.DUMMYFUNCTION("""COMPUTED_VALUE"""),"First Times a Charm Cider")</f>
        <v>First Times a Charm Cider</v>
      </c>
      <c r="H2632" s="27" t="str">
        <f>IFERROR(__xludf.DUMMYFUNCTION("""COMPUTED_VALUE"""),"")</f>
        <v/>
      </c>
    </row>
    <row r="2633">
      <c r="A2633" s="17"/>
      <c r="B2633" s="23"/>
      <c r="C2633" s="17">
        <f>IFERROR(__xludf.DUMMYFUNCTION("""COMPUTED_VALUE"""),43524.5145375)</f>
        <v>43524.51454</v>
      </c>
      <c r="D2633" s="23">
        <f>IFERROR(__xludf.DUMMYFUNCTION("""COMPUTED_VALUE"""),1.073)</f>
        <v>1.073</v>
      </c>
      <c r="E2633" s="24">
        <f>IFERROR(__xludf.DUMMYFUNCTION("""COMPUTED_VALUE"""),66.0)</f>
        <v>66</v>
      </c>
      <c r="F2633" s="27" t="str">
        <f>IFERROR(__xludf.DUMMYFUNCTION("""COMPUTED_VALUE"""),"BLACK")</f>
        <v>BLACK</v>
      </c>
      <c r="G2633" s="28" t="str">
        <f>IFERROR(__xludf.DUMMYFUNCTION("""COMPUTED_VALUE"""),"First Times a Charm Cider")</f>
        <v>First Times a Charm Cider</v>
      </c>
      <c r="H2633" s="27" t="str">
        <f>IFERROR(__xludf.DUMMYFUNCTION("""COMPUTED_VALUE"""),"")</f>
        <v/>
      </c>
    </row>
    <row r="2634">
      <c r="A2634" s="17"/>
      <c r="B2634" s="23"/>
      <c r="C2634" s="17">
        <f>IFERROR(__xludf.DUMMYFUNCTION("""COMPUTED_VALUE"""),43524.4936938888)</f>
        <v>43524.49369</v>
      </c>
      <c r="D2634" s="23">
        <f>IFERROR(__xludf.DUMMYFUNCTION("""COMPUTED_VALUE"""),1.072)</f>
        <v>1.072</v>
      </c>
      <c r="E2634" s="24">
        <f>IFERROR(__xludf.DUMMYFUNCTION("""COMPUTED_VALUE"""),66.0)</f>
        <v>66</v>
      </c>
      <c r="F2634" s="27" t="str">
        <f>IFERROR(__xludf.DUMMYFUNCTION("""COMPUTED_VALUE"""),"BLACK")</f>
        <v>BLACK</v>
      </c>
      <c r="G2634" s="28" t="str">
        <f>IFERROR(__xludf.DUMMYFUNCTION("""COMPUTED_VALUE"""),"First Times a Charm Cider")</f>
        <v>First Times a Charm Cider</v>
      </c>
      <c r="H2634" s="27" t="str">
        <f>IFERROR(__xludf.DUMMYFUNCTION("""COMPUTED_VALUE"""),"")</f>
        <v/>
      </c>
    </row>
    <row r="2635">
      <c r="A2635" s="17"/>
      <c r="B2635" s="23"/>
      <c r="C2635" s="17">
        <f>IFERROR(__xludf.DUMMYFUNCTION("""COMPUTED_VALUE"""),43524.4832736458)</f>
        <v>43524.48327</v>
      </c>
      <c r="D2635" s="23">
        <f>IFERROR(__xludf.DUMMYFUNCTION("""COMPUTED_VALUE"""),1.073)</f>
        <v>1.073</v>
      </c>
      <c r="E2635" s="24">
        <f>IFERROR(__xludf.DUMMYFUNCTION("""COMPUTED_VALUE"""),66.0)</f>
        <v>66</v>
      </c>
      <c r="F2635" s="27" t="str">
        <f>IFERROR(__xludf.DUMMYFUNCTION("""COMPUTED_VALUE"""),"BLACK")</f>
        <v>BLACK</v>
      </c>
      <c r="G2635" s="28" t="str">
        <f>IFERROR(__xludf.DUMMYFUNCTION("""COMPUTED_VALUE"""),"First Times a Charm Cider")</f>
        <v>First Times a Charm Cider</v>
      </c>
      <c r="H2635" s="27" t="str">
        <f>IFERROR(__xludf.DUMMYFUNCTION("""COMPUTED_VALUE"""),"")</f>
        <v/>
      </c>
    </row>
    <row r="2636">
      <c r="A2636" s="17"/>
      <c r="B2636" s="23"/>
      <c r="C2636" s="17">
        <f>IFERROR(__xludf.DUMMYFUNCTION("""COMPUTED_VALUE"""),43524.4728514814)</f>
        <v>43524.47285</v>
      </c>
      <c r="D2636" s="23">
        <f>IFERROR(__xludf.DUMMYFUNCTION("""COMPUTED_VALUE"""),1.073)</f>
        <v>1.073</v>
      </c>
      <c r="E2636" s="24">
        <f>IFERROR(__xludf.DUMMYFUNCTION("""COMPUTED_VALUE"""),66.0)</f>
        <v>66</v>
      </c>
      <c r="F2636" s="27" t="str">
        <f>IFERROR(__xludf.DUMMYFUNCTION("""COMPUTED_VALUE"""),"BLACK")</f>
        <v>BLACK</v>
      </c>
      <c r="G2636" s="28" t="str">
        <f>IFERROR(__xludf.DUMMYFUNCTION("""COMPUTED_VALUE"""),"First Times a Charm Cider")</f>
        <v>First Times a Charm Cider</v>
      </c>
      <c r="H2636" s="27" t="str">
        <f>IFERROR(__xludf.DUMMYFUNCTION("""COMPUTED_VALUE"""),"")</f>
        <v/>
      </c>
    </row>
    <row r="2637">
      <c r="A2637" s="17"/>
      <c r="B2637" s="23"/>
      <c r="C2637" s="17">
        <f>IFERROR(__xludf.DUMMYFUNCTION("""COMPUTED_VALUE"""),43524.3894808333)</f>
        <v>43524.38948</v>
      </c>
      <c r="D2637" s="23">
        <f>IFERROR(__xludf.DUMMYFUNCTION("""COMPUTED_VALUE"""),1.073)</f>
        <v>1.073</v>
      </c>
      <c r="E2637" s="24">
        <f>IFERROR(__xludf.DUMMYFUNCTION("""COMPUTED_VALUE"""),66.0)</f>
        <v>66</v>
      </c>
      <c r="F2637" s="27" t="str">
        <f>IFERROR(__xludf.DUMMYFUNCTION("""COMPUTED_VALUE"""),"BLACK")</f>
        <v>BLACK</v>
      </c>
      <c r="G2637" s="28" t="str">
        <f>IFERROR(__xludf.DUMMYFUNCTION("""COMPUTED_VALUE"""),"First Times a Charm Cider")</f>
        <v>First Times a Charm Cider</v>
      </c>
      <c r="H2637" s="27" t="str">
        <f>IFERROR(__xludf.DUMMYFUNCTION("""COMPUTED_VALUE"""),"")</f>
        <v/>
      </c>
    </row>
    <row r="2638">
      <c r="A2638" s="17"/>
      <c r="B2638" s="23"/>
      <c r="C2638" s="17">
        <f>IFERROR(__xludf.DUMMYFUNCTION("""COMPUTED_VALUE"""),43524.3790594907)</f>
        <v>43524.37906</v>
      </c>
      <c r="D2638" s="23">
        <f>IFERROR(__xludf.DUMMYFUNCTION("""COMPUTED_VALUE"""),1.073)</f>
        <v>1.073</v>
      </c>
      <c r="E2638" s="24">
        <f>IFERROR(__xludf.DUMMYFUNCTION("""COMPUTED_VALUE"""),66.0)</f>
        <v>66</v>
      </c>
      <c r="F2638" s="27" t="str">
        <f>IFERROR(__xludf.DUMMYFUNCTION("""COMPUTED_VALUE"""),"BLACK")</f>
        <v>BLACK</v>
      </c>
      <c r="G2638" s="28" t="str">
        <f>IFERROR(__xludf.DUMMYFUNCTION("""COMPUTED_VALUE"""),"First Times a Charm Cider")</f>
        <v>First Times a Charm Cider</v>
      </c>
      <c r="H2638" s="27" t="str">
        <f>IFERROR(__xludf.DUMMYFUNCTION("""COMPUTED_VALUE"""),"")</f>
        <v/>
      </c>
    </row>
    <row r="2639">
      <c r="A2639" s="17"/>
      <c r="B2639" s="23"/>
      <c r="C2639" s="17">
        <f>IFERROR(__xludf.DUMMYFUNCTION("""COMPUTED_VALUE"""),43524.3686384722)</f>
        <v>43524.36864</v>
      </c>
      <c r="D2639" s="23">
        <f>IFERROR(__xludf.DUMMYFUNCTION("""COMPUTED_VALUE"""),1.073)</f>
        <v>1.073</v>
      </c>
      <c r="E2639" s="24">
        <f>IFERROR(__xludf.DUMMYFUNCTION("""COMPUTED_VALUE"""),66.0)</f>
        <v>66</v>
      </c>
      <c r="F2639" s="27" t="str">
        <f>IFERROR(__xludf.DUMMYFUNCTION("""COMPUTED_VALUE"""),"BLACK")</f>
        <v>BLACK</v>
      </c>
      <c r="G2639" s="28" t="str">
        <f>IFERROR(__xludf.DUMMYFUNCTION("""COMPUTED_VALUE"""),"First Times a Charm Cider")</f>
        <v>First Times a Charm Cider</v>
      </c>
      <c r="H2639" s="27" t="str">
        <f>IFERROR(__xludf.DUMMYFUNCTION("""COMPUTED_VALUE"""),"")</f>
        <v/>
      </c>
    </row>
    <row r="2640">
      <c r="A2640" s="17"/>
      <c r="B2640" s="23"/>
      <c r="C2640" s="17">
        <f>IFERROR(__xludf.DUMMYFUNCTION("""COMPUTED_VALUE"""),43524.3477984027)</f>
        <v>43524.3478</v>
      </c>
      <c r="D2640" s="23">
        <f>IFERROR(__xludf.DUMMYFUNCTION("""COMPUTED_VALUE"""),1.073)</f>
        <v>1.073</v>
      </c>
      <c r="E2640" s="24">
        <f>IFERROR(__xludf.DUMMYFUNCTION("""COMPUTED_VALUE"""),66.0)</f>
        <v>66</v>
      </c>
      <c r="F2640" s="27" t="str">
        <f>IFERROR(__xludf.DUMMYFUNCTION("""COMPUTED_VALUE"""),"BLACK")</f>
        <v>BLACK</v>
      </c>
      <c r="G2640" s="28" t="str">
        <f>IFERROR(__xludf.DUMMYFUNCTION("""COMPUTED_VALUE"""),"First Times a Charm Cider")</f>
        <v>First Times a Charm Cider</v>
      </c>
      <c r="H2640" s="27" t="str">
        <f>IFERROR(__xludf.DUMMYFUNCTION("""COMPUTED_VALUE"""),"")</f>
        <v/>
      </c>
    </row>
    <row r="2641">
      <c r="A2641" s="17"/>
      <c r="B2641" s="23"/>
      <c r="C2641" s="17">
        <f>IFERROR(__xludf.DUMMYFUNCTION("""COMPUTED_VALUE"""),43524.3373750115)</f>
        <v>43524.33738</v>
      </c>
      <c r="D2641" s="23">
        <f>IFERROR(__xludf.DUMMYFUNCTION("""COMPUTED_VALUE"""),1.073)</f>
        <v>1.073</v>
      </c>
      <c r="E2641" s="24">
        <f>IFERROR(__xludf.DUMMYFUNCTION("""COMPUTED_VALUE"""),66.0)</f>
        <v>66</v>
      </c>
      <c r="F2641" s="27" t="str">
        <f>IFERROR(__xludf.DUMMYFUNCTION("""COMPUTED_VALUE"""),"BLACK")</f>
        <v>BLACK</v>
      </c>
      <c r="G2641" s="28" t="str">
        <f>IFERROR(__xludf.DUMMYFUNCTION("""COMPUTED_VALUE"""),"First Times a Charm Cider")</f>
        <v>First Times a Charm Cider</v>
      </c>
      <c r="H2641" s="27" t="str">
        <f>IFERROR(__xludf.DUMMYFUNCTION("""COMPUTED_VALUE"""),"")</f>
        <v/>
      </c>
    </row>
    <row r="2642">
      <c r="A2642" s="17"/>
      <c r="B2642" s="23"/>
      <c r="C2642" s="17">
        <f>IFERROR(__xludf.DUMMYFUNCTION("""COMPUTED_VALUE"""),43524.3061101504)</f>
        <v>43524.30611</v>
      </c>
      <c r="D2642" s="23">
        <f>IFERROR(__xludf.DUMMYFUNCTION("""COMPUTED_VALUE"""),1.073)</f>
        <v>1.073</v>
      </c>
      <c r="E2642" s="24">
        <f>IFERROR(__xludf.DUMMYFUNCTION("""COMPUTED_VALUE"""),66.0)</f>
        <v>66</v>
      </c>
      <c r="F2642" s="27" t="str">
        <f>IFERROR(__xludf.DUMMYFUNCTION("""COMPUTED_VALUE"""),"BLACK")</f>
        <v>BLACK</v>
      </c>
      <c r="G2642" s="28" t="str">
        <f>IFERROR(__xludf.DUMMYFUNCTION("""COMPUTED_VALUE"""),"First Times a Charm Cider")</f>
        <v>First Times a Charm Cider</v>
      </c>
      <c r="H2642" s="27" t="str">
        <f>IFERROR(__xludf.DUMMYFUNCTION("""COMPUTED_VALUE"""),"")</f>
        <v/>
      </c>
    </row>
    <row r="2643">
      <c r="A2643" s="17"/>
      <c r="B2643" s="23"/>
      <c r="C2643" s="17">
        <f>IFERROR(__xludf.DUMMYFUNCTION("""COMPUTED_VALUE"""),43524.29568728)</f>
        <v>43524.29569</v>
      </c>
      <c r="D2643" s="23">
        <f>IFERROR(__xludf.DUMMYFUNCTION("""COMPUTED_VALUE"""),1.073)</f>
        <v>1.073</v>
      </c>
      <c r="E2643" s="24">
        <f>IFERROR(__xludf.DUMMYFUNCTION("""COMPUTED_VALUE"""),66.0)</f>
        <v>66</v>
      </c>
      <c r="F2643" s="27" t="str">
        <f>IFERROR(__xludf.DUMMYFUNCTION("""COMPUTED_VALUE"""),"BLACK")</f>
        <v>BLACK</v>
      </c>
      <c r="G2643" s="28" t="str">
        <f>IFERROR(__xludf.DUMMYFUNCTION("""COMPUTED_VALUE"""),"First Times a Charm Cider")</f>
        <v>First Times a Charm Cider</v>
      </c>
      <c r="H2643" s="27" t="str">
        <f>IFERROR(__xludf.DUMMYFUNCTION("""COMPUTED_VALUE"""),"")</f>
        <v/>
      </c>
    </row>
    <row r="2644">
      <c r="A2644" s="17"/>
      <c r="B2644" s="23"/>
      <c r="C2644" s="17">
        <f>IFERROR(__xludf.DUMMYFUNCTION("""COMPUTED_VALUE"""),43524.2331585648)</f>
        <v>43524.23316</v>
      </c>
      <c r="D2644" s="23">
        <f>IFERROR(__xludf.DUMMYFUNCTION("""COMPUTED_VALUE"""),1.073)</f>
        <v>1.073</v>
      </c>
      <c r="E2644" s="24">
        <f>IFERROR(__xludf.DUMMYFUNCTION("""COMPUTED_VALUE"""),66.0)</f>
        <v>66</v>
      </c>
      <c r="F2644" s="27" t="str">
        <f>IFERROR(__xludf.DUMMYFUNCTION("""COMPUTED_VALUE"""),"BLACK")</f>
        <v>BLACK</v>
      </c>
      <c r="G2644" s="28" t="str">
        <f>IFERROR(__xludf.DUMMYFUNCTION("""COMPUTED_VALUE"""),"First Times a Charm Cider")</f>
        <v>First Times a Charm Cider</v>
      </c>
      <c r="H2644" s="27" t="str">
        <f>IFERROR(__xludf.DUMMYFUNCTION("""COMPUTED_VALUE"""),"")</f>
        <v/>
      </c>
    </row>
    <row r="2645">
      <c r="A2645" s="17"/>
      <c r="B2645" s="23"/>
      <c r="C2645" s="17">
        <f>IFERROR(__xludf.DUMMYFUNCTION("""COMPUTED_VALUE"""),43524.2227373842)</f>
        <v>43524.22274</v>
      </c>
      <c r="D2645" s="23">
        <f>IFERROR(__xludf.DUMMYFUNCTION("""COMPUTED_VALUE"""),1.074)</f>
        <v>1.074</v>
      </c>
      <c r="E2645" s="24">
        <f>IFERROR(__xludf.DUMMYFUNCTION("""COMPUTED_VALUE"""),67.0)</f>
        <v>67</v>
      </c>
      <c r="F2645" s="27" t="str">
        <f>IFERROR(__xludf.DUMMYFUNCTION("""COMPUTED_VALUE"""),"BLACK")</f>
        <v>BLACK</v>
      </c>
      <c r="G2645" s="28" t="str">
        <f>IFERROR(__xludf.DUMMYFUNCTION("""COMPUTED_VALUE"""),"First Times a Charm Cider")</f>
        <v>First Times a Charm Cider</v>
      </c>
      <c r="H2645" s="27" t="str">
        <f>IFERROR(__xludf.DUMMYFUNCTION("""COMPUTED_VALUE"""),"")</f>
        <v/>
      </c>
    </row>
    <row r="2646">
      <c r="A2646" s="17"/>
      <c r="B2646" s="23"/>
      <c r="C2646" s="17">
        <f>IFERROR(__xludf.DUMMYFUNCTION("""COMPUTED_VALUE"""),43524.2018846759)</f>
        <v>43524.20188</v>
      </c>
      <c r="D2646" s="23">
        <f>IFERROR(__xludf.DUMMYFUNCTION("""COMPUTED_VALUE"""),1.074)</f>
        <v>1.074</v>
      </c>
      <c r="E2646" s="24">
        <f>IFERROR(__xludf.DUMMYFUNCTION("""COMPUTED_VALUE"""),66.0)</f>
        <v>66</v>
      </c>
      <c r="F2646" s="27" t="str">
        <f>IFERROR(__xludf.DUMMYFUNCTION("""COMPUTED_VALUE"""),"BLACK")</f>
        <v>BLACK</v>
      </c>
      <c r="G2646" s="28" t="str">
        <f>IFERROR(__xludf.DUMMYFUNCTION("""COMPUTED_VALUE"""),"First Times a Charm Cider")</f>
        <v>First Times a Charm Cider</v>
      </c>
      <c r="H2646" s="27" t="str">
        <f>IFERROR(__xludf.DUMMYFUNCTION("""COMPUTED_VALUE"""),"")</f>
        <v/>
      </c>
    </row>
    <row r="2647">
      <c r="A2647" s="17"/>
      <c r="B2647" s="23"/>
      <c r="C2647" s="17">
        <f>IFERROR(__xludf.DUMMYFUNCTION("""COMPUTED_VALUE"""),43524.1914510995)</f>
        <v>43524.19145</v>
      </c>
      <c r="D2647" s="23">
        <f>IFERROR(__xludf.DUMMYFUNCTION("""COMPUTED_VALUE"""),1.074)</f>
        <v>1.074</v>
      </c>
      <c r="E2647" s="24">
        <f>IFERROR(__xludf.DUMMYFUNCTION("""COMPUTED_VALUE"""),66.0)</f>
        <v>66</v>
      </c>
      <c r="F2647" s="27" t="str">
        <f>IFERROR(__xludf.DUMMYFUNCTION("""COMPUTED_VALUE"""),"BLACK")</f>
        <v>BLACK</v>
      </c>
      <c r="G2647" s="28" t="str">
        <f>IFERROR(__xludf.DUMMYFUNCTION("""COMPUTED_VALUE"""),"First Times a Charm Cider")</f>
        <v>First Times a Charm Cider</v>
      </c>
      <c r="H2647" s="27" t="str">
        <f>IFERROR(__xludf.DUMMYFUNCTION("""COMPUTED_VALUE"""),"")</f>
        <v/>
      </c>
    </row>
    <row r="2648">
      <c r="A2648" s="17"/>
      <c r="B2648" s="23"/>
      <c r="C2648" s="17">
        <f>IFERROR(__xludf.DUMMYFUNCTION("""COMPUTED_VALUE"""),43524.1810290972)</f>
        <v>43524.18103</v>
      </c>
      <c r="D2648" s="23">
        <f>IFERROR(__xludf.DUMMYFUNCTION("""COMPUTED_VALUE"""),1.074)</f>
        <v>1.074</v>
      </c>
      <c r="E2648" s="24">
        <f>IFERROR(__xludf.DUMMYFUNCTION("""COMPUTED_VALUE"""),66.0)</f>
        <v>66</v>
      </c>
      <c r="F2648" s="27" t="str">
        <f>IFERROR(__xludf.DUMMYFUNCTION("""COMPUTED_VALUE"""),"BLACK")</f>
        <v>BLACK</v>
      </c>
      <c r="G2648" s="28" t="str">
        <f>IFERROR(__xludf.DUMMYFUNCTION("""COMPUTED_VALUE"""),"First Times a Charm Cider")</f>
        <v>First Times a Charm Cider</v>
      </c>
      <c r="H2648" s="27" t="str">
        <f>IFERROR(__xludf.DUMMYFUNCTION("""COMPUTED_VALUE"""),"")</f>
        <v/>
      </c>
    </row>
    <row r="2649">
      <c r="A2649" s="17"/>
      <c r="B2649" s="23"/>
      <c r="C2649" s="17">
        <f>IFERROR(__xludf.DUMMYFUNCTION("""COMPUTED_VALUE"""),43524.1706084143)</f>
        <v>43524.17061</v>
      </c>
      <c r="D2649" s="23">
        <f>IFERROR(__xludf.DUMMYFUNCTION("""COMPUTED_VALUE"""),1.074)</f>
        <v>1.074</v>
      </c>
      <c r="E2649" s="24">
        <f>IFERROR(__xludf.DUMMYFUNCTION("""COMPUTED_VALUE"""),66.0)</f>
        <v>66</v>
      </c>
      <c r="F2649" s="27" t="str">
        <f>IFERROR(__xludf.DUMMYFUNCTION("""COMPUTED_VALUE"""),"BLACK")</f>
        <v>BLACK</v>
      </c>
      <c r="G2649" s="28" t="str">
        <f>IFERROR(__xludf.DUMMYFUNCTION("""COMPUTED_VALUE"""),"First Times a Charm Cider")</f>
        <v>First Times a Charm Cider</v>
      </c>
      <c r="H2649" s="27" t="str">
        <f>IFERROR(__xludf.DUMMYFUNCTION("""COMPUTED_VALUE"""),"")</f>
        <v/>
      </c>
    </row>
    <row r="2650">
      <c r="A2650" s="17"/>
      <c r="B2650" s="23"/>
      <c r="C2650" s="17">
        <f>IFERROR(__xludf.DUMMYFUNCTION("""COMPUTED_VALUE"""),43524.160187037)</f>
        <v>43524.16019</v>
      </c>
      <c r="D2650" s="23">
        <f>IFERROR(__xludf.DUMMYFUNCTION("""COMPUTED_VALUE"""),1.074)</f>
        <v>1.074</v>
      </c>
      <c r="E2650" s="24">
        <f>IFERROR(__xludf.DUMMYFUNCTION("""COMPUTED_VALUE"""),66.0)</f>
        <v>66</v>
      </c>
      <c r="F2650" s="27" t="str">
        <f>IFERROR(__xludf.DUMMYFUNCTION("""COMPUTED_VALUE"""),"BLACK")</f>
        <v>BLACK</v>
      </c>
      <c r="G2650" s="28" t="str">
        <f>IFERROR(__xludf.DUMMYFUNCTION("""COMPUTED_VALUE"""),"First Times a Charm Cider")</f>
        <v>First Times a Charm Cider</v>
      </c>
      <c r="H2650" s="27" t="str">
        <f>IFERROR(__xludf.DUMMYFUNCTION("""COMPUTED_VALUE"""),"")</f>
        <v/>
      </c>
    </row>
    <row r="2651">
      <c r="A2651" s="17"/>
      <c r="B2651" s="23"/>
      <c r="C2651" s="17">
        <f>IFERROR(__xludf.DUMMYFUNCTION("""COMPUTED_VALUE"""),43524.1497656712)</f>
        <v>43524.14977</v>
      </c>
      <c r="D2651" s="23">
        <f>IFERROR(__xludf.DUMMYFUNCTION("""COMPUTED_VALUE"""),1.074)</f>
        <v>1.074</v>
      </c>
      <c r="E2651" s="24">
        <f>IFERROR(__xludf.DUMMYFUNCTION("""COMPUTED_VALUE"""),66.0)</f>
        <v>66</v>
      </c>
      <c r="F2651" s="27" t="str">
        <f>IFERROR(__xludf.DUMMYFUNCTION("""COMPUTED_VALUE"""),"BLACK")</f>
        <v>BLACK</v>
      </c>
      <c r="G2651" s="28" t="str">
        <f>IFERROR(__xludf.DUMMYFUNCTION("""COMPUTED_VALUE"""),"First Times a Charm Cider")</f>
        <v>First Times a Charm Cider</v>
      </c>
      <c r="H2651" s="27" t="str">
        <f>IFERROR(__xludf.DUMMYFUNCTION("""COMPUTED_VALUE"""),"")</f>
        <v/>
      </c>
    </row>
    <row r="2652">
      <c r="A2652" s="17"/>
      <c r="B2652" s="23"/>
      <c r="C2652" s="17">
        <f>IFERROR(__xludf.DUMMYFUNCTION("""COMPUTED_VALUE"""),43524.1393346643)</f>
        <v>43524.13933</v>
      </c>
      <c r="D2652" s="23">
        <f>IFERROR(__xludf.DUMMYFUNCTION("""COMPUTED_VALUE"""),1.074)</f>
        <v>1.074</v>
      </c>
      <c r="E2652" s="24">
        <f>IFERROR(__xludf.DUMMYFUNCTION("""COMPUTED_VALUE"""),66.0)</f>
        <v>66</v>
      </c>
      <c r="F2652" s="27" t="str">
        <f>IFERROR(__xludf.DUMMYFUNCTION("""COMPUTED_VALUE"""),"BLACK")</f>
        <v>BLACK</v>
      </c>
      <c r="G2652" s="28" t="str">
        <f>IFERROR(__xludf.DUMMYFUNCTION("""COMPUTED_VALUE"""),"First Times a Charm Cider")</f>
        <v>First Times a Charm Cider</v>
      </c>
      <c r="H2652" s="27" t="str">
        <f>IFERROR(__xludf.DUMMYFUNCTION("""COMPUTED_VALUE"""),"")</f>
        <v/>
      </c>
    </row>
    <row r="2653">
      <c r="A2653" s="17"/>
      <c r="B2653" s="23"/>
      <c r="C2653" s="17">
        <f>IFERROR(__xludf.DUMMYFUNCTION("""COMPUTED_VALUE"""),43524.1184934953)</f>
        <v>43524.11849</v>
      </c>
      <c r="D2653" s="23">
        <f>IFERROR(__xludf.DUMMYFUNCTION("""COMPUTED_VALUE"""),1.074)</f>
        <v>1.074</v>
      </c>
      <c r="E2653" s="24">
        <f>IFERROR(__xludf.DUMMYFUNCTION("""COMPUTED_VALUE"""),66.0)</f>
        <v>66</v>
      </c>
      <c r="F2653" s="27" t="str">
        <f>IFERROR(__xludf.DUMMYFUNCTION("""COMPUTED_VALUE"""),"BLACK")</f>
        <v>BLACK</v>
      </c>
      <c r="G2653" s="28" t="str">
        <f>IFERROR(__xludf.DUMMYFUNCTION("""COMPUTED_VALUE"""),"First Times a Charm Cider")</f>
        <v>First Times a Charm Cider</v>
      </c>
      <c r="H2653" s="27" t="str">
        <f>IFERROR(__xludf.DUMMYFUNCTION("""COMPUTED_VALUE"""),"")</f>
        <v/>
      </c>
    </row>
    <row r="2654">
      <c r="A2654" s="17"/>
      <c r="B2654" s="23"/>
      <c r="C2654" s="17">
        <f>IFERROR(__xludf.DUMMYFUNCTION("""COMPUTED_VALUE"""),43524.0455192476)</f>
        <v>43524.04552</v>
      </c>
      <c r="D2654" s="23">
        <f>IFERROR(__xludf.DUMMYFUNCTION("""COMPUTED_VALUE"""),1.075)</f>
        <v>1.075</v>
      </c>
      <c r="E2654" s="24">
        <f>IFERROR(__xludf.DUMMYFUNCTION("""COMPUTED_VALUE"""),66.0)</f>
        <v>66</v>
      </c>
      <c r="F2654" s="27" t="str">
        <f>IFERROR(__xludf.DUMMYFUNCTION("""COMPUTED_VALUE"""),"BLACK")</f>
        <v>BLACK</v>
      </c>
      <c r="G2654" s="28" t="str">
        <f>IFERROR(__xludf.DUMMYFUNCTION("""COMPUTED_VALUE"""),"First Times a Charm Cider")</f>
        <v>First Times a Charm Cider</v>
      </c>
      <c r="H2654" s="27" t="str">
        <f>IFERROR(__xludf.DUMMYFUNCTION("""COMPUTED_VALUE"""),"")</f>
        <v/>
      </c>
    </row>
    <row r="2655">
      <c r="A2655" s="17"/>
      <c r="B2655" s="23"/>
      <c r="C2655" s="17">
        <f>IFERROR(__xludf.DUMMYFUNCTION("""COMPUTED_VALUE"""),43524.0350984722)</f>
        <v>43524.0351</v>
      </c>
      <c r="D2655" s="23">
        <f>IFERROR(__xludf.DUMMYFUNCTION("""COMPUTED_VALUE"""),1.074)</f>
        <v>1.074</v>
      </c>
      <c r="E2655" s="24">
        <f>IFERROR(__xludf.DUMMYFUNCTION("""COMPUTED_VALUE"""),66.0)</f>
        <v>66</v>
      </c>
      <c r="F2655" s="27" t="str">
        <f>IFERROR(__xludf.DUMMYFUNCTION("""COMPUTED_VALUE"""),"BLACK")</f>
        <v>BLACK</v>
      </c>
      <c r="G2655" s="28" t="str">
        <f>IFERROR(__xludf.DUMMYFUNCTION("""COMPUTED_VALUE"""),"First Times a Charm Cider")</f>
        <v>First Times a Charm Cider</v>
      </c>
      <c r="H2655" s="27" t="str">
        <f>IFERROR(__xludf.DUMMYFUNCTION("""COMPUTED_VALUE"""),"")</f>
        <v/>
      </c>
    </row>
    <row r="2656">
      <c r="A2656" s="17"/>
      <c r="B2656" s="23"/>
      <c r="C2656" s="17">
        <f>IFERROR(__xludf.DUMMYFUNCTION("""COMPUTED_VALUE"""),43524.0142437962)</f>
        <v>43524.01424</v>
      </c>
      <c r="D2656" s="23">
        <f>IFERROR(__xludf.DUMMYFUNCTION("""COMPUTED_VALUE"""),1.074)</f>
        <v>1.074</v>
      </c>
      <c r="E2656" s="24">
        <f>IFERROR(__xludf.DUMMYFUNCTION("""COMPUTED_VALUE"""),66.0)</f>
        <v>66</v>
      </c>
      <c r="F2656" s="27" t="str">
        <f>IFERROR(__xludf.DUMMYFUNCTION("""COMPUTED_VALUE"""),"BLACK")</f>
        <v>BLACK</v>
      </c>
      <c r="G2656" s="28" t="str">
        <f>IFERROR(__xludf.DUMMYFUNCTION("""COMPUTED_VALUE"""),"First Times a Charm Cider")</f>
        <v>First Times a Charm Cider</v>
      </c>
      <c r="H2656" s="27" t="str">
        <f>IFERROR(__xludf.DUMMYFUNCTION("""COMPUTED_VALUE"""),"")</f>
        <v/>
      </c>
    </row>
    <row r="2657">
      <c r="A2657" s="17"/>
      <c r="B2657" s="23"/>
      <c r="C2657" s="17">
        <f>IFERROR(__xludf.DUMMYFUNCTION("""COMPUTED_VALUE"""),43524.0038224652)</f>
        <v>43524.00382</v>
      </c>
      <c r="D2657" s="23">
        <f>IFERROR(__xludf.DUMMYFUNCTION("""COMPUTED_VALUE"""),1.075)</f>
        <v>1.075</v>
      </c>
      <c r="E2657" s="24">
        <f>IFERROR(__xludf.DUMMYFUNCTION("""COMPUTED_VALUE"""),66.0)</f>
        <v>66</v>
      </c>
      <c r="F2657" s="27" t="str">
        <f>IFERROR(__xludf.DUMMYFUNCTION("""COMPUTED_VALUE"""),"BLACK")</f>
        <v>BLACK</v>
      </c>
      <c r="G2657" s="28" t="str">
        <f>IFERROR(__xludf.DUMMYFUNCTION("""COMPUTED_VALUE"""),"First Times a Charm Cider")</f>
        <v>First Times a Charm Cider</v>
      </c>
      <c r="H2657" s="27" t="str">
        <f>IFERROR(__xludf.DUMMYFUNCTION("""COMPUTED_VALUE"""),"")</f>
        <v/>
      </c>
    </row>
    <row r="2658">
      <c r="A2658" s="17"/>
      <c r="B2658" s="23"/>
      <c r="C2658" s="17">
        <f>IFERROR(__xludf.DUMMYFUNCTION("""COMPUTED_VALUE"""),43523.9933775347)</f>
        <v>43523.99338</v>
      </c>
      <c r="D2658" s="23">
        <f>IFERROR(__xludf.DUMMYFUNCTION("""COMPUTED_VALUE"""),1.075)</f>
        <v>1.075</v>
      </c>
      <c r="E2658" s="24">
        <f>IFERROR(__xludf.DUMMYFUNCTION("""COMPUTED_VALUE"""),66.0)</f>
        <v>66</v>
      </c>
      <c r="F2658" s="27" t="str">
        <f>IFERROR(__xludf.DUMMYFUNCTION("""COMPUTED_VALUE"""),"BLACK")</f>
        <v>BLACK</v>
      </c>
      <c r="G2658" s="28" t="str">
        <f>IFERROR(__xludf.DUMMYFUNCTION("""COMPUTED_VALUE"""),"First Times a Charm Cider")</f>
        <v>First Times a Charm Cider</v>
      </c>
      <c r="H2658" s="27" t="str">
        <f>IFERROR(__xludf.DUMMYFUNCTION("""COMPUTED_VALUE"""),"")</f>
        <v/>
      </c>
    </row>
    <row r="2659">
      <c r="A2659" s="17"/>
      <c r="B2659" s="23"/>
      <c r="C2659" s="17">
        <f>IFERROR(__xludf.DUMMYFUNCTION("""COMPUTED_VALUE"""),43523.9829568287)</f>
        <v>43523.98296</v>
      </c>
      <c r="D2659" s="23">
        <f>IFERROR(__xludf.DUMMYFUNCTION("""COMPUTED_VALUE"""),1.075)</f>
        <v>1.075</v>
      </c>
      <c r="E2659" s="24">
        <f>IFERROR(__xludf.DUMMYFUNCTION("""COMPUTED_VALUE"""),66.0)</f>
        <v>66</v>
      </c>
      <c r="F2659" s="27" t="str">
        <f>IFERROR(__xludf.DUMMYFUNCTION("""COMPUTED_VALUE"""),"BLACK")</f>
        <v>BLACK</v>
      </c>
      <c r="G2659" s="28" t="str">
        <f>IFERROR(__xludf.DUMMYFUNCTION("""COMPUTED_VALUE"""),"First Times a Charm Cider")</f>
        <v>First Times a Charm Cider</v>
      </c>
      <c r="H2659" s="27" t="str">
        <f>IFERROR(__xludf.DUMMYFUNCTION("""COMPUTED_VALUE"""),"")</f>
        <v/>
      </c>
    </row>
    <row r="2660">
      <c r="A2660" s="17"/>
      <c r="B2660" s="23"/>
      <c r="C2660" s="17">
        <f>IFERROR(__xludf.DUMMYFUNCTION("""COMPUTED_VALUE"""),43523.9621119444)</f>
        <v>43523.96211</v>
      </c>
      <c r="D2660" s="23">
        <f>IFERROR(__xludf.DUMMYFUNCTION("""COMPUTED_VALUE"""),1.075)</f>
        <v>1.075</v>
      </c>
      <c r="E2660" s="24">
        <f>IFERROR(__xludf.DUMMYFUNCTION("""COMPUTED_VALUE"""),66.0)</f>
        <v>66</v>
      </c>
      <c r="F2660" s="27" t="str">
        <f>IFERROR(__xludf.DUMMYFUNCTION("""COMPUTED_VALUE"""),"BLACK")</f>
        <v>BLACK</v>
      </c>
      <c r="G2660" s="28" t="str">
        <f>IFERROR(__xludf.DUMMYFUNCTION("""COMPUTED_VALUE"""),"First Times a Charm Cider")</f>
        <v>First Times a Charm Cider</v>
      </c>
      <c r="H2660" s="27" t="str">
        <f>IFERROR(__xludf.DUMMYFUNCTION("""COMPUTED_VALUE"""),"")</f>
        <v/>
      </c>
    </row>
    <row r="2661">
      <c r="A2661" s="17"/>
      <c r="B2661" s="23"/>
      <c r="C2661" s="17">
        <f>IFERROR(__xludf.DUMMYFUNCTION("""COMPUTED_VALUE"""),43523.930850243)</f>
        <v>43523.93085</v>
      </c>
      <c r="D2661" s="23">
        <f>IFERROR(__xludf.DUMMYFUNCTION("""COMPUTED_VALUE"""),1.075)</f>
        <v>1.075</v>
      </c>
      <c r="E2661" s="24">
        <f>IFERROR(__xludf.DUMMYFUNCTION("""COMPUTED_VALUE"""),66.0)</f>
        <v>66</v>
      </c>
      <c r="F2661" s="27" t="str">
        <f>IFERROR(__xludf.DUMMYFUNCTION("""COMPUTED_VALUE"""),"BLACK")</f>
        <v>BLACK</v>
      </c>
      <c r="G2661" s="28" t="str">
        <f>IFERROR(__xludf.DUMMYFUNCTION("""COMPUTED_VALUE"""),"First Times a Charm Cider")</f>
        <v>First Times a Charm Cider</v>
      </c>
      <c r="H2661" s="27" t="str">
        <f>IFERROR(__xludf.DUMMYFUNCTION("""COMPUTED_VALUE"""),"")</f>
        <v/>
      </c>
    </row>
    <row r="2662">
      <c r="A2662" s="17"/>
      <c r="B2662" s="23"/>
      <c r="C2662" s="17">
        <f>IFERROR(__xludf.DUMMYFUNCTION("""COMPUTED_VALUE"""),43523.920416956)</f>
        <v>43523.92042</v>
      </c>
      <c r="D2662" s="23">
        <f>IFERROR(__xludf.DUMMYFUNCTION("""COMPUTED_VALUE"""),1.075)</f>
        <v>1.075</v>
      </c>
      <c r="E2662" s="24">
        <f>IFERROR(__xludf.DUMMYFUNCTION("""COMPUTED_VALUE"""),66.0)</f>
        <v>66</v>
      </c>
      <c r="F2662" s="27" t="str">
        <f>IFERROR(__xludf.DUMMYFUNCTION("""COMPUTED_VALUE"""),"BLACK")</f>
        <v>BLACK</v>
      </c>
      <c r="G2662" s="28" t="str">
        <f>IFERROR(__xludf.DUMMYFUNCTION("""COMPUTED_VALUE"""),"First Times a Charm Cider")</f>
        <v>First Times a Charm Cider</v>
      </c>
      <c r="H2662" s="27" t="str">
        <f>IFERROR(__xludf.DUMMYFUNCTION("""COMPUTED_VALUE"""),"")</f>
        <v/>
      </c>
    </row>
    <row r="2663">
      <c r="A2663" s="17"/>
      <c r="B2663" s="23"/>
      <c r="C2663" s="17">
        <f>IFERROR(__xludf.DUMMYFUNCTION("""COMPUTED_VALUE"""),43523.9099956828)</f>
        <v>43523.91</v>
      </c>
      <c r="D2663" s="23">
        <f>IFERROR(__xludf.DUMMYFUNCTION("""COMPUTED_VALUE"""),1.075)</f>
        <v>1.075</v>
      </c>
      <c r="E2663" s="24">
        <f>IFERROR(__xludf.DUMMYFUNCTION("""COMPUTED_VALUE"""),66.0)</f>
        <v>66</v>
      </c>
      <c r="F2663" s="27" t="str">
        <f>IFERROR(__xludf.DUMMYFUNCTION("""COMPUTED_VALUE"""),"BLACK")</f>
        <v>BLACK</v>
      </c>
      <c r="G2663" s="28" t="str">
        <f>IFERROR(__xludf.DUMMYFUNCTION("""COMPUTED_VALUE"""),"First Times a Charm Cider")</f>
        <v>First Times a Charm Cider</v>
      </c>
      <c r="H2663" s="27" t="str">
        <f>IFERROR(__xludf.DUMMYFUNCTION("""COMPUTED_VALUE"""),"")</f>
        <v/>
      </c>
    </row>
    <row r="2664">
      <c r="A2664" s="17"/>
      <c r="B2664" s="23"/>
      <c r="C2664" s="17">
        <f>IFERROR(__xludf.DUMMYFUNCTION("""COMPUTED_VALUE"""),43523.8682978703)</f>
        <v>43523.8683</v>
      </c>
      <c r="D2664" s="23">
        <f>IFERROR(__xludf.DUMMYFUNCTION("""COMPUTED_VALUE"""),1.075)</f>
        <v>1.075</v>
      </c>
      <c r="E2664" s="24">
        <f>IFERROR(__xludf.DUMMYFUNCTION("""COMPUTED_VALUE"""),66.0)</f>
        <v>66</v>
      </c>
      <c r="F2664" s="27" t="str">
        <f>IFERROR(__xludf.DUMMYFUNCTION("""COMPUTED_VALUE"""),"BLACK")</f>
        <v>BLACK</v>
      </c>
      <c r="G2664" s="28" t="str">
        <f>IFERROR(__xludf.DUMMYFUNCTION("""COMPUTED_VALUE"""),"First Times a Charm Cider")</f>
        <v>First Times a Charm Cider</v>
      </c>
      <c r="H2664" s="27" t="str">
        <f>IFERROR(__xludf.DUMMYFUNCTION("""COMPUTED_VALUE"""),"")</f>
        <v/>
      </c>
    </row>
    <row r="2665">
      <c r="A2665" s="17"/>
      <c r="B2665" s="23"/>
      <c r="C2665" s="17">
        <f>IFERROR(__xludf.DUMMYFUNCTION("""COMPUTED_VALUE"""),43523.8578749189)</f>
        <v>43523.85787</v>
      </c>
      <c r="D2665" s="23">
        <f>IFERROR(__xludf.DUMMYFUNCTION("""COMPUTED_VALUE"""),1.075)</f>
        <v>1.075</v>
      </c>
      <c r="E2665" s="24">
        <f>IFERROR(__xludf.DUMMYFUNCTION("""COMPUTED_VALUE"""),66.0)</f>
        <v>66</v>
      </c>
      <c r="F2665" s="27" t="str">
        <f>IFERROR(__xludf.DUMMYFUNCTION("""COMPUTED_VALUE"""),"BLACK")</f>
        <v>BLACK</v>
      </c>
      <c r="G2665" s="28" t="str">
        <f>IFERROR(__xludf.DUMMYFUNCTION("""COMPUTED_VALUE"""),"First Times a Charm Cider")</f>
        <v>First Times a Charm Cider</v>
      </c>
      <c r="H2665" s="27" t="str">
        <f>IFERROR(__xludf.DUMMYFUNCTION("""COMPUTED_VALUE"""),"")</f>
        <v/>
      </c>
    </row>
    <row r="2666">
      <c r="A2666" s="17"/>
      <c r="B2666" s="23"/>
      <c r="C2666" s="17">
        <f>IFERROR(__xludf.DUMMYFUNCTION("""COMPUTED_VALUE"""),43523.8474532638)</f>
        <v>43523.84745</v>
      </c>
      <c r="D2666" s="23">
        <f>IFERROR(__xludf.DUMMYFUNCTION("""COMPUTED_VALUE"""),1.075)</f>
        <v>1.075</v>
      </c>
      <c r="E2666" s="24">
        <f>IFERROR(__xludf.DUMMYFUNCTION("""COMPUTED_VALUE"""),66.0)</f>
        <v>66</v>
      </c>
      <c r="F2666" s="27" t="str">
        <f>IFERROR(__xludf.DUMMYFUNCTION("""COMPUTED_VALUE"""),"BLACK")</f>
        <v>BLACK</v>
      </c>
      <c r="G2666" s="28" t="str">
        <f>IFERROR(__xludf.DUMMYFUNCTION("""COMPUTED_VALUE"""),"First Times a Charm Cider")</f>
        <v>First Times a Charm Cider</v>
      </c>
      <c r="H2666" s="27" t="str">
        <f>IFERROR(__xludf.DUMMYFUNCTION("""COMPUTED_VALUE"""),"")</f>
        <v/>
      </c>
    </row>
    <row r="2667">
      <c r="A2667" s="17"/>
      <c r="B2667" s="23"/>
      <c r="C2667" s="17">
        <f>IFERROR(__xludf.DUMMYFUNCTION("""COMPUTED_VALUE"""),43523.8370323495)</f>
        <v>43523.83703</v>
      </c>
      <c r="D2667" s="23">
        <f>IFERROR(__xludf.DUMMYFUNCTION("""COMPUTED_VALUE"""),1.075)</f>
        <v>1.075</v>
      </c>
      <c r="E2667" s="24">
        <f>IFERROR(__xludf.DUMMYFUNCTION("""COMPUTED_VALUE"""),66.0)</f>
        <v>66</v>
      </c>
      <c r="F2667" s="27" t="str">
        <f>IFERROR(__xludf.DUMMYFUNCTION("""COMPUTED_VALUE"""),"BLACK")</f>
        <v>BLACK</v>
      </c>
      <c r="G2667" s="28" t="str">
        <f>IFERROR(__xludf.DUMMYFUNCTION("""COMPUTED_VALUE"""),"First Times a Charm Cider")</f>
        <v>First Times a Charm Cider</v>
      </c>
      <c r="H2667" s="27" t="str">
        <f>IFERROR(__xludf.DUMMYFUNCTION("""COMPUTED_VALUE"""),"")</f>
        <v/>
      </c>
    </row>
    <row r="2668">
      <c r="A2668" s="17"/>
      <c r="B2668" s="23"/>
      <c r="C2668" s="17">
        <f>IFERROR(__xludf.DUMMYFUNCTION("""COMPUTED_VALUE"""),43523.8266113541)</f>
        <v>43523.82661</v>
      </c>
      <c r="D2668" s="23">
        <f>IFERROR(__xludf.DUMMYFUNCTION("""COMPUTED_VALUE"""),1.075)</f>
        <v>1.075</v>
      </c>
      <c r="E2668" s="24">
        <f>IFERROR(__xludf.DUMMYFUNCTION("""COMPUTED_VALUE"""),66.0)</f>
        <v>66</v>
      </c>
      <c r="F2668" s="27" t="str">
        <f>IFERROR(__xludf.DUMMYFUNCTION("""COMPUTED_VALUE"""),"BLACK")</f>
        <v>BLACK</v>
      </c>
      <c r="G2668" s="28" t="str">
        <f>IFERROR(__xludf.DUMMYFUNCTION("""COMPUTED_VALUE"""),"First Times a Charm Cider")</f>
        <v>First Times a Charm Cider</v>
      </c>
      <c r="H2668" s="27" t="str">
        <f>IFERROR(__xludf.DUMMYFUNCTION("""COMPUTED_VALUE"""),"")</f>
        <v/>
      </c>
    </row>
    <row r="2669">
      <c r="A2669" s="17"/>
      <c r="B2669" s="23"/>
      <c r="C2669" s="17">
        <f>IFERROR(__xludf.DUMMYFUNCTION("""COMPUTED_VALUE"""),43523.8161896874)</f>
        <v>43523.81619</v>
      </c>
      <c r="D2669" s="23">
        <f>IFERROR(__xludf.DUMMYFUNCTION("""COMPUTED_VALUE"""),1.075)</f>
        <v>1.075</v>
      </c>
      <c r="E2669" s="24">
        <f>IFERROR(__xludf.DUMMYFUNCTION("""COMPUTED_VALUE"""),66.0)</f>
        <v>66</v>
      </c>
      <c r="F2669" s="27" t="str">
        <f>IFERROR(__xludf.DUMMYFUNCTION("""COMPUTED_VALUE"""),"BLACK")</f>
        <v>BLACK</v>
      </c>
      <c r="G2669" s="28" t="str">
        <f>IFERROR(__xludf.DUMMYFUNCTION("""COMPUTED_VALUE"""),"First Times a Charm Cider")</f>
        <v>First Times a Charm Cider</v>
      </c>
      <c r="H2669" s="27" t="str">
        <f>IFERROR(__xludf.DUMMYFUNCTION("""COMPUTED_VALUE"""),"")</f>
        <v/>
      </c>
    </row>
    <row r="2670">
      <c r="A2670" s="17"/>
      <c r="B2670" s="23"/>
      <c r="C2670" s="17">
        <f>IFERROR(__xludf.DUMMYFUNCTION("""COMPUTED_VALUE"""),43523.8057679282)</f>
        <v>43523.80577</v>
      </c>
      <c r="D2670" s="23">
        <f>IFERROR(__xludf.DUMMYFUNCTION("""COMPUTED_VALUE"""),1.076)</f>
        <v>1.076</v>
      </c>
      <c r="E2670" s="24">
        <f>IFERROR(__xludf.DUMMYFUNCTION("""COMPUTED_VALUE"""),66.0)</f>
        <v>66</v>
      </c>
      <c r="F2670" s="27" t="str">
        <f>IFERROR(__xludf.DUMMYFUNCTION("""COMPUTED_VALUE"""),"BLACK")</f>
        <v>BLACK</v>
      </c>
      <c r="G2670" s="28" t="str">
        <f>IFERROR(__xludf.DUMMYFUNCTION("""COMPUTED_VALUE"""),"First Times a Charm Cider")</f>
        <v>First Times a Charm Cider</v>
      </c>
      <c r="H2670" s="27" t="str">
        <f>IFERROR(__xludf.DUMMYFUNCTION("""COMPUTED_VALUE"""),"")</f>
        <v/>
      </c>
    </row>
    <row r="2671">
      <c r="A2671" s="17"/>
      <c r="B2671" s="23"/>
      <c r="C2671" s="17">
        <f>IFERROR(__xludf.DUMMYFUNCTION("""COMPUTED_VALUE"""),43523.7744604513)</f>
        <v>43523.77446</v>
      </c>
      <c r="D2671" s="23">
        <f>IFERROR(__xludf.DUMMYFUNCTION("""COMPUTED_VALUE"""),1.075)</f>
        <v>1.075</v>
      </c>
      <c r="E2671" s="24">
        <f>IFERROR(__xludf.DUMMYFUNCTION("""COMPUTED_VALUE"""),66.0)</f>
        <v>66</v>
      </c>
      <c r="F2671" s="27" t="str">
        <f>IFERROR(__xludf.DUMMYFUNCTION("""COMPUTED_VALUE"""),"BLACK")</f>
        <v>BLACK</v>
      </c>
      <c r="G2671" s="28" t="str">
        <f>IFERROR(__xludf.DUMMYFUNCTION("""COMPUTED_VALUE"""),"First Times a Charm Cider")</f>
        <v>First Times a Charm Cider</v>
      </c>
      <c r="H2671" s="27" t="str">
        <f>IFERROR(__xludf.DUMMYFUNCTION("""COMPUTED_VALUE"""),"")</f>
        <v/>
      </c>
    </row>
    <row r="2672">
      <c r="A2672" s="17"/>
      <c r="B2672" s="23"/>
      <c r="C2672" s="17">
        <f>IFERROR(__xludf.DUMMYFUNCTION("""COMPUTED_VALUE"""),43523.7640380324)</f>
        <v>43523.76404</v>
      </c>
      <c r="D2672" s="23">
        <f>IFERROR(__xludf.DUMMYFUNCTION("""COMPUTED_VALUE"""),1.075)</f>
        <v>1.075</v>
      </c>
      <c r="E2672" s="24">
        <f>IFERROR(__xludf.DUMMYFUNCTION("""COMPUTED_VALUE"""),66.0)</f>
        <v>66</v>
      </c>
      <c r="F2672" s="27" t="str">
        <f>IFERROR(__xludf.DUMMYFUNCTION("""COMPUTED_VALUE"""),"BLACK")</f>
        <v>BLACK</v>
      </c>
      <c r="G2672" s="28" t="str">
        <f>IFERROR(__xludf.DUMMYFUNCTION("""COMPUTED_VALUE"""),"First Times a Charm Cider")</f>
        <v>First Times a Charm Cider</v>
      </c>
      <c r="H2672" s="27" t="str">
        <f>IFERROR(__xludf.DUMMYFUNCTION("""COMPUTED_VALUE"""),"")</f>
        <v/>
      </c>
    </row>
    <row r="2673">
      <c r="A2673" s="17"/>
      <c r="B2673" s="23"/>
      <c r="C2673" s="17">
        <f>IFERROR(__xludf.DUMMYFUNCTION("""COMPUTED_VALUE"""),43523.7536192245)</f>
        <v>43523.75362</v>
      </c>
      <c r="D2673" s="23">
        <f>IFERROR(__xludf.DUMMYFUNCTION("""COMPUTED_VALUE"""),1.076)</f>
        <v>1.076</v>
      </c>
      <c r="E2673" s="24">
        <f>IFERROR(__xludf.DUMMYFUNCTION("""COMPUTED_VALUE"""),66.0)</f>
        <v>66</v>
      </c>
      <c r="F2673" s="27" t="str">
        <f>IFERROR(__xludf.DUMMYFUNCTION("""COMPUTED_VALUE"""),"BLACK")</f>
        <v>BLACK</v>
      </c>
      <c r="G2673" s="28" t="str">
        <f>IFERROR(__xludf.DUMMYFUNCTION("""COMPUTED_VALUE"""),"First Times a Charm Cider")</f>
        <v>First Times a Charm Cider</v>
      </c>
      <c r="H2673" s="27" t="str">
        <f>IFERROR(__xludf.DUMMYFUNCTION("""COMPUTED_VALUE"""),"")</f>
        <v/>
      </c>
    </row>
    <row r="2674">
      <c r="A2674" s="17"/>
      <c r="B2674" s="23"/>
      <c r="C2674" s="17">
        <f>IFERROR(__xludf.DUMMYFUNCTION("""COMPUTED_VALUE"""),43523.7223453472)</f>
        <v>43523.72235</v>
      </c>
      <c r="D2674" s="23">
        <f>IFERROR(__xludf.DUMMYFUNCTION("""COMPUTED_VALUE"""),1.076)</f>
        <v>1.076</v>
      </c>
      <c r="E2674" s="24">
        <f>IFERROR(__xludf.DUMMYFUNCTION("""COMPUTED_VALUE"""),66.0)</f>
        <v>66</v>
      </c>
      <c r="F2674" s="27" t="str">
        <f>IFERROR(__xludf.DUMMYFUNCTION("""COMPUTED_VALUE"""),"BLACK")</f>
        <v>BLACK</v>
      </c>
      <c r="G2674" s="28" t="str">
        <f>IFERROR(__xludf.DUMMYFUNCTION("""COMPUTED_VALUE"""),"First Times a Charm Cider")</f>
        <v>First Times a Charm Cider</v>
      </c>
      <c r="H2674" s="27" t="str">
        <f>IFERROR(__xludf.DUMMYFUNCTION("""COMPUTED_VALUE"""),"")</f>
        <v/>
      </c>
    </row>
    <row r="2675">
      <c r="A2675" s="17"/>
      <c r="B2675" s="23"/>
      <c r="C2675" s="17">
        <f>IFERROR(__xludf.DUMMYFUNCTION("""COMPUTED_VALUE"""),43523.7014759606)</f>
        <v>43523.70148</v>
      </c>
      <c r="D2675" s="23">
        <f>IFERROR(__xludf.DUMMYFUNCTION("""COMPUTED_VALUE"""),1.076)</f>
        <v>1.076</v>
      </c>
      <c r="E2675" s="24">
        <f>IFERROR(__xludf.DUMMYFUNCTION("""COMPUTED_VALUE"""),66.0)</f>
        <v>66</v>
      </c>
      <c r="F2675" s="27" t="str">
        <f>IFERROR(__xludf.DUMMYFUNCTION("""COMPUTED_VALUE"""),"BLACK")</f>
        <v>BLACK</v>
      </c>
      <c r="G2675" s="28" t="str">
        <f>IFERROR(__xludf.DUMMYFUNCTION("""COMPUTED_VALUE"""),"First Times a Charm Cider")</f>
        <v>First Times a Charm Cider</v>
      </c>
      <c r="H2675" s="27" t="str">
        <f>IFERROR(__xludf.DUMMYFUNCTION("""COMPUTED_VALUE"""),"")</f>
        <v/>
      </c>
    </row>
    <row r="2676">
      <c r="A2676" s="17"/>
      <c r="B2676" s="23"/>
      <c r="C2676" s="17">
        <f>IFERROR(__xludf.DUMMYFUNCTION("""COMPUTED_VALUE"""),43523.6910537499)</f>
        <v>43523.69105</v>
      </c>
      <c r="D2676" s="23">
        <f>IFERROR(__xludf.DUMMYFUNCTION("""COMPUTED_VALUE"""),1.076)</f>
        <v>1.076</v>
      </c>
      <c r="E2676" s="24">
        <f>IFERROR(__xludf.DUMMYFUNCTION("""COMPUTED_VALUE"""),66.0)</f>
        <v>66</v>
      </c>
      <c r="F2676" s="27" t="str">
        <f>IFERROR(__xludf.DUMMYFUNCTION("""COMPUTED_VALUE"""),"BLACK")</f>
        <v>BLACK</v>
      </c>
      <c r="G2676" s="28" t="str">
        <f>IFERROR(__xludf.DUMMYFUNCTION("""COMPUTED_VALUE"""),"First Times a Charm Cider")</f>
        <v>First Times a Charm Cider</v>
      </c>
      <c r="H2676" s="27" t="str">
        <f>IFERROR(__xludf.DUMMYFUNCTION("""COMPUTED_VALUE"""),"")</f>
        <v/>
      </c>
    </row>
    <row r="2677">
      <c r="A2677" s="17"/>
      <c r="B2677" s="23"/>
      <c r="C2677" s="17">
        <f>IFERROR(__xludf.DUMMYFUNCTION("""COMPUTED_VALUE"""),43523.6806302546)</f>
        <v>43523.68063</v>
      </c>
      <c r="D2677" s="23">
        <f>IFERROR(__xludf.DUMMYFUNCTION("""COMPUTED_VALUE"""),1.076)</f>
        <v>1.076</v>
      </c>
      <c r="E2677" s="24">
        <f>IFERROR(__xludf.DUMMYFUNCTION("""COMPUTED_VALUE"""),66.0)</f>
        <v>66</v>
      </c>
      <c r="F2677" s="27" t="str">
        <f>IFERROR(__xludf.DUMMYFUNCTION("""COMPUTED_VALUE"""),"BLACK")</f>
        <v>BLACK</v>
      </c>
      <c r="G2677" s="28" t="str">
        <f>IFERROR(__xludf.DUMMYFUNCTION("""COMPUTED_VALUE"""),"First Times a Charm Cider")</f>
        <v>First Times a Charm Cider</v>
      </c>
      <c r="H2677" s="27" t="str">
        <f>IFERROR(__xludf.DUMMYFUNCTION("""COMPUTED_VALUE"""),"")</f>
        <v/>
      </c>
    </row>
    <row r="2678">
      <c r="A2678" s="17"/>
      <c r="B2678" s="23"/>
      <c r="C2678" s="17">
        <f>IFERROR(__xludf.DUMMYFUNCTION("""COMPUTED_VALUE"""),43523.6597889467)</f>
        <v>43523.65979</v>
      </c>
      <c r="D2678" s="23">
        <f>IFERROR(__xludf.DUMMYFUNCTION("""COMPUTED_VALUE"""),1.076)</f>
        <v>1.076</v>
      </c>
      <c r="E2678" s="24">
        <f>IFERROR(__xludf.DUMMYFUNCTION("""COMPUTED_VALUE"""),66.0)</f>
        <v>66</v>
      </c>
      <c r="F2678" s="27" t="str">
        <f>IFERROR(__xludf.DUMMYFUNCTION("""COMPUTED_VALUE"""),"BLACK")</f>
        <v>BLACK</v>
      </c>
      <c r="G2678" s="28" t="str">
        <f>IFERROR(__xludf.DUMMYFUNCTION("""COMPUTED_VALUE"""),"First Times a Charm Cider")</f>
        <v>First Times a Charm Cider</v>
      </c>
      <c r="H2678" s="27" t="str">
        <f>IFERROR(__xludf.DUMMYFUNCTION("""COMPUTED_VALUE"""),"")</f>
        <v/>
      </c>
    </row>
    <row r="2679">
      <c r="A2679" s="17"/>
      <c r="B2679" s="23"/>
      <c r="C2679" s="17">
        <f>IFERROR(__xludf.DUMMYFUNCTION("""COMPUTED_VALUE"""),43523.6493670023)</f>
        <v>43523.64937</v>
      </c>
      <c r="D2679" s="23">
        <f>IFERROR(__xludf.DUMMYFUNCTION("""COMPUTED_VALUE"""),1.076)</f>
        <v>1.076</v>
      </c>
      <c r="E2679" s="24">
        <f>IFERROR(__xludf.DUMMYFUNCTION("""COMPUTED_VALUE"""),66.0)</f>
        <v>66</v>
      </c>
      <c r="F2679" s="27" t="str">
        <f>IFERROR(__xludf.DUMMYFUNCTION("""COMPUTED_VALUE"""),"BLACK")</f>
        <v>BLACK</v>
      </c>
      <c r="G2679" s="28" t="str">
        <f>IFERROR(__xludf.DUMMYFUNCTION("""COMPUTED_VALUE"""),"First Times a Charm Cider")</f>
        <v>First Times a Charm Cider</v>
      </c>
      <c r="H2679" s="27" t="str">
        <f>IFERROR(__xludf.DUMMYFUNCTION("""COMPUTED_VALUE"""),"")</f>
        <v/>
      </c>
    </row>
    <row r="2680">
      <c r="A2680" s="17"/>
      <c r="B2680" s="23"/>
      <c r="C2680" s="17">
        <f>IFERROR(__xludf.DUMMYFUNCTION("""COMPUTED_VALUE"""),43523.6389451041)</f>
        <v>43523.63895</v>
      </c>
      <c r="D2680" s="23">
        <f>IFERROR(__xludf.DUMMYFUNCTION("""COMPUTED_VALUE"""),1.076)</f>
        <v>1.076</v>
      </c>
      <c r="E2680" s="24">
        <f>IFERROR(__xludf.DUMMYFUNCTION("""COMPUTED_VALUE"""),66.0)</f>
        <v>66</v>
      </c>
      <c r="F2680" s="27" t="str">
        <f>IFERROR(__xludf.DUMMYFUNCTION("""COMPUTED_VALUE"""),"BLACK")</f>
        <v>BLACK</v>
      </c>
      <c r="G2680" s="28" t="str">
        <f>IFERROR(__xludf.DUMMYFUNCTION("""COMPUTED_VALUE"""),"First Times a Charm Cider")</f>
        <v>First Times a Charm Cider</v>
      </c>
      <c r="H2680" s="27" t="str">
        <f>IFERROR(__xludf.DUMMYFUNCTION("""COMPUTED_VALUE"""),"")</f>
        <v/>
      </c>
    </row>
    <row r="2681">
      <c r="A2681" s="17"/>
      <c r="B2681" s="23"/>
      <c r="C2681" s="17">
        <f>IFERROR(__xludf.DUMMYFUNCTION("""COMPUTED_VALUE"""),43523.6181001736)</f>
        <v>43523.6181</v>
      </c>
      <c r="D2681" s="23">
        <f>IFERROR(__xludf.DUMMYFUNCTION("""COMPUTED_VALUE"""),1.076)</f>
        <v>1.076</v>
      </c>
      <c r="E2681" s="24">
        <f>IFERROR(__xludf.DUMMYFUNCTION("""COMPUTED_VALUE"""),66.0)</f>
        <v>66</v>
      </c>
      <c r="F2681" s="27" t="str">
        <f>IFERROR(__xludf.DUMMYFUNCTION("""COMPUTED_VALUE"""),"BLACK")</f>
        <v>BLACK</v>
      </c>
      <c r="G2681" s="28" t="str">
        <f>IFERROR(__xludf.DUMMYFUNCTION("""COMPUTED_VALUE"""),"First Times a Charm Cider")</f>
        <v>First Times a Charm Cider</v>
      </c>
      <c r="H2681" s="27" t="str">
        <f>IFERROR(__xludf.DUMMYFUNCTION("""COMPUTED_VALUE"""),"")</f>
        <v/>
      </c>
    </row>
    <row r="2682">
      <c r="A2682" s="17"/>
      <c r="B2682" s="23"/>
      <c r="C2682" s="17">
        <f>IFERROR(__xludf.DUMMYFUNCTION("""COMPUTED_VALUE"""),43523.6076666088)</f>
        <v>43523.60767</v>
      </c>
      <c r="D2682" s="23">
        <f>IFERROR(__xludf.DUMMYFUNCTION("""COMPUTED_VALUE"""),1.076)</f>
        <v>1.076</v>
      </c>
      <c r="E2682" s="24">
        <f>IFERROR(__xludf.DUMMYFUNCTION("""COMPUTED_VALUE"""),66.0)</f>
        <v>66</v>
      </c>
      <c r="F2682" s="27" t="str">
        <f>IFERROR(__xludf.DUMMYFUNCTION("""COMPUTED_VALUE"""),"BLACK")</f>
        <v>BLACK</v>
      </c>
      <c r="G2682" s="28" t="str">
        <f>IFERROR(__xludf.DUMMYFUNCTION("""COMPUTED_VALUE"""),"First Times a Charm Cider")</f>
        <v>First Times a Charm Cider</v>
      </c>
      <c r="H2682" s="27" t="str">
        <f>IFERROR(__xludf.DUMMYFUNCTION("""COMPUTED_VALUE"""),"")</f>
        <v/>
      </c>
    </row>
    <row r="2683">
      <c r="A2683" s="17"/>
      <c r="B2683" s="23"/>
      <c r="C2683" s="17">
        <f>IFERROR(__xludf.DUMMYFUNCTION("""COMPUTED_VALUE"""),43523.59724603)</f>
        <v>43523.59725</v>
      </c>
      <c r="D2683" s="23">
        <f>IFERROR(__xludf.DUMMYFUNCTION("""COMPUTED_VALUE"""),1.076)</f>
        <v>1.076</v>
      </c>
      <c r="E2683" s="24">
        <f>IFERROR(__xludf.DUMMYFUNCTION("""COMPUTED_VALUE"""),66.0)</f>
        <v>66</v>
      </c>
      <c r="F2683" s="27" t="str">
        <f>IFERROR(__xludf.DUMMYFUNCTION("""COMPUTED_VALUE"""),"BLACK")</f>
        <v>BLACK</v>
      </c>
      <c r="G2683" s="28" t="str">
        <f>IFERROR(__xludf.DUMMYFUNCTION("""COMPUTED_VALUE"""),"First Times a Charm Cider")</f>
        <v>First Times a Charm Cider</v>
      </c>
      <c r="H2683" s="27" t="str">
        <f>IFERROR(__xludf.DUMMYFUNCTION("""COMPUTED_VALUE"""),"")</f>
        <v/>
      </c>
    </row>
    <row r="2684">
      <c r="A2684" s="17"/>
      <c r="B2684" s="23"/>
      <c r="C2684" s="17">
        <f>IFERROR(__xludf.DUMMYFUNCTION("""COMPUTED_VALUE"""),43523.586812824)</f>
        <v>43523.58681</v>
      </c>
      <c r="D2684" s="23">
        <f>IFERROR(__xludf.DUMMYFUNCTION("""COMPUTED_VALUE"""),1.076)</f>
        <v>1.076</v>
      </c>
      <c r="E2684" s="24">
        <f>IFERROR(__xludf.DUMMYFUNCTION("""COMPUTED_VALUE"""),66.0)</f>
        <v>66</v>
      </c>
      <c r="F2684" s="27" t="str">
        <f>IFERROR(__xludf.DUMMYFUNCTION("""COMPUTED_VALUE"""),"BLACK")</f>
        <v>BLACK</v>
      </c>
      <c r="G2684" s="28" t="str">
        <f>IFERROR(__xludf.DUMMYFUNCTION("""COMPUTED_VALUE"""),"First Times a Charm Cider")</f>
        <v>First Times a Charm Cider</v>
      </c>
      <c r="H2684" s="27" t="str">
        <f>IFERROR(__xludf.DUMMYFUNCTION("""COMPUTED_VALUE"""),"")</f>
        <v/>
      </c>
    </row>
    <row r="2685">
      <c r="A2685" s="17"/>
      <c r="B2685" s="23"/>
      <c r="C2685" s="17">
        <f>IFERROR(__xludf.DUMMYFUNCTION("""COMPUTED_VALUE"""),43523.565923287)</f>
        <v>43523.56592</v>
      </c>
      <c r="D2685" s="23">
        <f>IFERROR(__xludf.DUMMYFUNCTION("""COMPUTED_VALUE"""),1.076)</f>
        <v>1.076</v>
      </c>
      <c r="E2685" s="24">
        <f>IFERROR(__xludf.DUMMYFUNCTION("""COMPUTED_VALUE"""),66.0)</f>
        <v>66</v>
      </c>
      <c r="F2685" s="27" t="str">
        <f>IFERROR(__xludf.DUMMYFUNCTION("""COMPUTED_VALUE"""),"BLACK")</f>
        <v>BLACK</v>
      </c>
      <c r="G2685" s="28" t="str">
        <f>IFERROR(__xludf.DUMMYFUNCTION("""COMPUTED_VALUE"""),"First Times a Charm Cider")</f>
        <v>First Times a Charm Cider</v>
      </c>
      <c r="H2685" s="27" t="str">
        <f>IFERROR(__xludf.DUMMYFUNCTION("""COMPUTED_VALUE"""),"")</f>
        <v/>
      </c>
    </row>
    <row r="2686">
      <c r="A2686" s="17"/>
      <c r="B2686" s="23"/>
      <c r="C2686" s="17">
        <f>IFERROR(__xludf.DUMMYFUNCTION("""COMPUTED_VALUE"""),43523.5554898958)</f>
        <v>43523.55549</v>
      </c>
      <c r="D2686" s="23">
        <f>IFERROR(__xludf.DUMMYFUNCTION("""COMPUTED_VALUE"""),1.077)</f>
        <v>1.077</v>
      </c>
      <c r="E2686" s="24">
        <f>IFERROR(__xludf.DUMMYFUNCTION("""COMPUTED_VALUE"""),66.0)</f>
        <v>66</v>
      </c>
      <c r="F2686" s="27" t="str">
        <f>IFERROR(__xludf.DUMMYFUNCTION("""COMPUTED_VALUE"""),"BLACK")</f>
        <v>BLACK</v>
      </c>
      <c r="G2686" s="28" t="str">
        <f>IFERROR(__xludf.DUMMYFUNCTION("""COMPUTED_VALUE"""),"First Times a Charm Cider")</f>
        <v>First Times a Charm Cider</v>
      </c>
      <c r="H2686" s="27" t="str">
        <f>IFERROR(__xludf.DUMMYFUNCTION("""COMPUTED_VALUE"""),"")</f>
        <v/>
      </c>
    </row>
    <row r="2687">
      <c r="A2687" s="17"/>
      <c r="B2687" s="23"/>
      <c r="C2687" s="17">
        <f>IFERROR(__xludf.DUMMYFUNCTION("""COMPUTED_VALUE"""),43523.545057905)</f>
        <v>43523.54506</v>
      </c>
      <c r="D2687" s="23">
        <f>IFERROR(__xludf.DUMMYFUNCTION("""COMPUTED_VALUE"""),1.077)</f>
        <v>1.077</v>
      </c>
      <c r="E2687" s="24">
        <f>IFERROR(__xludf.DUMMYFUNCTION("""COMPUTED_VALUE"""),66.0)</f>
        <v>66</v>
      </c>
      <c r="F2687" s="27" t="str">
        <f>IFERROR(__xludf.DUMMYFUNCTION("""COMPUTED_VALUE"""),"BLACK")</f>
        <v>BLACK</v>
      </c>
      <c r="G2687" s="28" t="str">
        <f>IFERROR(__xludf.DUMMYFUNCTION("""COMPUTED_VALUE"""),"First Times a Charm Cider")</f>
        <v>First Times a Charm Cider</v>
      </c>
      <c r="H2687" s="27" t="str">
        <f>IFERROR(__xludf.DUMMYFUNCTION("""COMPUTED_VALUE"""),"")</f>
        <v/>
      </c>
    </row>
    <row r="2688">
      <c r="A2688" s="17"/>
      <c r="B2688" s="23"/>
      <c r="C2688" s="17">
        <f>IFERROR(__xludf.DUMMYFUNCTION("""COMPUTED_VALUE"""),43523.5346019212)</f>
        <v>43523.5346</v>
      </c>
      <c r="D2688" s="23">
        <f>IFERROR(__xludf.DUMMYFUNCTION("""COMPUTED_VALUE"""),1.077)</f>
        <v>1.077</v>
      </c>
      <c r="E2688" s="24">
        <f>IFERROR(__xludf.DUMMYFUNCTION("""COMPUTED_VALUE"""),66.0)</f>
        <v>66</v>
      </c>
      <c r="F2688" s="27" t="str">
        <f>IFERROR(__xludf.DUMMYFUNCTION("""COMPUTED_VALUE"""),"BLACK")</f>
        <v>BLACK</v>
      </c>
      <c r="G2688" s="28" t="str">
        <f>IFERROR(__xludf.DUMMYFUNCTION("""COMPUTED_VALUE"""),"First Times a Charm Cider")</f>
        <v>First Times a Charm Cider</v>
      </c>
      <c r="H2688" s="27" t="str">
        <f>IFERROR(__xludf.DUMMYFUNCTION("""COMPUTED_VALUE"""),"")</f>
        <v/>
      </c>
    </row>
    <row r="2689">
      <c r="A2689" s="17"/>
      <c r="B2689" s="23"/>
      <c r="C2689" s="17">
        <f>IFERROR(__xludf.DUMMYFUNCTION("""COMPUTED_VALUE"""),43523.5137591666)</f>
        <v>43523.51376</v>
      </c>
      <c r="D2689" s="23">
        <f>IFERROR(__xludf.DUMMYFUNCTION("""COMPUTED_VALUE"""),1.077)</f>
        <v>1.077</v>
      </c>
      <c r="E2689" s="24">
        <f>IFERROR(__xludf.DUMMYFUNCTION("""COMPUTED_VALUE"""),66.0)</f>
        <v>66</v>
      </c>
      <c r="F2689" s="27" t="str">
        <f>IFERROR(__xludf.DUMMYFUNCTION("""COMPUTED_VALUE"""),"BLACK")</f>
        <v>BLACK</v>
      </c>
      <c r="G2689" s="28" t="str">
        <f>IFERROR(__xludf.DUMMYFUNCTION("""COMPUTED_VALUE"""),"First Times a Charm Cider")</f>
        <v>First Times a Charm Cider</v>
      </c>
      <c r="H2689" s="27" t="str">
        <f>IFERROR(__xludf.DUMMYFUNCTION("""COMPUTED_VALUE"""),"")</f>
        <v/>
      </c>
    </row>
    <row r="2690">
      <c r="A2690" s="17"/>
      <c r="B2690" s="23"/>
      <c r="C2690" s="17">
        <f>IFERROR(__xludf.DUMMYFUNCTION("""COMPUTED_VALUE"""),43523.5033390393)</f>
        <v>43523.50334</v>
      </c>
      <c r="D2690" s="23">
        <f>IFERROR(__xludf.DUMMYFUNCTION("""COMPUTED_VALUE"""),1.077)</f>
        <v>1.077</v>
      </c>
      <c r="E2690" s="24">
        <f>IFERROR(__xludf.DUMMYFUNCTION("""COMPUTED_VALUE"""),66.0)</f>
        <v>66</v>
      </c>
      <c r="F2690" s="27" t="str">
        <f>IFERROR(__xludf.DUMMYFUNCTION("""COMPUTED_VALUE"""),"BLACK")</f>
        <v>BLACK</v>
      </c>
      <c r="G2690" s="28" t="str">
        <f>IFERROR(__xludf.DUMMYFUNCTION("""COMPUTED_VALUE"""),"First Times a Charm Cider")</f>
        <v>First Times a Charm Cider</v>
      </c>
      <c r="H2690" s="27" t="str">
        <f>IFERROR(__xludf.DUMMYFUNCTION("""COMPUTED_VALUE"""),"")</f>
        <v/>
      </c>
    </row>
    <row r="2691">
      <c r="A2691" s="17"/>
      <c r="B2691" s="23"/>
      <c r="C2691" s="17">
        <f>IFERROR(__xludf.DUMMYFUNCTION("""COMPUTED_VALUE"""),43523.4929182176)</f>
        <v>43523.49292</v>
      </c>
      <c r="D2691" s="23">
        <f>IFERROR(__xludf.DUMMYFUNCTION("""COMPUTED_VALUE"""),1.077)</f>
        <v>1.077</v>
      </c>
      <c r="E2691" s="24">
        <f>IFERROR(__xludf.DUMMYFUNCTION("""COMPUTED_VALUE"""),66.0)</f>
        <v>66</v>
      </c>
      <c r="F2691" s="27" t="str">
        <f>IFERROR(__xludf.DUMMYFUNCTION("""COMPUTED_VALUE"""),"BLACK")</f>
        <v>BLACK</v>
      </c>
      <c r="G2691" s="28" t="str">
        <f>IFERROR(__xludf.DUMMYFUNCTION("""COMPUTED_VALUE"""),"First Times a Charm Cider")</f>
        <v>First Times a Charm Cider</v>
      </c>
      <c r="H2691" s="27" t="str">
        <f>IFERROR(__xludf.DUMMYFUNCTION("""COMPUTED_VALUE"""),"")</f>
        <v/>
      </c>
    </row>
    <row r="2692">
      <c r="A2692" s="17"/>
      <c r="B2692" s="23"/>
      <c r="C2692" s="17">
        <f>IFERROR(__xludf.DUMMYFUNCTION("""COMPUTED_VALUE"""),43523.4824951967)</f>
        <v>43523.4825</v>
      </c>
      <c r="D2692" s="23">
        <f>IFERROR(__xludf.DUMMYFUNCTION("""COMPUTED_VALUE"""),1.077)</f>
        <v>1.077</v>
      </c>
      <c r="E2692" s="24">
        <f>IFERROR(__xludf.DUMMYFUNCTION("""COMPUTED_VALUE"""),66.0)</f>
        <v>66</v>
      </c>
      <c r="F2692" s="27" t="str">
        <f>IFERROR(__xludf.DUMMYFUNCTION("""COMPUTED_VALUE"""),"BLACK")</f>
        <v>BLACK</v>
      </c>
      <c r="G2692" s="28" t="str">
        <f>IFERROR(__xludf.DUMMYFUNCTION("""COMPUTED_VALUE"""),"First Times a Charm Cider")</f>
        <v>First Times a Charm Cider</v>
      </c>
      <c r="H2692" s="27" t="str">
        <f>IFERROR(__xludf.DUMMYFUNCTION("""COMPUTED_VALUE"""),"")</f>
        <v/>
      </c>
    </row>
    <row r="2693">
      <c r="A2693" s="17"/>
      <c r="B2693" s="23"/>
      <c r="C2693" s="17">
        <f>IFERROR(__xludf.DUMMYFUNCTION("""COMPUTED_VALUE"""),43523.472062581)</f>
        <v>43523.47206</v>
      </c>
      <c r="D2693" s="23">
        <f>IFERROR(__xludf.DUMMYFUNCTION("""COMPUTED_VALUE"""),1.077)</f>
        <v>1.077</v>
      </c>
      <c r="E2693" s="24">
        <f>IFERROR(__xludf.DUMMYFUNCTION("""COMPUTED_VALUE"""),66.0)</f>
        <v>66</v>
      </c>
      <c r="F2693" s="27" t="str">
        <f>IFERROR(__xludf.DUMMYFUNCTION("""COMPUTED_VALUE"""),"BLACK")</f>
        <v>BLACK</v>
      </c>
      <c r="G2693" s="28" t="str">
        <f>IFERROR(__xludf.DUMMYFUNCTION("""COMPUTED_VALUE"""),"First Times a Charm Cider")</f>
        <v>First Times a Charm Cider</v>
      </c>
      <c r="H2693" s="27" t="str">
        <f>IFERROR(__xludf.DUMMYFUNCTION("""COMPUTED_VALUE"""),"")</f>
        <v/>
      </c>
    </row>
    <row r="2694">
      <c r="A2694" s="17"/>
      <c r="B2694" s="23"/>
      <c r="C2694" s="17">
        <f>IFERROR(__xludf.DUMMYFUNCTION("""COMPUTED_VALUE"""),43523.4303677777)</f>
        <v>43523.43037</v>
      </c>
      <c r="D2694" s="23">
        <f>IFERROR(__xludf.DUMMYFUNCTION("""COMPUTED_VALUE"""),1.077)</f>
        <v>1.077</v>
      </c>
      <c r="E2694" s="24">
        <f>IFERROR(__xludf.DUMMYFUNCTION("""COMPUTED_VALUE"""),66.0)</f>
        <v>66</v>
      </c>
      <c r="F2694" s="27" t="str">
        <f>IFERROR(__xludf.DUMMYFUNCTION("""COMPUTED_VALUE"""),"BLACK")</f>
        <v>BLACK</v>
      </c>
      <c r="G2694" s="28" t="str">
        <f>IFERROR(__xludf.DUMMYFUNCTION("""COMPUTED_VALUE"""),"First Times a Charm Cider")</f>
        <v>First Times a Charm Cider</v>
      </c>
      <c r="H2694" s="27" t="str">
        <f>IFERROR(__xludf.DUMMYFUNCTION("""COMPUTED_VALUE"""),"")</f>
        <v/>
      </c>
    </row>
    <row r="2695">
      <c r="A2695" s="17"/>
      <c r="B2695" s="23"/>
      <c r="C2695" s="17">
        <f>IFERROR(__xludf.DUMMYFUNCTION("""COMPUTED_VALUE"""),43523.3886738773)</f>
        <v>43523.38867</v>
      </c>
      <c r="D2695" s="23">
        <f>IFERROR(__xludf.DUMMYFUNCTION("""COMPUTED_VALUE"""),1.078)</f>
        <v>1.078</v>
      </c>
      <c r="E2695" s="24">
        <f>IFERROR(__xludf.DUMMYFUNCTION("""COMPUTED_VALUE"""),66.0)</f>
        <v>66</v>
      </c>
      <c r="F2695" s="27" t="str">
        <f>IFERROR(__xludf.DUMMYFUNCTION("""COMPUTED_VALUE"""),"BLACK")</f>
        <v>BLACK</v>
      </c>
      <c r="G2695" s="28" t="str">
        <f>IFERROR(__xludf.DUMMYFUNCTION("""COMPUTED_VALUE"""),"First Times a Charm Cider")</f>
        <v>First Times a Charm Cider</v>
      </c>
      <c r="H2695" s="27" t="str">
        <f>IFERROR(__xludf.DUMMYFUNCTION("""COMPUTED_VALUE"""),"")</f>
        <v/>
      </c>
    </row>
    <row r="2696">
      <c r="A2696" s="17"/>
      <c r="B2696" s="23"/>
      <c r="C2696" s="17">
        <f>IFERROR(__xludf.DUMMYFUNCTION("""COMPUTED_VALUE"""),43523.3782509606)</f>
        <v>43523.37825</v>
      </c>
      <c r="D2696" s="23">
        <f>IFERROR(__xludf.DUMMYFUNCTION("""COMPUTED_VALUE"""),1.078)</f>
        <v>1.078</v>
      </c>
      <c r="E2696" s="24">
        <f>IFERROR(__xludf.DUMMYFUNCTION("""COMPUTED_VALUE"""),66.0)</f>
        <v>66</v>
      </c>
      <c r="F2696" s="27" t="str">
        <f>IFERROR(__xludf.DUMMYFUNCTION("""COMPUTED_VALUE"""),"BLACK")</f>
        <v>BLACK</v>
      </c>
      <c r="G2696" s="28" t="str">
        <f>IFERROR(__xludf.DUMMYFUNCTION("""COMPUTED_VALUE"""),"First Times a Charm Cider")</f>
        <v>First Times a Charm Cider</v>
      </c>
      <c r="H2696" s="27" t="str">
        <f>IFERROR(__xludf.DUMMYFUNCTION("""COMPUTED_VALUE"""),"")</f>
        <v/>
      </c>
    </row>
    <row r="2697">
      <c r="A2697" s="17"/>
      <c r="B2697" s="23"/>
      <c r="C2697" s="17">
        <f>IFERROR(__xludf.DUMMYFUNCTION("""COMPUTED_VALUE"""),43523.3678171643)</f>
        <v>43523.36782</v>
      </c>
      <c r="D2697" s="23">
        <f>IFERROR(__xludf.DUMMYFUNCTION("""COMPUTED_VALUE"""),1.078)</f>
        <v>1.078</v>
      </c>
      <c r="E2697" s="24">
        <f>IFERROR(__xludf.DUMMYFUNCTION("""COMPUTED_VALUE"""),66.0)</f>
        <v>66</v>
      </c>
      <c r="F2697" s="27" t="str">
        <f>IFERROR(__xludf.DUMMYFUNCTION("""COMPUTED_VALUE"""),"BLACK")</f>
        <v>BLACK</v>
      </c>
      <c r="G2697" s="28" t="str">
        <f>IFERROR(__xludf.DUMMYFUNCTION("""COMPUTED_VALUE"""),"First Times a Charm Cider")</f>
        <v>First Times a Charm Cider</v>
      </c>
      <c r="H2697" s="27" t="str">
        <f>IFERROR(__xludf.DUMMYFUNCTION("""COMPUTED_VALUE"""),"")</f>
        <v/>
      </c>
    </row>
    <row r="2698">
      <c r="A2698" s="17"/>
      <c r="B2698" s="23"/>
      <c r="C2698" s="17">
        <f>IFERROR(__xludf.DUMMYFUNCTION("""COMPUTED_VALUE"""),43523.3573970601)</f>
        <v>43523.3574</v>
      </c>
      <c r="D2698" s="23">
        <f>IFERROR(__xludf.DUMMYFUNCTION("""COMPUTED_VALUE"""),1.078)</f>
        <v>1.078</v>
      </c>
      <c r="E2698" s="24">
        <f>IFERROR(__xludf.DUMMYFUNCTION("""COMPUTED_VALUE"""),66.0)</f>
        <v>66</v>
      </c>
      <c r="F2698" s="27" t="str">
        <f>IFERROR(__xludf.DUMMYFUNCTION("""COMPUTED_VALUE"""),"BLACK")</f>
        <v>BLACK</v>
      </c>
      <c r="G2698" s="28" t="str">
        <f>IFERROR(__xludf.DUMMYFUNCTION("""COMPUTED_VALUE"""),"First Times a Charm Cider")</f>
        <v>First Times a Charm Cider</v>
      </c>
      <c r="H2698" s="27" t="str">
        <f>IFERROR(__xludf.DUMMYFUNCTION("""COMPUTED_VALUE"""),"")</f>
        <v/>
      </c>
    </row>
    <row r="2699">
      <c r="A2699" s="17"/>
      <c r="B2699" s="23"/>
      <c r="C2699" s="17">
        <f>IFERROR(__xludf.DUMMYFUNCTION("""COMPUTED_VALUE"""),43523.3469741203)</f>
        <v>43523.34697</v>
      </c>
      <c r="D2699" s="23">
        <f>IFERROR(__xludf.DUMMYFUNCTION("""COMPUTED_VALUE"""),1.078)</f>
        <v>1.078</v>
      </c>
      <c r="E2699" s="24">
        <f>IFERROR(__xludf.DUMMYFUNCTION("""COMPUTED_VALUE"""),66.0)</f>
        <v>66</v>
      </c>
      <c r="F2699" s="27" t="str">
        <f>IFERROR(__xludf.DUMMYFUNCTION("""COMPUTED_VALUE"""),"BLACK")</f>
        <v>BLACK</v>
      </c>
      <c r="G2699" s="28" t="str">
        <f>IFERROR(__xludf.DUMMYFUNCTION("""COMPUTED_VALUE"""),"First Times a Charm Cider")</f>
        <v>First Times a Charm Cider</v>
      </c>
      <c r="H2699" s="27" t="str">
        <f>IFERROR(__xludf.DUMMYFUNCTION("""COMPUTED_VALUE"""),"")</f>
        <v/>
      </c>
    </row>
    <row r="2700">
      <c r="A2700" s="17"/>
      <c r="B2700" s="23"/>
      <c r="C2700" s="17">
        <f>IFERROR(__xludf.DUMMYFUNCTION("""COMPUTED_VALUE"""),43523.3157009722)</f>
        <v>43523.3157</v>
      </c>
      <c r="D2700" s="23">
        <f>IFERROR(__xludf.DUMMYFUNCTION("""COMPUTED_VALUE"""),1.078)</f>
        <v>1.078</v>
      </c>
      <c r="E2700" s="24">
        <f>IFERROR(__xludf.DUMMYFUNCTION("""COMPUTED_VALUE"""),67.0)</f>
        <v>67</v>
      </c>
      <c r="F2700" s="27" t="str">
        <f>IFERROR(__xludf.DUMMYFUNCTION("""COMPUTED_VALUE"""),"BLACK")</f>
        <v>BLACK</v>
      </c>
      <c r="G2700" s="28" t="str">
        <f>IFERROR(__xludf.DUMMYFUNCTION("""COMPUTED_VALUE"""),"First Times a Charm Cider")</f>
        <v>First Times a Charm Cider</v>
      </c>
      <c r="H2700" s="27" t="str">
        <f>IFERROR(__xludf.DUMMYFUNCTION("""COMPUTED_VALUE"""),"")</f>
        <v/>
      </c>
    </row>
    <row r="2701">
      <c r="A2701" s="17"/>
      <c r="B2701" s="23"/>
      <c r="C2701" s="17">
        <f>IFERROR(__xludf.DUMMYFUNCTION("""COMPUTED_VALUE"""),43523.3052795138)</f>
        <v>43523.30528</v>
      </c>
      <c r="D2701" s="23">
        <f>IFERROR(__xludf.DUMMYFUNCTION("""COMPUTED_VALUE"""),1.078)</f>
        <v>1.078</v>
      </c>
      <c r="E2701" s="24">
        <f>IFERROR(__xludf.DUMMYFUNCTION("""COMPUTED_VALUE"""),67.0)</f>
        <v>67</v>
      </c>
      <c r="F2701" s="27" t="str">
        <f>IFERROR(__xludf.DUMMYFUNCTION("""COMPUTED_VALUE"""),"BLACK")</f>
        <v>BLACK</v>
      </c>
      <c r="G2701" s="28" t="str">
        <f>IFERROR(__xludf.DUMMYFUNCTION("""COMPUTED_VALUE"""),"First Times a Charm Cider")</f>
        <v>First Times a Charm Cider</v>
      </c>
      <c r="H2701" s="27" t="str">
        <f>IFERROR(__xludf.DUMMYFUNCTION("""COMPUTED_VALUE"""),"")</f>
        <v/>
      </c>
    </row>
    <row r="2702">
      <c r="A2702" s="17"/>
      <c r="B2702" s="23"/>
      <c r="C2702" s="17">
        <f>IFERROR(__xludf.DUMMYFUNCTION("""COMPUTED_VALUE"""),43523.2948576504)</f>
        <v>43523.29486</v>
      </c>
      <c r="D2702" s="23">
        <f>IFERROR(__xludf.DUMMYFUNCTION("""COMPUTED_VALUE"""),1.078)</f>
        <v>1.078</v>
      </c>
      <c r="E2702" s="24">
        <f>IFERROR(__xludf.DUMMYFUNCTION("""COMPUTED_VALUE"""),67.0)</f>
        <v>67</v>
      </c>
      <c r="F2702" s="27" t="str">
        <f>IFERROR(__xludf.DUMMYFUNCTION("""COMPUTED_VALUE"""),"BLACK")</f>
        <v>BLACK</v>
      </c>
      <c r="G2702" s="28" t="str">
        <f>IFERROR(__xludf.DUMMYFUNCTION("""COMPUTED_VALUE"""),"First Times a Charm Cider")</f>
        <v>First Times a Charm Cider</v>
      </c>
      <c r="H2702" s="27" t="str">
        <f>IFERROR(__xludf.DUMMYFUNCTION("""COMPUTED_VALUE"""),"")</f>
        <v/>
      </c>
    </row>
    <row r="2703">
      <c r="A2703" s="17"/>
      <c r="B2703" s="23"/>
      <c r="C2703" s="17">
        <f>IFERROR(__xludf.DUMMYFUNCTION("""COMPUTED_VALUE"""),43523.2635723842)</f>
        <v>43523.26357</v>
      </c>
      <c r="D2703" s="23">
        <f>IFERROR(__xludf.DUMMYFUNCTION("""COMPUTED_VALUE"""),1.078)</f>
        <v>1.078</v>
      </c>
      <c r="E2703" s="24">
        <f>IFERROR(__xludf.DUMMYFUNCTION("""COMPUTED_VALUE"""),67.0)</f>
        <v>67</v>
      </c>
      <c r="F2703" s="27" t="str">
        <f>IFERROR(__xludf.DUMMYFUNCTION("""COMPUTED_VALUE"""),"BLACK")</f>
        <v>BLACK</v>
      </c>
      <c r="G2703" s="28" t="str">
        <f>IFERROR(__xludf.DUMMYFUNCTION("""COMPUTED_VALUE"""),"First Times a Charm Cider")</f>
        <v>First Times a Charm Cider</v>
      </c>
      <c r="H2703" s="27" t="str">
        <f>IFERROR(__xludf.DUMMYFUNCTION("""COMPUTED_VALUE"""),"")</f>
        <v/>
      </c>
    </row>
    <row r="2704">
      <c r="A2704" s="17"/>
      <c r="B2704" s="23"/>
      <c r="C2704" s="17">
        <f>IFERROR(__xludf.DUMMYFUNCTION("""COMPUTED_VALUE"""),43523.2427313078)</f>
        <v>43523.24273</v>
      </c>
      <c r="D2704" s="23">
        <f>IFERROR(__xludf.DUMMYFUNCTION("""COMPUTED_VALUE"""),1.078)</f>
        <v>1.078</v>
      </c>
      <c r="E2704" s="24">
        <f>IFERROR(__xludf.DUMMYFUNCTION("""COMPUTED_VALUE"""),67.0)</f>
        <v>67</v>
      </c>
      <c r="F2704" s="27" t="str">
        <f>IFERROR(__xludf.DUMMYFUNCTION("""COMPUTED_VALUE"""),"BLACK")</f>
        <v>BLACK</v>
      </c>
      <c r="G2704" s="28" t="str">
        <f>IFERROR(__xludf.DUMMYFUNCTION("""COMPUTED_VALUE"""),"First Times a Charm Cider")</f>
        <v>First Times a Charm Cider</v>
      </c>
      <c r="H2704" s="27" t="str">
        <f>IFERROR(__xludf.DUMMYFUNCTION("""COMPUTED_VALUE"""),"")</f>
        <v/>
      </c>
    </row>
    <row r="2705">
      <c r="A2705" s="17"/>
      <c r="B2705" s="23"/>
      <c r="C2705" s="17">
        <f>IFERROR(__xludf.DUMMYFUNCTION("""COMPUTED_VALUE"""),43523.23231125)</f>
        <v>43523.23231</v>
      </c>
      <c r="D2705" s="23">
        <f>IFERROR(__xludf.DUMMYFUNCTION("""COMPUTED_VALUE"""),1.078)</f>
        <v>1.078</v>
      </c>
      <c r="E2705" s="24">
        <f>IFERROR(__xludf.DUMMYFUNCTION("""COMPUTED_VALUE"""),67.0)</f>
        <v>67</v>
      </c>
      <c r="F2705" s="27" t="str">
        <f>IFERROR(__xludf.DUMMYFUNCTION("""COMPUTED_VALUE"""),"BLACK")</f>
        <v>BLACK</v>
      </c>
      <c r="G2705" s="28" t="str">
        <f>IFERROR(__xludf.DUMMYFUNCTION("""COMPUTED_VALUE"""),"First Times a Charm Cider")</f>
        <v>First Times a Charm Cider</v>
      </c>
      <c r="H2705" s="27" t="str">
        <f>IFERROR(__xludf.DUMMYFUNCTION("""COMPUTED_VALUE"""),"")</f>
        <v/>
      </c>
    </row>
    <row r="2706">
      <c r="A2706" s="17"/>
      <c r="B2706" s="23"/>
      <c r="C2706" s="17">
        <f>IFERROR(__xludf.DUMMYFUNCTION("""COMPUTED_VALUE"""),43523.2218899652)</f>
        <v>43523.22189</v>
      </c>
      <c r="D2706" s="23">
        <f>IFERROR(__xludf.DUMMYFUNCTION("""COMPUTED_VALUE"""),1.078)</f>
        <v>1.078</v>
      </c>
      <c r="E2706" s="24">
        <f>IFERROR(__xludf.DUMMYFUNCTION("""COMPUTED_VALUE"""),67.0)</f>
        <v>67</v>
      </c>
      <c r="F2706" s="27" t="str">
        <f>IFERROR(__xludf.DUMMYFUNCTION("""COMPUTED_VALUE"""),"BLACK")</f>
        <v>BLACK</v>
      </c>
      <c r="G2706" s="28" t="str">
        <f>IFERROR(__xludf.DUMMYFUNCTION("""COMPUTED_VALUE"""),"First Times a Charm Cider")</f>
        <v>First Times a Charm Cider</v>
      </c>
      <c r="H2706" s="27" t="str">
        <f>IFERROR(__xludf.DUMMYFUNCTION("""COMPUTED_VALUE"""),"")</f>
        <v/>
      </c>
    </row>
    <row r="2707">
      <c r="A2707" s="17"/>
      <c r="B2707" s="23"/>
      <c r="C2707" s="17">
        <f>IFERROR(__xludf.DUMMYFUNCTION("""COMPUTED_VALUE"""),43523.2010460416)</f>
        <v>43523.20105</v>
      </c>
      <c r="D2707" s="23">
        <f>IFERROR(__xludf.DUMMYFUNCTION("""COMPUTED_VALUE"""),1.078)</f>
        <v>1.078</v>
      </c>
      <c r="E2707" s="24">
        <f>IFERROR(__xludf.DUMMYFUNCTION("""COMPUTED_VALUE"""),67.0)</f>
        <v>67</v>
      </c>
      <c r="F2707" s="27" t="str">
        <f>IFERROR(__xludf.DUMMYFUNCTION("""COMPUTED_VALUE"""),"BLACK")</f>
        <v>BLACK</v>
      </c>
      <c r="G2707" s="28" t="str">
        <f>IFERROR(__xludf.DUMMYFUNCTION("""COMPUTED_VALUE"""),"First Times a Charm Cider")</f>
        <v>First Times a Charm Cider</v>
      </c>
      <c r="H2707" s="27" t="str">
        <f>IFERROR(__xludf.DUMMYFUNCTION("""COMPUTED_VALUE"""),"")</f>
        <v/>
      </c>
    </row>
    <row r="2708">
      <c r="A2708" s="17"/>
      <c r="B2708" s="23"/>
      <c r="C2708" s="17">
        <f>IFERROR(__xludf.DUMMYFUNCTION("""COMPUTED_VALUE"""),43523.1697706018)</f>
        <v>43523.16977</v>
      </c>
      <c r="D2708" s="23">
        <f>IFERROR(__xludf.DUMMYFUNCTION("""COMPUTED_VALUE"""),1.079)</f>
        <v>1.079</v>
      </c>
      <c r="E2708" s="24">
        <f>IFERROR(__xludf.DUMMYFUNCTION("""COMPUTED_VALUE"""),67.0)</f>
        <v>67</v>
      </c>
      <c r="F2708" s="27" t="str">
        <f>IFERROR(__xludf.DUMMYFUNCTION("""COMPUTED_VALUE"""),"BLACK")</f>
        <v>BLACK</v>
      </c>
      <c r="G2708" s="28" t="str">
        <f>IFERROR(__xludf.DUMMYFUNCTION("""COMPUTED_VALUE"""),"First Times a Charm Cider")</f>
        <v>First Times a Charm Cider</v>
      </c>
      <c r="H2708" s="27" t="str">
        <f>IFERROR(__xludf.DUMMYFUNCTION("""COMPUTED_VALUE"""),"")</f>
        <v/>
      </c>
    </row>
    <row r="2709">
      <c r="A2709" s="17"/>
      <c r="B2709" s="23"/>
      <c r="C2709" s="17">
        <f>IFERROR(__xludf.DUMMYFUNCTION("""COMPUTED_VALUE"""),43523.1593489583)</f>
        <v>43523.15935</v>
      </c>
      <c r="D2709" s="23">
        <f>IFERROR(__xludf.DUMMYFUNCTION("""COMPUTED_VALUE"""),1.078)</f>
        <v>1.078</v>
      </c>
      <c r="E2709" s="24">
        <f>IFERROR(__xludf.DUMMYFUNCTION("""COMPUTED_VALUE"""),67.0)</f>
        <v>67</v>
      </c>
      <c r="F2709" s="27" t="str">
        <f>IFERROR(__xludf.DUMMYFUNCTION("""COMPUTED_VALUE"""),"BLACK")</f>
        <v>BLACK</v>
      </c>
      <c r="G2709" s="28" t="str">
        <f>IFERROR(__xludf.DUMMYFUNCTION("""COMPUTED_VALUE"""),"First Times a Charm Cider")</f>
        <v>First Times a Charm Cider</v>
      </c>
      <c r="H2709" s="27" t="str">
        <f>IFERROR(__xludf.DUMMYFUNCTION("""COMPUTED_VALUE"""),"")</f>
        <v/>
      </c>
    </row>
    <row r="2710">
      <c r="A2710" s="17"/>
      <c r="B2710" s="23"/>
      <c r="C2710" s="17">
        <f>IFERROR(__xludf.DUMMYFUNCTION("""COMPUTED_VALUE"""),43523.1489270138)</f>
        <v>43523.14893</v>
      </c>
      <c r="D2710" s="23">
        <f>IFERROR(__xludf.DUMMYFUNCTION("""COMPUTED_VALUE"""),1.078)</f>
        <v>1.078</v>
      </c>
      <c r="E2710" s="24">
        <f>IFERROR(__xludf.DUMMYFUNCTION("""COMPUTED_VALUE"""),67.0)</f>
        <v>67</v>
      </c>
      <c r="F2710" s="27" t="str">
        <f>IFERROR(__xludf.DUMMYFUNCTION("""COMPUTED_VALUE"""),"BLACK")</f>
        <v>BLACK</v>
      </c>
      <c r="G2710" s="28" t="str">
        <f>IFERROR(__xludf.DUMMYFUNCTION("""COMPUTED_VALUE"""),"First Times a Charm Cider")</f>
        <v>First Times a Charm Cider</v>
      </c>
      <c r="H2710" s="27" t="str">
        <f>IFERROR(__xludf.DUMMYFUNCTION("""COMPUTED_VALUE"""),"")</f>
        <v/>
      </c>
    </row>
    <row r="2711">
      <c r="A2711" s="17"/>
      <c r="B2711" s="23"/>
      <c r="C2711" s="17">
        <f>IFERROR(__xludf.DUMMYFUNCTION("""COMPUTED_VALUE"""),43523.1280844097)</f>
        <v>43523.12808</v>
      </c>
      <c r="D2711" s="23">
        <f>IFERROR(__xludf.DUMMYFUNCTION("""COMPUTED_VALUE"""),1.078)</f>
        <v>1.078</v>
      </c>
      <c r="E2711" s="24">
        <f>IFERROR(__xludf.DUMMYFUNCTION("""COMPUTED_VALUE"""),67.0)</f>
        <v>67</v>
      </c>
      <c r="F2711" s="27" t="str">
        <f>IFERROR(__xludf.DUMMYFUNCTION("""COMPUTED_VALUE"""),"BLACK")</f>
        <v>BLACK</v>
      </c>
      <c r="G2711" s="28" t="str">
        <f>IFERROR(__xludf.DUMMYFUNCTION("""COMPUTED_VALUE"""),"First Times a Charm Cider")</f>
        <v>First Times a Charm Cider</v>
      </c>
      <c r="H2711" s="27" t="str">
        <f>IFERROR(__xludf.DUMMYFUNCTION("""COMPUTED_VALUE"""),"")</f>
        <v/>
      </c>
    </row>
    <row r="2712">
      <c r="A2712" s="17"/>
      <c r="B2712" s="23"/>
      <c r="C2712" s="17">
        <f>IFERROR(__xludf.DUMMYFUNCTION("""COMPUTED_VALUE"""),43523.1176638078)</f>
        <v>43523.11766</v>
      </c>
      <c r="D2712" s="23">
        <f>IFERROR(__xludf.DUMMYFUNCTION("""COMPUTED_VALUE"""),1.079)</f>
        <v>1.079</v>
      </c>
      <c r="E2712" s="24">
        <f>IFERROR(__xludf.DUMMYFUNCTION("""COMPUTED_VALUE"""),67.0)</f>
        <v>67</v>
      </c>
      <c r="F2712" s="27" t="str">
        <f>IFERROR(__xludf.DUMMYFUNCTION("""COMPUTED_VALUE"""),"BLACK")</f>
        <v>BLACK</v>
      </c>
      <c r="G2712" s="28" t="str">
        <f>IFERROR(__xludf.DUMMYFUNCTION("""COMPUTED_VALUE"""),"First Times a Charm Cider")</f>
        <v>First Times a Charm Cider</v>
      </c>
      <c r="H2712" s="27" t="str">
        <f>IFERROR(__xludf.DUMMYFUNCTION("""COMPUTED_VALUE"""),"")</f>
        <v/>
      </c>
    </row>
    <row r="2713">
      <c r="A2713" s="17"/>
      <c r="B2713" s="23"/>
      <c r="C2713" s="17">
        <f>IFERROR(__xludf.DUMMYFUNCTION("""COMPUTED_VALUE"""),43523.1072415972)</f>
        <v>43523.10724</v>
      </c>
      <c r="D2713" s="23">
        <f>IFERROR(__xludf.DUMMYFUNCTION("""COMPUTED_VALUE"""),1.079)</f>
        <v>1.079</v>
      </c>
      <c r="E2713" s="24">
        <f>IFERROR(__xludf.DUMMYFUNCTION("""COMPUTED_VALUE"""),66.0)</f>
        <v>66</v>
      </c>
      <c r="F2713" s="27" t="str">
        <f>IFERROR(__xludf.DUMMYFUNCTION("""COMPUTED_VALUE"""),"BLACK")</f>
        <v>BLACK</v>
      </c>
      <c r="G2713" s="28" t="str">
        <f>IFERROR(__xludf.DUMMYFUNCTION("""COMPUTED_VALUE"""),"First Times a Charm Cider")</f>
        <v>First Times a Charm Cider</v>
      </c>
      <c r="H2713" s="27" t="str">
        <f>IFERROR(__xludf.DUMMYFUNCTION("""COMPUTED_VALUE"""),"")</f>
        <v/>
      </c>
    </row>
    <row r="2714">
      <c r="A2714" s="17"/>
      <c r="B2714" s="23"/>
      <c r="C2714" s="17">
        <f>IFERROR(__xludf.DUMMYFUNCTION("""COMPUTED_VALUE"""),43523.0968193287)</f>
        <v>43523.09682</v>
      </c>
      <c r="D2714" s="23">
        <f>IFERROR(__xludf.DUMMYFUNCTION("""COMPUTED_VALUE"""),1.079)</f>
        <v>1.079</v>
      </c>
      <c r="E2714" s="24">
        <f>IFERROR(__xludf.DUMMYFUNCTION("""COMPUTED_VALUE"""),66.0)</f>
        <v>66</v>
      </c>
      <c r="F2714" s="27" t="str">
        <f>IFERROR(__xludf.DUMMYFUNCTION("""COMPUTED_VALUE"""),"BLACK")</f>
        <v>BLACK</v>
      </c>
      <c r="G2714" s="28" t="str">
        <f>IFERROR(__xludf.DUMMYFUNCTION("""COMPUTED_VALUE"""),"First Times a Charm Cider")</f>
        <v>First Times a Charm Cider</v>
      </c>
      <c r="H2714" s="27" t="str">
        <f>IFERROR(__xludf.DUMMYFUNCTION("""COMPUTED_VALUE"""),"")</f>
        <v/>
      </c>
    </row>
    <row r="2715">
      <c r="A2715" s="17"/>
      <c r="B2715" s="23"/>
      <c r="C2715" s="17">
        <f>IFERROR(__xludf.DUMMYFUNCTION("""COMPUTED_VALUE"""),43523.0863984375)</f>
        <v>43523.0864</v>
      </c>
      <c r="D2715" s="23">
        <f>IFERROR(__xludf.DUMMYFUNCTION("""COMPUTED_VALUE"""),1.079)</f>
        <v>1.079</v>
      </c>
      <c r="E2715" s="24">
        <f>IFERROR(__xludf.DUMMYFUNCTION("""COMPUTED_VALUE"""),66.0)</f>
        <v>66</v>
      </c>
      <c r="F2715" s="27" t="str">
        <f>IFERROR(__xludf.DUMMYFUNCTION("""COMPUTED_VALUE"""),"BLACK")</f>
        <v>BLACK</v>
      </c>
      <c r="G2715" s="28" t="str">
        <f>IFERROR(__xludf.DUMMYFUNCTION("""COMPUTED_VALUE"""),"First Times a Charm Cider")</f>
        <v>First Times a Charm Cider</v>
      </c>
      <c r="H2715" s="27" t="str">
        <f>IFERROR(__xludf.DUMMYFUNCTION("""COMPUTED_VALUE"""),"")</f>
        <v/>
      </c>
    </row>
    <row r="2716">
      <c r="A2716" s="17"/>
      <c r="B2716" s="23"/>
      <c r="C2716" s="17">
        <f>IFERROR(__xludf.DUMMYFUNCTION("""COMPUTED_VALUE"""),43523.0759760185)</f>
        <v>43523.07598</v>
      </c>
      <c r="D2716" s="23">
        <f>IFERROR(__xludf.DUMMYFUNCTION("""COMPUTED_VALUE"""),1.079)</f>
        <v>1.079</v>
      </c>
      <c r="E2716" s="24">
        <f>IFERROR(__xludf.DUMMYFUNCTION("""COMPUTED_VALUE"""),66.0)</f>
        <v>66</v>
      </c>
      <c r="F2716" s="27" t="str">
        <f>IFERROR(__xludf.DUMMYFUNCTION("""COMPUTED_VALUE"""),"BLACK")</f>
        <v>BLACK</v>
      </c>
      <c r="G2716" s="28" t="str">
        <f>IFERROR(__xludf.DUMMYFUNCTION("""COMPUTED_VALUE"""),"First Times a Charm Cider")</f>
        <v>First Times a Charm Cider</v>
      </c>
      <c r="H2716" s="27" t="str">
        <f>IFERROR(__xludf.DUMMYFUNCTION("""COMPUTED_VALUE"""),"")</f>
        <v/>
      </c>
    </row>
    <row r="2717">
      <c r="A2717" s="17"/>
      <c r="B2717" s="23"/>
      <c r="C2717" s="17">
        <f>IFERROR(__xludf.DUMMYFUNCTION("""COMPUTED_VALUE"""),43523.0551338541)</f>
        <v>43523.05513</v>
      </c>
      <c r="D2717" s="23">
        <f>IFERROR(__xludf.DUMMYFUNCTION("""COMPUTED_VALUE"""),1.079)</f>
        <v>1.079</v>
      </c>
      <c r="E2717" s="24">
        <f>IFERROR(__xludf.DUMMYFUNCTION("""COMPUTED_VALUE"""),66.0)</f>
        <v>66</v>
      </c>
      <c r="F2717" s="27" t="str">
        <f>IFERROR(__xludf.DUMMYFUNCTION("""COMPUTED_VALUE"""),"BLACK")</f>
        <v>BLACK</v>
      </c>
      <c r="G2717" s="28" t="str">
        <f>IFERROR(__xludf.DUMMYFUNCTION("""COMPUTED_VALUE"""),"First Times a Charm Cider")</f>
        <v>First Times a Charm Cider</v>
      </c>
      <c r="H2717" s="27" t="str">
        <f>IFERROR(__xludf.DUMMYFUNCTION("""COMPUTED_VALUE"""),"")</f>
        <v/>
      </c>
    </row>
    <row r="2718">
      <c r="A2718" s="17"/>
      <c r="B2718" s="23"/>
      <c r="C2718" s="17">
        <f>IFERROR(__xludf.DUMMYFUNCTION("""COMPUTED_VALUE"""),43523.0342929051)</f>
        <v>43523.03429</v>
      </c>
      <c r="D2718" s="23">
        <f>IFERROR(__xludf.DUMMYFUNCTION("""COMPUTED_VALUE"""),1.079)</f>
        <v>1.079</v>
      </c>
      <c r="E2718" s="24">
        <f>IFERROR(__xludf.DUMMYFUNCTION("""COMPUTED_VALUE"""),66.0)</f>
        <v>66</v>
      </c>
      <c r="F2718" s="27" t="str">
        <f>IFERROR(__xludf.DUMMYFUNCTION("""COMPUTED_VALUE"""),"BLACK")</f>
        <v>BLACK</v>
      </c>
      <c r="G2718" s="28" t="str">
        <f>IFERROR(__xludf.DUMMYFUNCTION("""COMPUTED_VALUE"""),"First Times a Charm Cider")</f>
        <v>First Times a Charm Cider</v>
      </c>
      <c r="H2718" s="27" t="str">
        <f>IFERROR(__xludf.DUMMYFUNCTION("""COMPUTED_VALUE"""),"")</f>
        <v/>
      </c>
    </row>
    <row r="2719">
      <c r="A2719" s="17"/>
      <c r="B2719" s="23"/>
      <c r="C2719" s="17">
        <f>IFERROR(__xludf.DUMMYFUNCTION("""COMPUTED_VALUE"""),43523.0238603935)</f>
        <v>43523.02386</v>
      </c>
      <c r="D2719" s="23">
        <f>IFERROR(__xludf.DUMMYFUNCTION("""COMPUTED_VALUE"""),1.079)</f>
        <v>1.079</v>
      </c>
      <c r="E2719" s="24">
        <f>IFERROR(__xludf.DUMMYFUNCTION("""COMPUTED_VALUE"""),66.0)</f>
        <v>66</v>
      </c>
      <c r="F2719" s="27" t="str">
        <f>IFERROR(__xludf.DUMMYFUNCTION("""COMPUTED_VALUE"""),"BLACK")</f>
        <v>BLACK</v>
      </c>
      <c r="G2719" s="28" t="str">
        <f>IFERROR(__xludf.DUMMYFUNCTION("""COMPUTED_VALUE"""),"First Times a Charm Cider")</f>
        <v>First Times a Charm Cider</v>
      </c>
      <c r="H2719" s="27" t="str">
        <f>IFERROR(__xludf.DUMMYFUNCTION("""COMPUTED_VALUE"""),"")</f>
        <v/>
      </c>
    </row>
    <row r="2720">
      <c r="A2720" s="17"/>
      <c r="B2720" s="23"/>
      <c r="C2720" s="17">
        <f>IFERROR(__xludf.DUMMYFUNCTION("""COMPUTED_VALUE"""),43523.013440405)</f>
        <v>43523.01344</v>
      </c>
      <c r="D2720" s="23">
        <f>IFERROR(__xludf.DUMMYFUNCTION("""COMPUTED_VALUE"""),1.079)</f>
        <v>1.079</v>
      </c>
      <c r="E2720" s="24">
        <f>IFERROR(__xludf.DUMMYFUNCTION("""COMPUTED_VALUE"""),66.0)</f>
        <v>66</v>
      </c>
      <c r="F2720" s="27" t="str">
        <f>IFERROR(__xludf.DUMMYFUNCTION("""COMPUTED_VALUE"""),"BLACK")</f>
        <v>BLACK</v>
      </c>
      <c r="G2720" s="28" t="str">
        <f>IFERROR(__xludf.DUMMYFUNCTION("""COMPUTED_VALUE"""),"First Times a Charm Cider")</f>
        <v>First Times a Charm Cider</v>
      </c>
      <c r="H2720" s="27" t="str">
        <f>IFERROR(__xludf.DUMMYFUNCTION("""COMPUTED_VALUE"""),"")</f>
        <v/>
      </c>
    </row>
    <row r="2721">
      <c r="A2721" s="17"/>
      <c r="B2721" s="23"/>
      <c r="C2721" s="17">
        <f>IFERROR(__xludf.DUMMYFUNCTION("""COMPUTED_VALUE"""),43523.0030201967)</f>
        <v>43523.00302</v>
      </c>
      <c r="D2721" s="23">
        <f>IFERROR(__xludf.DUMMYFUNCTION("""COMPUTED_VALUE"""),1.079)</f>
        <v>1.079</v>
      </c>
      <c r="E2721" s="24">
        <f>IFERROR(__xludf.DUMMYFUNCTION("""COMPUTED_VALUE"""),66.0)</f>
        <v>66</v>
      </c>
      <c r="F2721" s="27" t="str">
        <f>IFERROR(__xludf.DUMMYFUNCTION("""COMPUTED_VALUE"""),"BLACK")</f>
        <v>BLACK</v>
      </c>
      <c r="G2721" s="28" t="str">
        <f>IFERROR(__xludf.DUMMYFUNCTION("""COMPUTED_VALUE"""),"First Times a Charm Cider")</f>
        <v>First Times a Charm Cider</v>
      </c>
      <c r="H2721" s="27" t="str">
        <f>IFERROR(__xludf.DUMMYFUNCTION("""COMPUTED_VALUE"""),"")</f>
        <v/>
      </c>
    </row>
    <row r="2722">
      <c r="A2722" s="17"/>
      <c r="B2722" s="23"/>
      <c r="C2722" s="17">
        <f>IFERROR(__xludf.DUMMYFUNCTION("""COMPUTED_VALUE"""),43522.9717446759)</f>
        <v>43522.97174</v>
      </c>
      <c r="D2722" s="23">
        <f>IFERROR(__xludf.DUMMYFUNCTION("""COMPUTED_VALUE"""),1.08)</f>
        <v>1.08</v>
      </c>
      <c r="E2722" s="24">
        <f>IFERROR(__xludf.DUMMYFUNCTION("""COMPUTED_VALUE"""),66.0)</f>
        <v>66</v>
      </c>
      <c r="F2722" s="27" t="str">
        <f>IFERROR(__xludf.DUMMYFUNCTION("""COMPUTED_VALUE"""),"BLACK")</f>
        <v>BLACK</v>
      </c>
      <c r="G2722" s="28" t="str">
        <f>IFERROR(__xludf.DUMMYFUNCTION("""COMPUTED_VALUE"""),"First Times a Charm Cider")</f>
        <v>First Times a Charm Cider</v>
      </c>
      <c r="H2722" s="27" t="str">
        <f>IFERROR(__xludf.DUMMYFUNCTION("""COMPUTED_VALUE"""),"")</f>
        <v/>
      </c>
    </row>
    <row r="2723">
      <c r="A2723" s="17"/>
      <c r="B2723" s="23"/>
      <c r="C2723" s="17">
        <f>IFERROR(__xludf.DUMMYFUNCTION("""COMPUTED_VALUE"""),43522.9404781944)</f>
        <v>43522.94048</v>
      </c>
      <c r="D2723" s="23">
        <f>IFERROR(__xludf.DUMMYFUNCTION("""COMPUTED_VALUE"""),1.079)</f>
        <v>1.079</v>
      </c>
      <c r="E2723" s="24">
        <f>IFERROR(__xludf.DUMMYFUNCTION("""COMPUTED_VALUE"""),66.0)</f>
        <v>66</v>
      </c>
      <c r="F2723" s="27" t="str">
        <f>IFERROR(__xludf.DUMMYFUNCTION("""COMPUTED_VALUE"""),"BLACK")</f>
        <v>BLACK</v>
      </c>
      <c r="G2723" s="28" t="str">
        <f>IFERROR(__xludf.DUMMYFUNCTION("""COMPUTED_VALUE"""),"First Times a Charm Cider")</f>
        <v>First Times a Charm Cider</v>
      </c>
      <c r="H2723" s="27" t="str">
        <f>IFERROR(__xludf.DUMMYFUNCTION("""COMPUTED_VALUE"""),"")</f>
        <v/>
      </c>
    </row>
    <row r="2724">
      <c r="A2724" s="17"/>
      <c r="B2724" s="23"/>
      <c r="C2724" s="17">
        <f>IFERROR(__xludf.DUMMYFUNCTION("""COMPUTED_VALUE"""),43522.9092128703)</f>
        <v>43522.90921</v>
      </c>
      <c r="D2724" s="23">
        <f>IFERROR(__xludf.DUMMYFUNCTION("""COMPUTED_VALUE"""),1.08)</f>
        <v>1.08</v>
      </c>
      <c r="E2724" s="24">
        <f>IFERROR(__xludf.DUMMYFUNCTION("""COMPUTED_VALUE"""),66.0)</f>
        <v>66</v>
      </c>
      <c r="F2724" s="27" t="str">
        <f>IFERROR(__xludf.DUMMYFUNCTION("""COMPUTED_VALUE"""),"BLACK")</f>
        <v>BLACK</v>
      </c>
      <c r="G2724" s="28" t="str">
        <f>IFERROR(__xludf.DUMMYFUNCTION("""COMPUTED_VALUE"""),"First Times a Charm Cider")</f>
        <v>First Times a Charm Cider</v>
      </c>
      <c r="H2724" s="27" t="str">
        <f>IFERROR(__xludf.DUMMYFUNCTION("""COMPUTED_VALUE"""),"")</f>
        <v/>
      </c>
    </row>
    <row r="2725">
      <c r="A2725" s="17"/>
      <c r="B2725" s="23"/>
      <c r="C2725" s="17">
        <f>IFERROR(__xludf.DUMMYFUNCTION("""COMPUTED_VALUE"""),43522.8987922685)</f>
        <v>43522.89879</v>
      </c>
      <c r="D2725" s="23">
        <f>IFERROR(__xludf.DUMMYFUNCTION("""COMPUTED_VALUE"""),1.08)</f>
        <v>1.08</v>
      </c>
      <c r="E2725" s="24">
        <f>IFERROR(__xludf.DUMMYFUNCTION("""COMPUTED_VALUE"""),66.0)</f>
        <v>66</v>
      </c>
      <c r="F2725" s="27" t="str">
        <f>IFERROR(__xludf.DUMMYFUNCTION("""COMPUTED_VALUE"""),"BLACK")</f>
        <v>BLACK</v>
      </c>
      <c r="G2725" s="28" t="str">
        <f>IFERROR(__xludf.DUMMYFUNCTION("""COMPUTED_VALUE"""),"First Times a Charm Cider")</f>
        <v>First Times a Charm Cider</v>
      </c>
      <c r="H2725" s="27" t="str">
        <f>IFERROR(__xludf.DUMMYFUNCTION("""COMPUTED_VALUE"""),"")</f>
        <v/>
      </c>
    </row>
    <row r="2726">
      <c r="A2726" s="17"/>
      <c r="B2726" s="23"/>
      <c r="C2726" s="17">
        <f>IFERROR(__xludf.DUMMYFUNCTION("""COMPUTED_VALUE"""),43522.8779390162)</f>
        <v>43522.87794</v>
      </c>
      <c r="D2726" s="23">
        <f>IFERROR(__xludf.DUMMYFUNCTION("""COMPUTED_VALUE"""),1.08)</f>
        <v>1.08</v>
      </c>
      <c r="E2726" s="24">
        <f>IFERROR(__xludf.DUMMYFUNCTION("""COMPUTED_VALUE"""),66.0)</f>
        <v>66</v>
      </c>
      <c r="F2726" s="27" t="str">
        <f>IFERROR(__xludf.DUMMYFUNCTION("""COMPUTED_VALUE"""),"BLACK")</f>
        <v>BLACK</v>
      </c>
      <c r="G2726" s="28" t="str">
        <f>IFERROR(__xludf.DUMMYFUNCTION("""COMPUTED_VALUE"""),"First Times a Charm Cider")</f>
        <v>First Times a Charm Cider</v>
      </c>
      <c r="H2726" s="27" t="str">
        <f>IFERROR(__xludf.DUMMYFUNCTION("""COMPUTED_VALUE"""),"")</f>
        <v/>
      </c>
    </row>
    <row r="2727">
      <c r="A2727" s="17"/>
      <c r="B2727" s="23"/>
      <c r="C2727" s="17">
        <f>IFERROR(__xludf.DUMMYFUNCTION("""COMPUTED_VALUE"""),43522.8675170254)</f>
        <v>43522.86752</v>
      </c>
      <c r="D2727" s="23">
        <f>IFERROR(__xludf.DUMMYFUNCTION("""COMPUTED_VALUE"""),1.08)</f>
        <v>1.08</v>
      </c>
      <c r="E2727" s="24">
        <f>IFERROR(__xludf.DUMMYFUNCTION("""COMPUTED_VALUE"""),66.0)</f>
        <v>66</v>
      </c>
      <c r="F2727" s="27" t="str">
        <f>IFERROR(__xludf.DUMMYFUNCTION("""COMPUTED_VALUE"""),"BLACK")</f>
        <v>BLACK</v>
      </c>
      <c r="G2727" s="28" t="str">
        <f>IFERROR(__xludf.DUMMYFUNCTION("""COMPUTED_VALUE"""),"First Times a Charm Cider")</f>
        <v>First Times a Charm Cider</v>
      </c>
      <c r="H2727" s="27" t="str">
        <f>IFERROR(__xludf.DUMMYFUNCTION("""COMPUTED_VALUE"""),"")</f>
        <v/>
      </c>
    </row>
    <row r="2728">
      <c r="A2728" s="17"/>
      <c r="B2728" s="23"/>
      <c r="C2728" s="17">
        <f>IFERROR(__xludf.DUMMYFUNCTION("""COMPUTED_VALUE"""),43522.8570961921)</f>
        <v>43522.8571</v>
      </c>
      <c r="D2728" s="23">
        <f>IFERROR(__xludf.DUMMYFUNCTION("""COMPUTED_VALUE"""),1.08)</f>
        <v>1.08</v>
      </c>
      <c r="E2728" s="24">
        <f>IFERROR(__xludf.DUMMYFUNCTION("""COMPUTED_VALUE"""),66.0)</f>
        <v>66</v>
      </c>
      <c r="F2728" s="27" t="str">
        <f>IFERROR(__xludf.DUMMYFUNCTION("""COMPUTED_VALUE"""),"BLACK")</f>
        <v>BLACK</v>
      </c>
      <c r="G2728" s="28" t="str">
        <f>IFERROR(__xludf.DUMMYFUNCTION("""COMPUTED_VALUE"""),"First Times a Charm Cider")</f>
        <v>First Times a Charm Cider</v>
      </c>
      <c r="H2728" s="27" t="str">
        <f>IFERROR(__xludf.DUMMYFUNCTION("""COMPUTED_VALUE"""),"")</f>
        <v/>
      </c>
    </row>
    <row r="2729">
      <c r="A2729" s="17"/>
      <c r="B2729" s="23"/>
      <c r="C2729" s="17">
        <f>IFERROR(__xludf.DUMMYFUNCTION("""COMPUTED_VALUE"""),43522.8466761689)</f>
        <v>43522.84668</v>
      </c>
      <c r="D2729" s="23">
        <f>IFERROR(__xludf.DUMMYFUNCTION("""COMPUTED_VALUE"""),1.08)</f>
        <v>1.08</v>
      </c>
      <c r="E2729" s="24">
        <f>IFERROR(__xludf.DUMMYFUNCTION("""COMPUTED_VALUE"""),66.0)</f>
        <v>66</v>
      </c>
      <c r="F2729" s="27" t="str">
        <f>IFERROR(__xludf.DUMMYFUNCTION("""COMPUTED_VALUE"""),"BLACK")</f>
        <v>BLACK</v>
      </c>
      <c r="G2729" s="28" t="str">
        <f>IFERROR(__xludf.DUMMYFUNCTION("""COMPUTED_VALUE"""),"First Times a Charm Cider")</f>
        <v>First Times a Charm Cider</v>
      </c>
      <c r="H2729" s="27" t="str">
        <f>IFERROR(__xludf.DUMMYFUNCTION("""COMPUTED_VALUE"""),"")</f>
        <v/>
      </c>
    </row>
    <row r="2730">
      <c r="A2730" s="17"/>
      <c r="B2730" s="23"/>
      <c r="C2730" s="17">
        <f>IFERROR(__xludf.DUMMYFUNCTION("""COMPUTED_VALUE"""),43522.8258216666)</f>
        <v>43522.82582</v>
      </c>
      <c r="D2730" s="23">
        <f>IFERROR(__xludf.DUMMYFUNCTION("""COMPUTED_VALUE"""),1.08)</f>
        <v>1.08</v>
      </c>
      <c r="E2730" s="24">
        <f>IFERROR(__xludf.DUMMYFUNCTION("""COMPUTED_VALUE"""),66.0)</f>
        <v>66</v>
      </c>
      <c r="F2730" s="27" t="str">
        <f>IFERROR(__xludf.DUMMYFUNCTION("""COMPUTED_VALUE"""),"BLACK")</f>
        <v>BLACK</v>
      </c>
      <c r="G2730" s="28" t="str">
        <f>IFERROR(__xludf.DUMMYFUNCTION("""COMPUTED_VALUE"""),"First Times a Charm Cider")</f>
        <v>First Times a Charm Cider</v>
      </c>
      <c r="H2730" s="27" t="str">
        <f>IFERROR(__xludf.DUMMYFUNCTION("""COMPUTED_VALUE"""),"")</f>
        <v/>
      </c>
    </row>
    <row r="2731">
      <c r="A2731" s="17"/>
      <c r="B2731" s="23"/>
      <c r="C2731" s="17">
        <f>IFERROR(__xludf.DUMMYFUNCTION("""COMPUTED_VALUE"""),43522.8049641898)</f>
        <v>43522.80496</v>
      </c>
      <c r="D2731" s="23">
        <f>IFERROR(__xludf.DUMMYFUNCTION("""COMPUTED_VALUE"""),1.08)</f>
        <v>1.08</v>
      </c>
      <c r="E2731" s="24">
        <f>IFERROR(__xludf.DUMMYFUNCTION("""COMPUTED_VALUE"""),66.0)</f>
        <v>66</v>
      </c>
      <c r="F2731" s="27" t="str">
        <f>IFERROR(__xludf.DUMMYFUNCTION("""COMPUTED_VALUE"""),"BLACK")</f>
        <v>BLACK</v>
      </c>
      <c r="G2731" s="28" t="str">
        <f>IFERROR(__xludf.DUMMYFUNCTION("""COMPUTED_VALUE"""),"First Times a Charm Cider")</f>
        <v>First Times a Charm Cider</v>
      </c>
      <c r="H2731" s="27" t="str">
        <f>IFERROR(__xludf.DUMMYFUNCTION("""COMPUTED_VALUE"""),"")</f>
        <v/>
      </c>
    </row>
    <row r="2732">
      <c r="A2732" s="17"/>
      <c r="B2732" s="23"/>
      <c r="C2732" s="17">
        <f>IFERROR(__xludf.DUMMYFUNCTION("""COMPUTED_VALUE"""),43522.7528513541)</f>
        <v>43522.75285</v>
      </c>
      <c r="D2732" s="23">
        <f>IFERROR(__xludf.DUMMYFUNCTION("""COMPUTED_VALUE"""),1.081)</f>
        <v>1.081</v>
      </c>
      <c r="E2732" s="24">
        <f>IFERROR(__xludf.DUMMYFUNCTION("""COMPUTED_VALUE"""),66.0)</f>
        <v>66</v>
      </c>
      <c r="F2732" s="27" t="str">
        <f>IFERROR(__xludf.DUMMYFUNCTION("""COMPUTED_VALUE"""),"BLACK")</f>
        <v>BLACK</v>
      </c>
      <c r="G2732" s="28" t="str">
        <f>IFERROR(__xludf.DUMMYFUNCTION("""COMPUTED_VALUE"""),"First Times a Charm Cider")</f>
        <v>First Times a Charm Cider</v>
      </c>
      <c r="H2732" s="27" t="str">
        <f>IFERROR(__xludf.DUMMYFUNCTION("""COMPUTED_VALUE"""),"")</f>
        <v/>
      </c>
    </row>
    <row r="2733">
      <c r="A2733" s="17"/>
      <c r="B2733" s="23"/>
      <c r="C2733" s="17">
        <f>IFERROR(__xludf.DUMMYFUNCTION("""COMPUTED_VALUE"""),43522.7424309606)</f>
        <v>43522.74243</v>
      </c>
      <c r="D2733" s="23">
        <f>IFERROR(__xludf.DUMMYFUNCTION("""COMPUTED_VALUE"""),1.081)</f>
        <v>1.081</v>
      </c>
      <c r="E2733" s="24">
        <f>IFERROR(__xludf.DUMMYFUNCTION("""COMPUTED_VALUE"""),66.0)</f>
        <v>66</v>
      </c>
      <c r="F2733" s="27" t="str">
        <f>IFERROR(__xludf.DUMMYFUNCTION("""COMPUTED_VALUE"""),"BLACK")</f>
        <v>BLACK</v>
      </c>
      <c r="G2733" s="28" t="str">
        <f>IFERROR(__xludf.DUMMYFUNCTION("""COMPUTED_VALUE"""),"First Times a Charm Cider")</f>
        <v>First Times a Charm Cider</v>
      </c>
      <c r="H2733" s="27" t="str">
        <f>IFERROR(__xludf.DUMMYFUNCTION("""COMPUTED_VALUE"""),"")</f>
        <v/>
      </c>
    </row>
    <row r="2734">
      <c r="A2734" s="17"/>
      <c r="B2734" s="23"/>
      <c r="C2734" s="17">
        <f>IFERROR(__xludf.DUMMYFUNCTION("""COMPUTED_VALUE"""),43522.7111680902)</f>
        <v>43522.71117</v>
      </c>
      <c r="D2734" s="23">
        <f>IFERROR(__xludf.DUMMYFUNCTION("""COMPUTED_VALUE"""),1.081)</f>
        <v>1.081</v>
      </c>
      <c r="E2734" s="24">
        <f>IFERROR(__xludf.DUMMYFUNCTION("""COMPUTED_VALUE"""),66.0)</f>
        <v>66</v>
      </c>
      <c r="F2734" s="27" t="str">
        <f>IFERROR(__xludf.DUMMYFUNCTION("""COMPUTED_VALUE"""),"BLACK")</f>
        <v>BLACK</v>
      </c>
      <c r="G2734" s="28" t="str">
        <f>IFERROR(__xludf.DUMMYFUNCTION("""COMPUTED_VALUE"""),"First Times a Charm Cider")</f>
        <v>First Times a Charm Cider</v>
      </c>
      <c r="H2734" s="27" t="str">
        <f>IFERROR(__xludf.DUMMYFUNCTION("""COMPUTED_VALUE"""),"")</f>
        <v/>
      </c>
    </row>
    <row r="2735">
      <c r="A2735" s="17"/>
      <c r="B2735" s="23"/>
      <c r="C2735" s="17">
        <f>IFERROR(__xludf.DUMMYFUNCTION("""COMPUTED_VALUE"""),43522.6903218749)</f>
        <v>43522.69032</v>
      </c>
      <c r="D2735" s="23">
        <f>IFERROR(__xludf.DUMMYFUNCTION("""COMPUTED_VALUE"""),1.081)</f>
        <v>1.081</v>
      </c>
      <c r="E2735" s="24">
        <f>IFERROR(__xludf.DUMMYFUNCTION("""COMPUTED_VALUE"""),66.0)</f>
        <v>66</v>
      </c>
      <c r="F2735" s="27" t="str">
        <f>IFERROR(__xludf.DUMMYFUNCTION("""COMPUTED_VALUE"""),"BLACK")</f>
        <v>BLACK</v>
      </c>
      <c r="G2735" s="28" t="str">
        <f>IFERROR(__xludf.DUMMYFUNCTION("""COMPUTED_VALUE"""),"First Times a Charm Cider")</f>
        <v>First Times a Charm Cider</v>
      </c>
      <c r="H2735" s="27" t="str">
        <f>IFERROR(__xludf.DUMMYFUNCTION("""COMPUTED_VALUE"""),"")</f>
        <v/>
      </c>
    </row>
    <row r="2736">
      <c r="A2736" s="17"/>
      <c r="B2736" s="23"/>
      <c r="C2736" s="17">
        <f>IFERROR(__xludf.DUMMYFUNCTION("""COMPUTED_VALUE"""),43522.6798998495)</f>
        <v>43522.6799</v>
      </c>
      <c r="D2736" s="23">
        <f>IFERROR(__xludf.DUMMYFUNCTION("""COMPUTED_VALUE"""),1.081)</f>
        <v>1.081</v>
      </c>
      <c r="E2736" s="24">
        <f>IFERROR(__xludf.DUMMYFUNCTION("""COMPUTED_VALUE"""),66.0)</f>
        <v>66</v>
      </c>
      <c r="F2736" s="27" t="str">
        <f>IFERROR(__xludf.DUMMYFUNCTION("""COMPUTED_VALUE"""),"BLACK")</f>
        <v>BLACK</v>
      </c>
      <c r="G2736" s="28" t="str">
        <f>IFERROR(__xludf.DUMMYFUNCTION("""COMPUTED_VALUE"""),"First Times a Charm Cider")</f>
        <v>First Times a Charm Cider</v>
      </c>
      <c r="H2736" s="27" t="str">
        <f>IFERROR(__xludf.DUMMYFUNCTION("""COMPUTED_VALUE"""),"")</f>
        <v/>
      </c>
    </row>
    <row r="2737">
      <c r="A2737" s="17"/>
      <c r="B2737" s="23"/>
      <c r="C2737" s="17">
        <f>IFERROR(__xludf.DUMMYFUNCTION("""COMPUTED_VALUE"""),43522.6694768865)</f>
        <v>43522.66948</v>
      </c>
      <c r="D2737" s="23">
        <f>IFERROR(__xludf.DUMMYFUNCTION("""COMPUTED_VALUE"""),1.081)</f>
        <v>1.081</v>
      </c>
      <c r="E2737" s="24">
        <f>IFERROR(__xludf.DUMMYFUNCTION("""COMPUTED_VALUE"""),66.0)</f>
        <v>66</v>
      </c>
      <c r="F2737" s="27" t="str">
        <f>IFERROR(__xludf.DUMMYFUNCTION("""COMPUTED_VALUE"""),"BLACK")</f>
        <v>BLACK</v>
      </c>
      <c r="G2737" s="28" t="str">
        <f>IFERROR(__xludf.DUMMYFUNCTION("""COMPUTED_VALUE"""),"First Times a Charm Cider")</f>
        <v>First Times a Charm Cider</v>
      </c>
      <c r="H2737" s="27" t="str">
        <f>IFERROR(__xludf.DUMMYFUNCTION("""COMPUTED_VALUE"""),"")</f>
        <v/>
      </c>
    </row>
    <row r="2738">
      <c r="A2738" s="17"/>
      <c r="B2738" s="23"/>
      <c r="C2738" s="17">
        <f>IFERROR(__xludf.DUMMYFUNCTION("""COMPUTED_VALUE"""),43522.6590329861)</f>
        <v>43522.65903</v>
      </c>
      <c r="D2738" s="23">
        <f>IFERROR(__xludf.DUMMYFUNCTION("""COMPUTED_VALUE"""),1.081)</f>
        <v>1.081</v>
      </c>
      <c r="E2738" s="24">
        <f>IFERROR(__xludf.DUMMYFUNCTION("""COMPUTED_VALUE"""),66.0)</f>
        <v>66</v>
      </c>
      <c r="F2738" s="27" t="str">
        <f>IFERROR(__xludf.DUMMYFUNCTION("""COMPUTED_VALUE"""),"BLACK")</f>
        <v>BLACK</v>
      </c>
      <c r="G2738" s="28" t="str">
        <f>IFERROR(__xludf.DUMMYFUNCTION("""COMPUTED_VALUE"""),"First Times a Charm Cider")</f>
        <v>First Times a Charm Cider</v>
      </c>
      <c r="H2738" s="27" t="str">
        <f>IFERROR(__xludf.DUMMYFUNCTION("""COMPUTED_VALUE"""),"")</f>
        <v/>
      </c>
    </row>
    <row r="2739">
      <c r="A2739" s="17"/>
      <c r="B2739" s="23"/>
      <c r="C2739" s="17">
        <f>IFERROR(__xludf.DUMMYFUNCTION("""COMPUTED_VALUE"""),43522.648610949)</f>
        <v>43522.64861</v>
      </c>
      <c r="D2739" s="23">
        <f>IFERROR(__xludf.DUMMYFUNCTION("""COMPUTED_VALUE"""),1.081)</f>
        <v>1.081</v>
      </c>
      <c r="E2739" s="24">
        <f>IFERROR(__xludf.DUMMYFUNCTION("""COMPUTED_VALUE"""),66.0)</f>
        <v>66</v>
      </c>
      <c r="F2739" s="27" t="str">
        <f>IFERROR(__xludf.DUMMYFUNCTION("""COMPUTED_VALUE"""),"BLACK")</f>
        <v>BLACK</v>
      </c>
      <c r="G2739" s="28" t="str">
        <f>IFERROR(__xludf.DUMMYFUNCTION("""COMPUTED_VALUE"""),"First Times a Charm Cider")</f>
        <v>First Times a Charm Cider</v>
      </c>
      <c r="H2739" s="27" t="str">
        <f>IFERROR(__xludf.DUMMYFUNCTION("""COMPUTED_VALUE"""),"")</f>
        <v/>
      </c>
    </row>
    <row r="2740">
      <c r="A2740" s="17"/>
      <c r="B2740" s="23"/>
      <c r="C2740" s="17">
        <f>IFERROR(__xludf.DUMMYFUNCTION("""COMPUTED_VALUE"""),43522.6277587963)</f>
        <v>43522.62776</v>
      </c>
      <c r="D2740" s="23">
        <f>IFERROR(__xludf.DUMMYFUNCTION("""COMPUTED_VALUE"""),1.081)</f>
        <v>1.081</v>
      </c>
      <c r="E2740" s="24">
        <f>IFERROR(__xludf.DUMMYFUNCTION("""COMPUTED_VALUE"""),66.0)</f>
        <v>66</v>
      </c>
      <c r="F2740" s="27" t="str">
        <f>IFERROR(__xludf.DUMMYFUNCTION("""COMPUTED_VALUE"""),"BLACK")</f>
        <v>BLACK</v>
      </c>
      <c r="G2740" s="28" t="str">
        <f>IFERROR(__xludf.DUMMYFUNCTION("""COMPUTED_VALUE"""),"First Times a Charm Cider")</f>
        <v>First Times a Charm Cider</v>
      </c>
      <c r="H2740" s="27" t="str">
        <f>IFERROR(__xludf.DUMMYFUNCTION("""COMPUTED_VALUE"""),"")</f>
        <v/>
      </c>
    </row>
    <row r="2741">
      <c r="A2741" s="17"/>
      <c r="B2741" s="23"/>
      <c r="C2741" s="17">
        <f>IFERROR(__xludf.DUMMYFUNCTION("""COMPUTED_VALUE"""),43522.6173384606)</f>
        <v>43522.61734</v>
      </c>
      <c r="D2741" s="23">
        <f>IFERROR(__xludf.DUMMYFUNCTION("""COMPUTED_VALUE"""),1.081)</f>
        <v>1.081</v>
      </c>
      <c r="E2741" s="24">
        <f>IFERROR(__xludf.DUMMYFUNCTION("""COMPUTED_VALUE"""),66.0)</f>
        <v>66</v>
      </c>
      <c r="F2741" s="27" t="str">
        <f>IFERROR(__xludf.DUMMYFUNCTION("""COMPUTED_VALUE"""),"BLACK")</f>
        <v>BLACK</v>
      </c>
      <c r="G2741" s="28" t="str">
        <f>IFERROR(__xludf.DUMMYFUNCTION("""COMPUTED_VALUE"""),"First Times a Charm Cider")</f>
        <v>First Times a Charm Cider</v>
      </c>
      <c r="H2741" s="27" t="str">
        <f>IFERROR(__xludf.DUMMYFUNCTION("""COMPUTED_VALUE"""),"")</f>
        <v/>
      </c>
    </row>
    <row r="2742">
      <c r="A2742" s="17"/>
      <c r="B2742" s="23"/>
      <c r="C2742" s="17">
        <f>IFERROR(__xludf.DUMMYFUNCTION("""COMPUTED_VALUE"""),43522.5652206018)</f>
        <v>43522.56522</v>
      </c>
      <c r="D2742" s="23">
        <f>IFERROR(__xludf.DUMMYFUNCTION("""COMPUTED_VALUE"""),1.082)</f>
        <v>1.082</v>
      </c>
      <c r="E2742" s="24">
        <f>IFERROR(__xludf.DUMMYFUNCTION("""COMPUTED_VALUE"""),66.0)</f>
        <v>66</v>
      </c>
      <c r="F2742" s="27" t="str">
        <f>IFERROR(__xludf.DUMMYFUNCTION("""COMPUTED_VALUE"""),"BLACK")</f>
        <v>BLACK</v>
      </c>
      <c r="G2742" s="28" t="str">
        <f>IFERROR(__xludf.DUMMYFUNCTION("""COMPUTED_VALUE"""),"First Times a Charm Cider")</f>
        <v>First Times a Charm Cider</v>
      </c>
      <c r="H2742" s="27" t="str">
        <f>IFERROR(__xludf.DUMMYFUNCTION("""COMPUTED_VALUE"""),"")</f>
        <v/>
      </c>
    </row>
    <row r="2743">
      <c r="A2743" s="17"/>
      <c r="B2743" s="23"/>
      <c r="C2743" s="17">
        <f>IFERROR(__xludf.DUMMYFUNCTION("""COMPUTED_VALUE"""),43522.5443779976)</f>
        <v>43522.54438</v>
      </c>
      <c r="D2743" s="23">
        <f>IFERROR(__xludf.DUMMYFUNCTION("""COMPUTED_VALUE"""),1.082)</f>
        <v>1.082</v>
      </c>
      <c r="E2743" s="24">
        <f>IFERROR(__xludf.DUMMYFUNCTION("""COMPUTED_VALUE"""),66.0)</f>
        <v>66</v>
      </c>
      <c r="F2743" s="27" t="str">
        <f>IFERROR(__xludf.DUMMYFUNCTION("""COMPUTED_VALUE"""),"BLACK")</f>
        <v>BLACK</v>
      </c>
      <c r="G2743" s="28" t="str">
        <f>IFERROR(__xludf.DUMMYFUNCTION("""COMPUTED_VALUE"""),"First Times a Charm Cider")</f>
        <v>First Times a Charm Cider</v>
      </c>
      <c r="H2743" s="27" t="str">
        <f>IFERROR(__xludf.DUMMYFUNCTION("""COMPUTED_VALUE"""),"")</f>
        <v/>
      </c>
    </row>
    <row r="2744">
      <c r="A2744" s="17"/>
      <c r="B2744" s="23"/>
      <c r="C2744" s="17">
        <f>IFERROR(__xludf.DUMMYFUNCTION("""COMPUTED_VALUE"""),43522.5235353703)</f>
        <v>43522.52354</v>
      </c>
      <c r="D2744" s="23">
        <f>IFERROR(__xludf.DUMMYFUNCTION("""COMPUTED_VALUE"""),1.082)</f>
        <v>1.082</v>
      </c>
      <c r="E2744" s="24">
        <f>IFERROR(__xludf.DUMMYFUNCTION("""COMPUTED_VALUE"""),66.0)</f>
        <v>66</v>
      </c>
      <c r="F2744" s="27" t="str">
        <f>IFERROR(__xludf.DUMMYFUNCTION("""COMPUTED_VALUE"""),"BLACK")</f>
        <v>BLACK</v>
      </c>
      <c r="G2744" s="28" t="str">
        <f>IFERROR(__xludf.DUMMYFUNCTION("""COMPUTED_VALUE"""),"First Times a Charm Cider")</f>
        <v>First Times a Charm Cider</v>
      </c>
      <c r="H2744" s="27" t="str">
        <f>IFERROR(__xludf.DUMMYFUNCTION("""COMPUTED_VALUE"""),"")</f>
        <v/>
      </c>
    </row>
    <row r="2745">
      <c r="A2745" s="17"/>
      <c r="B2745" s="23"/>
      <c r="C2745" s="17">
        <f>IFERROR(__xludf.DUMMYFUNCTION("""COMPUTED_VALUE"""),43522.5131133912)</f>
        <v>43522.51311</v>
      </c>
      <c r="D2745" s="23">
        <f>IFERROR(__xludf.DUMMYFUNCTION("""COMPUTED_VALUE"""),1.082)</f>
        <v>1.082</v>
      </c>
      <c r="E2745" s="24">
        <f>IFERROR(__xludf.DUMMYFUNCTION("""COMPUTED_VALUE"""),66.0)</f>
        <v>66</v>
      </c>
      <c r="F2745" s="27" t="str">
        <f>IFERROR(__xludf.DUMMYFUNCTION("""COMPUTED_VALUE"""),"BLACK")</f>
        <v>BLACK</v>
      </c>
      <c r="G2745" s="28" t="str">
        <f>IFERROR(__xludf.DUMMYFUNCTION("""COMPUTED_VALUE"""),"First Times a Charm Cider")</f>
        <v>First Times a Charm Cider</v>
      </c>
      <c r="H2745" s="27" t="str">
        <f>IFERROR(__xludf.DUMMYFUNCTION("""COMPUTED_VALUE"""),"")</f>
        <v/>
      </c>
    </row>
    <row r="2746">
      <c r="A2746" s="17"/>
      <c r="B2746" s="23"/>
      <c r="C2746" s="17">
        <f>IFERROR(__xludf.DUMMYFUNCTION("""COMPUTED_VALUE"""),43522.5026918634)</f>
        <v>43522.50269</v>
      </c>
      <c r="D2746" s="23">
        <f>IFERROR(__xludf.DUMMYFUNCTION("""COMPUTED_VALUE"""),1.082)</f>
        <v>1.082</v>
      </c>
      <c r="E2746" s="24">
        <f>IFERROR(__xludf.DUMMYFUNCTION("""COMPUTED_VALUE"""),66.0)</f>
        <v>66</v>
      </c>
      <c r="F2746" s="27" t="str">
        <f>IFERROR(__xludf.DUMMYFUNCTION("""COMPUTED_VALUE"""),"BLACK")</f>
        <v>BLACK</v>
      </c>
      <c r="G2746" s="28" t="str">
        <f>IFERROR(__xludf.DUMMYFUNCTION("""COMPUTED_VALUE"""),"First Times a Charm Cider")</f>
        <v>First Times a Charm Cider</v>
      </c>
      <c r="H2746" s="27" t="str">
        <f>IFERROR(__xludf.DUMMYFUNCTION("""COMPUTED_VALUE"""),"")</f>
        <v/>
      </c>
    </row>
    <row r="2747">
      <c r="A2747" s="17"/>
      <c r="B2747" s="23"/>
      <c r="C2747" s="17">
        <f>IFERROR(__xludf.DUMMYFUNCTION("""COMPUTED_VALUE"""),43522.4922718055)</f>
        <v>43522.49227</v>
      </c>
      <c r="D2747" s="23">
        <f>IFERROR(__xludf.DUMMYFUNCTION("""COMPUTED_VALUE"""),1.082)</f>
        <v>1.082</v>
      </c>
      <c r="E2747" s="24">
        <f>IFERROR(__xludf.DUMMYFUNCTION("""COMPUTED_VALUE"""),66.0)</f>
        <v>66</v>
      </c>
      <c r="F2747" s="27" t="str">
        <f>IFERROR(__xludf.DUMMYFUNCTION("""COMPUTED_VALUE"""),"BLACK")</f>
        <v>BLACK</v>
      </c>
      <c r="G2747" s="28" t="str">
        <f>IFERROR(__xludf.DUMMYFUNCTION("""COMPUTED_VALUE"""),"First Times a Charm Cider")</f>
        <v>First Times a Charm Cider</v>
      </c>
      <c r="H2747" s="27" t="str">
        <f>IFERROR(__xludf.DUMMYFUNCTION("""COMPUTED_VALUE"""),"")</f>
        <v/>
      </c>
    </row>
    <row r="2748">
      <c r="A2748" s="17"/>
      <c r="B2748" s="23"/>
      <c r="C2748" s="17">
        <f>IFERROR(__xludf.DUMMYFUNCTION("""COMPUTED_VALUE"""),43522.4818490509)</f>
        <v>43522.48185</v>
      </c>
      <c r="D2748" s="23">
        <f>IFERROR(__xludf.DUMMYFUNCTION("""COMPUTED_VALUE"""),1.082)</f>
        <v>1.082</v>
      </c>
      <c r="E2748" s="24">
        <f>IFERROR(__xludf.DUMMYFUNCTION("""COMPUTED_VALUE"""),66.0)</f>
        <v>66</v>
      </c>
      <c r="F2748" s="27" t="str">
        <f>IFERROR(__xludf.DUMMYFUNCTION("""COMPUTED_VALUE"""),"BLACK")</f>
        <v>BLACK</v>
      </c>
      <c r="G2748" s="28" t="str">
        <f>IFERROR(__xludf.DUMMYFUNCTION("""COMPUTED_VALUE"""),"First Times a Charm Cider")</f>
        <v>First Times a Charm Cider</v>
      </c>
      <c r="H2748" s="27" t="str">
        <f>IFERROR(__xludf.DUMMYFUNCTION("""COMPUTED_VALUE"""),"")</f>
        <v/>
      </c>
    </row>
    <row r="2749">
      <c r="A2749" s="17"/>
      <c r="B2749" s="23"/>
      <c r="C2749" s="17">
        <f>IFERROR(__xludf.DUMMYFUNCTION("""COMPUTED_VALUE"""),43522.4610088773)</f>
        <v>43522.46101</v>
      </c>
      <c r="D2749" s="23">
        <f>IFERROR(__xludf.DUMMYFUNCTION("""COMPUTED_VALUE"""),1.082)</f>
        <v>1.082</v>
      </c>
      <c r="E2749" s="24">
        <f>IFERROR(__xludf.DUMMYFUNCTION("""COMPUTED_VALUE"""),66.0)</f>
        <v>66</v>
      </c>
      <c r="F2749" s="27" t="str">
        <f>IFERROR(__xludf.DUMMYFUNCTION("""COMPUTED_VALUE"""),"BLACK")</f>
        <v>BLACK</v>
      </c>
      <c r="G2749" s="28" t="str">
        <f>IFERROR(__xludf.DUMMYFUNCTION("""COMPUTED_VALUE"""),"First Times a Charm Cider")</f>
        <v>First Times a Charm Cider</v>
      </c>
      <c r="H2749" s="27" t="str">
        <f>IFERROR(__xludf.DUMMYFUNCTION("""COMPUTED_VALUE"""),"")</f>
        <v/>
      </c>
    </row>
    <row r="2750">
      <c r="A2750" s="17"/>
      <c r="B2750" s="23"/>
      <c r="C2750" s="17">
        <f>IFERROR(__xludf.DUMMYFUNCTION("""COMPUTED_VALUE"""),43522.4401677083)</f>
        <v>43522.44017</v>
      </c>
      <c r="D2750" s="23">
        <f>IFERROR(__xludf.DUMMYFUNCTION("""COMPUTED_VALUE"""),1.082)</f>
        <v>1.082</v>
      </c>
      <c r="E2750" s="24">
        <f>IFERROR(__xludf.DUMMYFUNCTION("""COMPUTED_VALUE"""),66.0)</f>
        <v>66</v>
      </c>
      <c r="F2750" s="27" t="str">
        <f>IFERROR(__xludf.DUMMYFUNCTION("""COMPUTED_VALUE"""),"BLACK")</f>
        <v>BLACK</v>
      </c>
      <c r="G2750" s="28" t="str">
        <f>IFERROR(__xludf.DUMMYFUNCTION("""COMPUTED_VALUE"""),"First Times a Charm Cider")</f>
        <v>First Times a Charm Cider</v>
      </c>
      <c r="H2750" s="27" t="str">
        <f>IFERROR(__xludf.DUMMYFUNCTION("""COMPUTED_VALUE"""),"")</f>
        <v/>
      </c>
    </row>
    <row r="2751">
      <c r="A2751" s="17"/>
      <c r="B2751" s="23"/>
      <c r="C2751" s="17">
        <f>IFERROR(__xludf.DUMMYFUNCTION("""COMPUTED_VALUE"""),43522.4088789467)</f>
        <v>43522.40888</v>
      </c>
      <c r="D2751" s="23">
        <f>IFERROR(__xludf.DUMMYFUNCTION("""COMPUTED_VALUE"""),1.082)</f>
        <v>1.082</v>
      </c>
      <c r="E2751" s="24">
        <f>IFERROR(__xludf.DUMMYFUNCTION("""COMPUTED_VALUE"""),66.0)</f>
        <v>66</v>
      </c>
      <c r="F2751" s="27" t="str">
        <f>IFERROR(__xludf.DUMMYFUNCTION("""COMPUTED_VALUE"""),"BLACK")</f>
        <v>BLACK</v>
      </c>
      <c r="G2751" s="28" t="str">
        <f>IFERROR(__xludf.DUMMYFUNCTION("""COMPUTED_VALUE"""),"First Times a Charm Cider")</f>
        <v>First Times a Charm Cider</v>
      </c>
      <c r="H2751" s="27" t="str">
        <f>IFERROR(__xludf.DUMMYFUNCTION("""COMPUTED_VALUE"""),"")</f>
        <v/>
      </c>
    </row>
    <row r="2752">
      <c r="A2752" s="17"/>
      <c r="B2752" s="23"/>
      <c r="C2752" s="17">
        <f>IFERROR(__xludf.DUMMYFUNCTION("""COMPUTED_VALUE"""),43522.3984467708)</f>
        <v>43522.39845</v>
      </c>
      <c r="D2752" s="23">
        <f>IFERROR(__xludf.DUMMYFUNCTION("""COMPUTED_VALUE"""),1.082)</f>
        <v>1.082</v>
      </c>
      <c r="E2752" s="24">
        <f>IFERROR(__xludf.DUMMYFUNCTION("""COMPUTED_VALUE"""),66.0)</f>
        <v>66</v>
      </c>
      <c r="F2752" s="27" t="str">
        <f>IFERROR(__xludf.DUMMYFUNCTION("""COMPUTED_VALUE"""),"BLACK")</f>
        <v>BLACK</v>
      </c>
      <c r="G2752" s="28" t="str">
        <f>IFERROR(__xludf.DUMMYFUNCTION("""COMPUTED_VALUE"""),"First Times a Charm Cider")</f>
        <v>First Times a Charm Cider</v>
      </c>
      <c r="H2752" s="27" t="str">
        <f>IFERROR(__xludf.DUMMYFUNCTION("""COMPUTED_VALUE"""),"")</f>
        <v/>
      </c>
    </row>
    <row r="2753">
      <c r="A2753" s="17"/>
      <c r="B2753" s="23"/>
      <c r="C2753" s="17">
        <f>IFERROR(__xludf.DUMMYFUNCTION("""COMPUTED_VALUE"""),43522.3671826041)</f>
        <v>43522.36718</v>
      </c>
      <c r="D2753" s="23">
        <f>IFERROR(__xludf.DUMMYFUNCTION("""COMPUTED_VALUE"""),1.083)</f>
        <v>1.083</v>
      </c>
      <c r="E2753" s="24">
        <f>IFERROR(__xludf.DUMMYFUNCTION("""COMPUTED_VALUE"""),66.0)</f>
        <v>66</v>
      </c>
      <c r="F2753" s="27" t="str">
        <f>IFERROR(__xludf.DUMMYFUNCTION("""COMPUTED_VALUE"""),"BLACK")</f>
        <v>BLACK</v>
      </c>
      <c r="G2753" s="28" t="str">
        <f>IFERROR(__xludf.DUMMYFUNCTION("""COMPUTED_VALUE"""),"First Times a Charm Cider")</f>
        <v>First Times a Charm Cider</v>
      </c>
      <c r="H2753" s="27" t="str">
        <f>IFERROR(__xludf.DUMMYFUNCTION("""COMPUTED_VALUE"""),"")</f>
        <v/>
      </c>
    </row>
    <row r="2754">
      <c r="A2754" s="17"/>
      <c r="B2754" s="23"/>
      <c r="C2754" s="17">
        <f>IFERROR(__xludf.DUMMYFUNCTION("""COMPUTED_VALUE"""),43522.3463293171)</f>
        <v>43522.34633</v>
      </c>
      <c r="D2754" s="23">
        <f>IFERROR(__xludf.DUMMYFUNCTION("""COMPUTED_VALUE"""),1.082)</f>
        <v>1.082</v>
      </c>
      <c r="E2754" s="24">
        <f>IFERROR(__xludf.DUMMYFUNCTION("""COMPUTED_VALUE"""),66.0)</f>
        <v>66</v>
      </c>
      <c r="F2754" s="27" t="str">
        <f>IFERROR(__xludf.DUMMYFUNCTION("""COMPUTED_VALUE"""),"BLACK")</f>
        <v>BLACK</v>
      </c>
      <c r="G2754" s="28" t="str">
        <f>IFERROR(__xludf.DUMMYFUNCTION("""COMPUTED_VALUE"""),"First Times a Charm Cider")</f>
        <v>First Times a Charm Cider</v>
      </c>
      <c r="H2754" s="27" t="str">
        <f>IFERROR(__xludf.DUMMYFUNCTION("""COMPUTED_VALUE"""),"")</f>
        <v/>
      </c>
    </row>
    <row r="2755">
      <c r="A2755" s="17"/>
      <c r="B2755" s="23"/>
      <c r="C2755" s="17">
        <f>IFERROR(__xludf.DUMMYFUNCTION("""COMPUTED_VALUE"""),43522.32546375)</f>
        <v>43522.32546</v>
      </c>
      <c r="D2755" s="23">
        <f>IFERROR(__xludf.DUMMYFUNCTION("""COMPUTED_VALUE"""),1.083)</f>
        <v>1.083</v>
      </c>
      <c r="E2755" s="24">
        <f>IFERROR(__xludf.DUMMYFUNCTION("""COMPUTED_VALUE"""),67.0)</f>
        <v>67</v>
      </c>
      <c r="F2755" s="27" t="str">
        <f>IFERROR(__xludf.DUMMYFUNCTION("""COMPUTED_VALUE"""),"BLACK")</f>
        <v>BLACK</v>
      </c>
      <c r="G2755" s="28" t="str">
        <f>IFERROR(__xludf.DUMMYFUNCTION("""COMPUTED_VALUE"""),"First Times a Charm Cider")</f>
        <v>First Times a Charm Cider</v>
      </c>
      <c r="H2755" s="27" t="str">
        <f>IFERROR(__xludf.DUMMYFUNCTION("""COMPUTED_VALUE"""),"")</f>
        <v/>
      </c>
    </row>
    <row r="2756">
      <c r="A2756" s="17"/>
      <c r="B2756" s="23"/>
      <c r="C2756" s="17">
        <f>IFERROR(__xludf.DUMMYFUNCTION("""COMPUTED_VALUE"""),43522.3046199652)</f>
        <v>43522.30462</v>
      </c>
      <c r="D2756" s="23">
        <f>IFERROR(__xludf.DUMMYFUNCTION("""COMPUTED_VALUE"""),1.083)</f>
        <v>1.083</v>
      </c>
      <c r="E2756" s="24">
        <f>IFERROR(__xludf.DUMMYFUNCTION("""COMPUTED_VALUE"""),67.0)</f>
        <v>67</v>
      </c>
      <c r="F2756" s="27" t="str">
        <f>IFERROR(__xludf.DUMMYFUNCTION("""COMPUTED_VALUE"""),"BLACK")</f>
        <v>BLACK</v>
      </c>
      <c r="G2756" s="28" t="str">
        <f>IFERROR(__xludf.DUMMYFUNCTION("""COMPUTED_VALUE"""),"First Times a Charm Cider")</f>
        <v>First Times a Charm Cider</v>
      </c>
      <c r="H2756" s="27" t="str">
        <f>IFERROR(__xludf.DUMMYFUNCTION("""COMPUTED_VALUE"""),"")</f>
        <v/>
      </c>
    </row>
    <row r="2757">
      <c r="A2757" s="17"/>
      <c r="B2757" s="23"/>
      <c r="C2757" s="17">
        <f>IFERROR(__xludf.DUMMYFUNCTION("""COMPUTED_VALUE"""),43522.2941983101)</f>
        <v>43522.2942</v>
      </c>
      <c r="D2757" s="23">
        <f>IFERROR(__xludf.DUMMYFUNCTION("""COMPUTED_VALUE"""),1.083)</f>
        <v>1.083</v>
      </c>
      <c r="E2757" s="24">
        <f>IFERROR(__xludf.DUMMYFUNCTION("""COMPUTED_VALUE"""),67.0)</f>
        <v>67</v>
      </c>
      <c r="F2757" s="27" t="str">
        <f>IFERROR(__xludf.DUMMYFUNCTION("""COMPUTED_VALUE"""),"BLACK")</f>
        <v>BLACK</v>
      </c>
      <c r="G2757" s="28" t="str">
        <f>IFERROR(__xludf.DUMMYFUNCTION("""COMPUTED_VALUE"""),"First Times a Charm Cider")</f>
        <v>First Times a Charm Cider</v>
      </c>
      <c r="H2757" s="27" t="str">
        <f>IFERROR(__xludf.DUMMYFUNCTION("""COMPUTED_VALUE"""),"")</f>
        <v/>
      </c>
    </row>
    <row r="2758">
      <c r="A2758" s="17"/>
      <c r="B2758" s="23"/>
      <c r="C2758" s="17">
        <f>IFERROR(__xludf.DUMMYFUNCTION("""COMPUTED_VALUE"""),43522.283765787)</f>
        <v>43522.28377</v>
      </c>
      <c r="D2758" s="23">
        <f>IFERROR(__xludf.DUMMYFUNCTION("""COMPUTED_VALUE"""),1.083)</f>
        <v>1.083</v>
      </c>
      <c r="E2758" s="24">
        <f>IFERROR(__xludf.DUMMYFUNCTION("""COMPUTED_VALUE"""),67.0)</f>
        <v>67</v>
      </c>
      <c r="F2758" s="27" t="str">
        <f>IFERROR(__xludf.DUMMYFUNCTION("""COMPUTED_VALUE"""),"BLACK")</f>
        <v>BLACK</v>
      </c>
      <c r="G2758" s="28" t="str">
        <f>IFERROR(__xludf.DUMMYFUNCTION("""COMPUTED_VALUE"""),"First Times a Charm Cider")</f>
        <v>First Times a Charm Cider</v>
      </c>
      <c r="H2758" s="27" t="str">
        <f>IFERROR(__xludf.DUMMYFUNCTION("""COMPUTED_VALUE"""),"")</f>
        <v/>
      </c>
    </row>
    <row r="2759">
      <c r="A2759" s="17"/>
      <c r="B2759" s="23"/>
      <c r="C2759" s="17">
        <f>IFERROR(__xludf.DUMMYFUNCTION("""COMPUTED_VALUE"""),43522.273345081)</f>
        <v>43522.27335</v>
      </c>
      <c r="D2759" s="23">
        <f>IFERROR(__xludf.DUMMYFUNCTION("""COMPUTED_VALUE"""),1.083)</f>
        <v>1.083</v>
      </c>
      <c r="E2759" s="24">
        <f>IFERROR(__xludf.DUMMYFUNCTION("""COMPUTED_VALUE"""),67.0)</f>
        <v>67</v>
      </c>
      <c r="F2759" s="27" t="str">
        <f>IFERROR(__xludf.DUMMYFUNCTION("""COMPUTED_VALUE"""),"BLACK")</f>
        <v>BLACK</v>
      </c>
      <c r="G2759" s="28" t="str">
        <f>IFERROR(__xludf.DUMMYFUNCTION("""COMPUTED_VALUE"""),"First Times a Charm Cider")</f>
        <v>First Times a Charm Cider</v>
      </c>
      <c r="H2759" s="27" t="str">
        <f>IFERROR(__xludf.DUMMYFUNCTION("""COMPUTED_VALUE"""),"")</f>
        <v/>
      </c>
    </row>
    <row r="2760">
      <c r="A2760" s="17"/>
      <c r="B2760" s="23"/>
      <c r="C2760" s="17">
        <f>IFERROR(__xludf.DUMMYFUNCTION("""COMPUTED_VALUE"""),43522.2524807523)</f>
        <v>43522.25248</v>
      </c>
      <c r="D2760" s="23">
        <f>IFERROR(__xludf.DUMMYFUNCTION("""COMPUTED_VALUE"""),1.083)</f>
        <v>1.083</v>
      </c>
      <c r="E2760" s="24">
        <f>IFERROR(__xludf.DUMMYFUNCTION("""COMPUTED_VALUE"""),67.0)</f>
        <v>67</v>
      </c>
      <c r="F2760" s="27" t="str">
        <f>IFERROR(__xludf.DUMMYFUNCTION("""COMPUTED_VALUE"""),"BLACK")</f>
        <v>BLACK</v>
      </c>
      <c r="G2760" s="28" t="str">
        <f>IFERROR(__xludf.DUMMYFUNCTION("""COMPUTED_VALUE"""),"First Times a Charm Cider")</f>
        <v>First Times a Charm Cider</v>
      </c>
      <c r="H2760" s="27" t="str">
        <f>IFERROR(__xludf.DUMMYFUNCTION("""COMPUTED_VALUE"""),"")</f>
        <v/>
      </c>
    </row>
    <row r="2761">
      <c r="A2761" s="17"/>
      <c r="B2761" s="23"/>
      <c r="C2761" s="17">
        <f>IFERROR(__xludf.DUMMYFUNCTION("""COMPUTED_VALUE"""),43522.2420600462)</f>
        <v>43522.24206</v>
      </c>
      <c r="D2761" s="23">
        <f>IFERROR(__xludf.DUMMYFUNCTION("""COMPUTED_VALUE"""),1.083)</f>
        <v>1.083</v>
      </c>
      <c r="E2761" s="24">
        <f>IFERROR(__xludf.DUMMYFUNCTION("""COMPUTED_VALUE"""),67.0)</f>
        <v>67</v>
      </c>
      <c r="F2761" s="27" t="str">
        <f>IFERROR(__xludf.DUMMYFUNCTION("""COMPUTED_VALUE"""),"BLACK")</f>
        <v>BLACK</v>
      </c>
      <c r="G2761" s="28" t="str">
        <f>IFERROR(__xludf.DUMMYFUNCTION("""COMPUTED_VALUE"""),"First Times a Charm Cider")</f>
        <v>First Times a Charm Cider</v>
      </c>
      <c r="H2761" s="27" t="str">
        <f>IFERROR(__xludf.DUMMYFUNCTION("""COMPUTED_VALUE"""),"")</f>
        <v/>
      </c>
    </row>
    <row r="2762">
      <c r="A2762" s="17"/>
      <c r="B2762" s="23"/>
      <c r="C2762" s="17">
        <f>IFERROR(__xludf.DUMMYFUNCTION("""COMPUTED_VALUE"""),43522.2003708217)</f>
        <v>43522.20037</v>
      </c>
      <c r="D2762" s="23">
        <f>IFERROR(__xludf.DUMMYFUNCTION("""COMPUTED_VALUE"""),1.084)</f>
        <v>1.084</v>
      </c>
      <c r="E2762" s="24">
        <f>IFERROR(__xludf.DUMMYFUNCTION("""COMPUTED_VALUE"""),67.0)</f>
        <v>67</v>
      </c>
      <c r="F2762" s="27" t="str">
        <f>IFERROR(__xludf.DUMMYFUNCTION("""COMPUTED_VALUE"""),"BLACK")</f>
        <v>BLACK</v>
      </c>
      <c r="G2762" s="28" t="str">
        <f>IFERROR(__xludf.DUMMYFUNCTION("""COMPUTED_VALUE"""),"First Times a Charm Cider")</f>
        <v>First Times a Charm Cider</v>
      </c>
      <c r="H2762" s="27" t="str">
        <f>IFERROR(__xludf.DUMMYFUNCTION("""COMPUTED_VALUE"""),"")</f>
        <v/>
      </c>
    </row>
    <row r="2763">
      <c r="A2763" s="17"/>
      <c r="B2763" s="23"/>
      <c r="C2763" s="17">
        <f>IFERROR(__xludf.DUMMYFUNCTION("""COMPUTED_VALUE"""),43522.1899521412)</f>
        <v>43522.18995</v>
      </c>
      <c r="D2763" s="23">
        <f>IFERROR(__xludf.DUMMYFUNCTION("""COMPUTED_VALUE"""),1.084)</f>
        <v>1.084</v>
      </c>
      <c r="E2763" s="24">
        <f>IFERROR(__xludf.DUMMYFUNCTION("""COMPUTED_VALUE"""),67.0)</f>
        <v>67</v>
      </c>
      <c r="F2763" s="27" t="str">
        <f>IFERROR(__xludf.DUMMYFUNCTION("""COMPUTED_VALUE"""),"BLACK")</f>
        <v>BLACK</v>
      </c>
      <c r="G2763" s="28" t="str">
        <f>IFERROR(__xludf.DUMMYFUNCTION("""COMPUTED_VALUE"""),"First Times a Charm Cider")</f>
        <v>First Times a Charm Cider</v>
      </c>
      <c r="H2763" s="27" t="str">
        <f>IFERROR(__xludf.DUMMYFUNCTION("""COMPUTED_VALUE"""),"")</f>
        <v/>
      </c>
    </row>
    <row r="2764">
      <c r="A2764" s="17"/>
      <c r="B2764" s="23"/>
      <c r="C2764" s="17">
        <f>IFERROR(__xludf.DUMMYFUNCTION("""COMPUTED_VALUE"""),43522.1482395254)</f>
        <v>43522.14824</v>
      </c>
      <c r="D2764" s="23">
        <f>IFERROR(__xludf.DUMMYFUNCTION("""COMPUTED_VALUE"""),1.084)</f>
        <v>1.084</v>
      </c>
      <c r="E2764" s="24">
        <f>IFERROR(__xludf.DUMMYFUNCTION("""COMPUTED_VALUE"""),67.0)</f>
        <v>67</v>
      </c>
      <c r="F2764" s="27" t="str">
        <f>IFERROR(__xludf.DUMMYFUNCTION("""COMPUTED_VALUE"""),"BLACK")</f>
        <v>BLACK</v>
      </c>
      <c r="G2764" s="28" t="str">
        <f>IFERROR(__xludf.DUMMYFUNCTION("""COMPUTED_VALUE"""),"First Times a Charm Cider")</f>
        <v>First Times a Charm Cider</v>
      </c>
      <c r="H2764" s="27" t="str">
        <f>IFERROR(__xludf.DUMMYFUNCTION("""COMPUTED_VALUE"""),"")</f>
        <v/>
      </c>
    </row>
    <row r="2765">
      <c r="A2765" s="17"/>
      <c r="B2765" s="23"/>
      <c r="C2765" s="17">
        <f>IFERROR(__xludf.DUMMYFUNCTION("""COMPUTED_VALUE"""),43522.1273950115)</f>
        <v>43522.1274</v>
      </c>
      <c r="D2765" s="23">
        <f>IFERROR(__xludf.DUMMYFUNCTION("""COMPUTED_VALUE"""),1.084)</f>
        <v>1.084</v>
      </c>
      <c r="E2765" s="24">
        <f>IFERROR(__xludf.DUMMYFUNCTION("""COMPUTED_VALUE"""),67.0)</f>
        <v>67</v>
      </c>
      <c r="F2765" s="27" t="str">
        <f>IFERROR(__xludf.DUMMYFUNCTION("""COMPUTED_VALUE"""),"BLACK")</f>
        <v>BLACK</v>
      </c>
      <c r="G2765" s="28" t="str">
        <f>IFERROR(__xludf.DUMMYFUNCTION("""COMPUTED_VALUE"""),"First Times a Charm Cider")</f>
        <v>First Times a Charm Cider</v>
      </c>
      <c r="H2765" s="27" t="str">
        <f>IFERROR(__xludf.DUMMYFUNCTION("""COMPUTED_VALUE"""),"")</f>
        <v/>
      </c>
    </row>
    <row r="2766">
      <c r="A2766" s="17"/>
      <c r="B2766" s="23"/>
      <c r="C2766" s="17">
        <f>IFERROR(__xludf.DUMMYFUNCTION("""COMPUTED_VALUE"""),43522.116974537)</f>
        <v>43522.11697</v>
      </c>
      <c r="D2766" s="23">
        <f>IFERROR(__xludf.DUMMYFUNCTION("""COMPUTED_VALUE"""),1.084)</f>
        <v>1.084</v>
      </c>
      <c r="E2766" s="24">
        <f>IFERROR(__xludf.DUMMYFUNCTION("""COMPUTED_VALUE"""),67.0)</f>
        <v>67</v>
      </c>
      <c r="F2766" s="27" t="str">
        <f>IFERROR(__xludf.DUMMYFUNCTION("""COMPUTED_VALUE"""),"BLACK")</f>
        <v>BLACK</v>
      </c>
      <c r="G2766" s="28" t="str">
        <f>IFERROR(__xludf.DUMMYFUNCTION("""COMPUTED_VALUE"""),"First Times a Charm Cider")</f>
        <v>First Times a Charm Cider</v>
      </c>
      <c r="H2766" s="27" t="str">
        <f>IFERROR(__xludf.DUMMYFUNCTION("""COMPUTED_VALUE"""),"")</f>
        <v/>
      </c>
    </row>
    <row r="2767">
      <c r="A2767" s="17"/>
      <c r="B2767" s="23"/>
      <c r="C2767" s="17">
        <f>IFERROR(__xludf.DUMMYFUNCTION("""COMPUTED_VALUE"""),43522.096132743)</f>
        <v>43522.09613</v>
      </c>
      <c r="D2767" s="23">
        <f>IFERROR(__xludf.DUMMYFUNCTION("""COMPUTED_VALUE"""),1.084)</f>
        <v>1.084</v>
      </c>
      <c r="E2767" s="24">
        <f>IFERROR(__xludf.DUMMYFUNCTION("""COMPUTED_VALUE"""),67.0)</f>
        <v>67</v>
      </c>
      <c r="F2767" s="27" t="str">
        <f>IFERROR(__xludf.DUMMYFUNCTION("""COMPUTED_VALUE"""),"BLACK")</f>
        <v>BLACK</v>
      </c>
      <c r="G2767" s="28" t="str">
        <f>IFERROR(__xludf.DUMMYFUNCTION("""COMPUTED_VALUE"""),"First Times a Charm Cider")</f>
        <v>First Times a Charm Cider</v>
      </c>
      <c r="H2767" s="27" t="str">
        <f>IFERROR(__xludf.DUMMYFUNCTION("""COMPUTED_VALUE"""),"")</f>
        <v/>
      </c>
    </row>
    <row r="2768">
      <c r="A2768" s="17"/>
      <c r="B2768" s="23"/>
      <c r="C2768" s="17">
        <f>IFERROR(__xludf.DUMMYFUNCTION("""COMPUTED_VALUE"""),43522.0857120833)</f>
        <v>43522.08571</v>
      </c>
      <c r="D2768" s="23">
        <f>IFERROR(__xludf.DUMMYFUNCTION("""COMPUTED_VALUE"""),1.084)</f>
        <v>1.084</v>
      </c>
      <c r="E2768" s="24">
        <f>IFERROR(__xludf.DUMMYFUNCTION("""COMPUTED_VALUE"""),67.0)</f>
        <v>67</v>
      </c>
      <c r="F2768" s="27" t="str">
        <f>IFERROR(__xludf.DUMMYFUNCTION("""COMPUTED_VALUE"""),"BLACK")</f>
        <v>BLACK</v>
      </c>
      <c r="G2768" s="28" t="str">
        <f>IFERROR(__xludf.DUMMYFUNCTION("""COMPUTED_VALUE"""),"First Times a Charm Cider")</f>
        <v>First Times a Charm Cider</v>
      </c>
      <c r="H2768" s="27" t="str">
        <f>IFERROR(__xludf.DUMMYFUNCTION("""COMPUTED_VALUE"""),"")</f>
        <v/>
      </c>
    </row>
    <row r="2769">
      <c r="A2769" s="17"/>
      <c r="B2769" s="23"/>
      <c r="C2769" s="17">
        <f>IFERROR(__xludf.DUMMYFUNCTION("""COMPUTED_VALUE"""),43522.0752913426)</f>
        <v>43522.07529</v>
      </c>
      <c r="D2769" s="23">
        <f>IFERROR(__xludf.DUMMYFUNCTION("""COMPUTED_VALUE"""),1.084)</f>
        <v>1.084</v>
      </c>
      <c r="E2769" s="24">
        <f>IFERROR(__xludf.DUMMYFUNCTION("""COMPUTED_VALUE"""),67.0)</f>
        <v>67</v>
      </c>
      <c r="F2769" s="27" t="str">
        <f>IFERROR(__xludf.DUMMYFUNCTION("""COMPUTED_VALUE"""),"BLACK")</f>
        <v>BLACK</v>
      </c>
      <c r="G2769" s="28" t="str">
        <f>IFERROR(__xludf.DUMMYFUNCTION("""COMPUTED_VALUE"""),"First Times a Charm Cider")</f>
        <v>First Times a Charm Cider</v>
      </c>
      <c r="H2769" s="27" t="str">
        <f>IFERROR(__xludf.DUMMYFUNCTION("""COMPUTED_VALUE"""),"")</f>
        <v/>
      </c>
    </row>
    <row r="2770">
      <c r="A2770" s="17"/>
      <c r="B2770" s="23"/>
      <c r="C2770" s="17">
        <f>IFERROR(__xludf.DUMMYFUNCTION("""COMPUTED_VALUE"""),43522.0544240972)</f>
        <v>43522.05442</v>
      </c>
      <c r="D2770" s="23">
        <f>IFERROR(__xludf.DUMMYFUNCTION("""COMPUTED_VALUE"""),1.084)</f>
        <v>1.084</v>
      </c>
      <c r="E2770" s="24">
        <f>IFERROR(__xludf.DUMMYFUNCTION("""COMPUTED_VALUE"""),67.0)</f>
        <v>67</v>
      </c>
      <c r="F2770" s="27" t="str">
        <f>IFERROR(__xludf.DUMMYFUNCTION("""COMPUTED_VALUE"""),"BLACK")</f>
        <v>BLACK</v>
      </c>
      <c r="G2770" s="28" t="str">
        <f>IFERROR(__xludf.DUMMYFUNCTION("""COMPUTED_VALUE"""),"First Times a Charm Cider")</f>
        <v>First Times a Charm Cider</v>
      </c>
      <c r="H2770" s="27" t="str">
        <f>IFERROR(__xludf.DUMMYFUNCTION("""COMPUTED_VALUE"""),"")</f>
        <v/>
      </c>
    </row>
    <row r="2771">
      <c r="A2771" s="17"/>
      <c r="B2771" s="23"/>
      <c r="C2771" s="17">
        <f>IFERROR(__xludf.DUMMYFUNCTION("""COMPUTED_VALUE"""),43522.0127138078)</f>
        <v>43522.01271</v>
      </c>
      <c r="D2771" s="23">
        <f>IFERROR(__xludf.DUMMYFUNCTION("""COMPUTED_VALUE"""),1.085)</f>
        <v>1.085</v>
      </c>
      <c r="E2771" s="24">
        <f>IFERROR(__xludf.DUMMYFUNCTION("""COMPUTED_VALUE"""),67.0)</f>
        <v>67</v>
      </c>
      <c r="F2771" s="27" t="str">
        <f>IFERROR(__xludf.DUMMYFUNCTION("""COMPUTED_VALUE"""),"BLACK")</f>
        <v>BLACK</v>
      </c>
      <c r="G2771" s="28" t="str">
        <f>IFERROR(__xludf.DUMMYFUNCTION("""COMPUTED_VALUE"""),"First Times a Charm Cider")</f>
        <v>First Times a Charm Cider</v>
      </c>
      <c r="H2771" s="27" t="str">
        <f>IFERROR(__xludf.DUMMYFUNCTION("""COMPUTED_VALUE"""),"")</f>
        <v/>
      </c>
    </row>
    <row r="2772">
      <c r="A2772" s="17"/>
      <c r="B2772" s="23"/>
      <c r="C2772" s="17">
        <f>IFERROR(__xludf.DUMMYFUNCTION("""COMPUTED_VALUE"""),43521.9710288194)</f>
        <v>43521.97103</v>
      </c>
      <c r="D2772" s="23">
        <f>IFERROR(__xludf.DUMMYFUNCTION("""COMPUTED_VALUE"""),1.085)</f>
        <v>1.085</v>
      </c>
      <c r="E2772" s="24">
        <f>IFERROR(__xludf.DUMMYFUNCTION("""COMPUTED_VALUE"""),67.0)</f>
        <v>67</v>
      </c>
      <c r="F2772" s="27" t="str">
        <f>IFERROR(__xludf.DUMMYFUNCTION("""COMPUTED_VALUE"""),"BLACK")</f>
        <v>BLACK</v>
      </c>
      <c r="G2772" s="28" t="str">
        <f>IFERROR(__xludf.DUMMYFUNCTION("""COMPUTED_VALUE"""),"First Times a Charm Cider")</f>
        <v>First Times a Charm Cider</v>
      </c>
      <c r="H2772" s="27" t="str">
        <f>IFERROR(__xludf.DUMMYFUNCTION("""COMPUTED_VALUE"""),"")</f>
        <v/>
      </c>
    </row>
    <row r="2773">
      <c r="A2773" s="17"/>
      <c r="B2773" s="23"/>
      <c r="C2773" s="17">
        <f>IFERROR(__xludf.DUMMYFUNCTION("""COMPUTED_VALUE"""),43521.9606077777)</f>
        <v>43521.96061</v>
      </c>
      <c r="D2773" s="23">
        <f>IFERROR(__xludf.DUMMYFUNCTION("""COMPUTED_VALUE"""),1.085)</f>
        <v>1.085</v>
      </c>
      <c r="E2773" s="24">
        <f>IFERROR(__xludf.DUMMYFUNCTION("""COMPUTED_VALUE"""),67.0)</f>
        <v>67</v>
      </c>
      <c r="F2773" s="27" t="str">
        <f>IFERROR(__xludf.DUMMYFUNCTION("""COMPUTED_VALUE"""),"BLACK")</f>
        <v>BLACK</v>
      </c>
      <c r="G2773" s="28" t="str">
        <f>IFERROR(__xludf.DUMMYFUNCTION("""COMPUTED_VALUE"""),"First Times a Charm Cider")</f>
        <v>First Times a Charm Cider</v>
      </c>
      <c r="H2773" s="27" t="str">
        <f>IFERROR(__xludf.DUMMYFUNCTION("""COMPUTED_VALUE"""),"")</f>
        <v/>
      </c>
    </row>
    <row r="2774">
      <c r="A2774" s="17"/>
      <c r="B2774" s="23"/>
      <c r="C2774" s="17">
        <f>IFERROR(__xludf.DUMMYFUNCTION("""COMPUTED_VALUE"""),43521.9293005439)</f>
        <v>43521.9293</v>
      </c>
      <c r="D2774" s="23">
        <f>IFERROR(__xludf.DUMMYFUNCTION("""COMPUTED_VALUE"""),1.086)</f>
        <v>1.086</v>
      </c>
      <c r="E2774" s="24">
        <f>IFERROR(__xludf.DUMMYFUNCTION("""COMPUTED_VALUE"""),67.0)</f>
        <v>67</v>
      </c>
      <c r="F2774" s="27" t="str">
        <f>IFERROR(__xludf.DUMMYFUNCTION("""COMPUTED_VALUE"""),"BLACK")</f>
        <v>BLACK</v>
      </c>
      <c r="G2774" s="28" t="str">
        <f>IFERROR(__xludf.DUMMYFUNCTION("""COMPUTED_VALUE"""),"First Times a Charm Cider")</f>
        <v>First Times a Charm Cider</v>
      </c>
      <c r="H2774" s="27" t="str">
        <f>IFERROR(__xludf.DUMMYFUNCTION("""COMPUTED_VALUE"""),"")</f>
        <v/>
      </c>
    </row>
    <row r="2775">
      <c r="A2775" s="17"/>
      <c r="B2775" s="23"/>
      <c r="C2775" s="17">
        <f>IFERROR(__xludf.DUMMYFUNCTION("""COMPUTED_VALUE"""),43521.9188804166)</f>
        <v>43521.91888</v>
      </c>
      <c r="D2775" s="23">
        <f>IFERROR(__xludf.DUMMYFUNCTION("""COMPUTED_VALUE"""),1.086)</f>
        <v>1.086</v>
      </c>
      <c r="E2775" s="24">
        <f>IFERROR(__xludf.DUMMYFUNCTION("""COMPUTED_VALUE"""),67.0)</f>
        <v>67</v>
      </c>
      <c r="F2775" s="27" t="str">
        <f>IFERROR(__xludf.DUMMYFUNCTION("""COMPUTED_VALUE"""),"BLACK")</f>
        <v>BLACK</v>
      </c>
      <c r="G2775" s="28" t="str">
        <f>IFERROR(__xludf.DUMMYFUNCTION("""COMPUTED_VALUE"""),"First Times a Charm Cider")</f>
        <v>First Times a Charm Cider</v>
      </c>
      <c r="H2775" s="27" t="str">
        <f>IFERROR(__xludf.DUMMYFUNCTION("""COMPUTED_VALUE"""),"")</f>
        <v/>
      </c>
    </row>
    <row r="2776">
      <c r="A2776" s="17"/>
      <c r="B2776" s="23"/>
      <c r="C2776" s="17">
        <f>IFERROR(__xludf.DUMMYFUNCTION("""COMPUTED_VALUE"""),43521.88758103)</f>
        <v>43521.88758</v>
      </c>
      <c r="D2776" s="23">
        <f>IFERROR(__xludf.DUMMYFUNCTION("""COMPUTED_VALUE"""),1.086)</f>
        <v>1.086</v>
      </c>
      <c r="E2776" s="24">
        <f>IFERROR(__xludf.DUMMYFUNCTION("""COMPUTED_VALUE"""),67.0)</f>
        <v>67</v>
      </c>
      <c r="F2776" s="27" t="str">
        <f>IFERROR(__xludf.DUMMYFUNCTION("""COMPUTED_VALUE"""),"BLACK")</f>
        <v>BLACK</v>
      </c>
      <c r="G2776" s="28" t="str">
        <f>IFERROR(__xludf.DUMMYFUNCTION("""COMPUTED_VALUE"""),"First Times a Charm Cider")</f>
        <v>First Times a Charm Cider</v>
      </c>
      <c r="H2776" s="27" t="str">
        <f>IFERROR(__xludf.DUMMYFUNCTION("""COMPUTED_VALUE"""),"")</f>
        <v/>
      </c>
    </row>
    <row r="2777">
      <c r="A2777" s="17"/>
      <c r="B2777" s="23"/>
      <c r="C2777" s="17">
        <f>IFERROR(__xludf.DUMMYFUNCTION("""COMPUTED_VALUE"""),43521.8771600231)</f>
        <v>43521.87716</v>
      </c>
      <c r="D2777" s="23">
        <f>IFERROR(__xludf.DUMMYFUNCTION("""COMPUTED_VALUE"""),1.086)</f>
        <v>1.086</v>
      </c>
      <c r="E2777" s="24">
        <f>IFERROR(__xludf.DUMMYFUNCTION("""COMPUTED_VALUE"""),67.0)</f>
        <v>67</v>
      </c>
      <c r="F2777" s="27" t="str">
        <f>IFERROR(__xludf.DUMMYFUNCTION("""COMPUTED_VALUE"""),"BLACK")</f>
        <v>BLACK</v>
      </c>
      <c r="G2777" s="28" t="str">
        <f>IFERROR(__xludf.DUMMYFUNCTION("""COMPUTED_VALUE"""),"First Times a Charm Cider")</f>
        <v>First Times a Charm Cider</v>
      </c>
      <c r="H2777" s="27" t="str">
        <f>IFERROR(__xludf.DUMMYFUNCTION("""COMPUTED_VALUE"""),"")</f>
        <v/>
      </c>
    </row>
    <row r="2778">
      <c r="A2778" s="17"/>
      <c r="B2778" s="23"/>
      <c r="C2778" s="17">
        <f>IFERROR(__xludf.DUMMYFUNCTION("""COMPUTED_VALUE"""),43521.8667396527)</f>
        <v>43521.86674</v>
      </c>
      <c r="D2778" s="23">
        <f>IFERROR(__xludf.DUMMYFUNCTION("""COMPUTED_VALUE"""),1.086)</f>
        <v>1.086</v>
      </c>
      <c r="E2778" s="24">
        <f>IFERROR(__xludf.DUMMYFUNCTION("""COMPUTED_VALUE"""),67.0)</f>
        <v>67</v>
      </c>
      <c r="F2778" s="27" t="str">
        <f>IFERROR(__xludf.DUMMYFUNCTION("""COMPUTED_VALUE"""),"BLACK")</f>
        <v>BLACK</v>
      </c>
      <c r="G2778" s="28" t="str">
        <f>IFERROR(__xludf.DUMMYFUNCTION("""COMPUTED_VALUE"""),"First Times a Charm Cider")</f>
        <v>First Times a Charm Cider</v>
      </c>
      <c r="H2778" s="27" t="str">
        <f>IFERROR(__xludf.DUMMYFUNCTION("""COMPUTED_VALUE"""),"")</f>
        <v/>
      </c>
    </row>
    <row r="2779">
      <c r="A2779" s="17"/>
      <c r="B2779" s="23"/>
      <c r="C2779" s="17">
        <f>IFERROR(__xludf.DUMMYFUNCTION("""COMPUTED_VALUE"""),43521.8458851967)</f>
        <v>43521.84589</v>
      </c>
      <c r="D2779" s="23">
        <f>IFERROR(__xludf.DUMMYFUNCTION("""COMPUTED_VALUE"""),1.086)</f>
        <v>1.086</v>
      </c>
      <c r="E2779" s="24">
        <f>IFERROR(__xludf.DUMMYFUNCTION("""COMPUTED_VALUE"""),67.0)</f>
        <v>67</v>
      </c>
      <c r="F2779" s="27" t="str">
        <f>IFERROR(__xludf.DUMMYFUNCTION("""COMPUTED_VALUE"""),"BLACK")</f>
        <v>BLACK</v>
      </c>
      <c r="G2779" s="28" t="str">
        <f>IFERROR(__xludf.DUMMYFUNCTION("""COMPUTED_VALUE"""),"First Times a Charm Cider")</f>
        <v>First Times a Charm Cider</v>
      </c>
      <c r="H2779" s="27" t="str">
        <f>IFERROR(__xludf.DUMMYFUNCTION("""COMPUTED_VALUE"""),"")</f>
        <v/>
      </c>
    </row>
    <row r="2780">
      <c r="A2780" s="17"/>
      <c r="B2780" s="23"/>
      <c r="C2780" s="17">
        <f>IFERROR(__xludf.DUMMYFUNCTION("""COMPUTED_VALUE"""),43521.8354527199)</f>
        <v>43521.83545</v>
      </c>
      <c r="D2780" s="23">
        <f>IFERROR(__xludf.DUMMYFUNCTION("""COMPUTED_VALUE"""),1.086)</f>
        <v>1.086</v>
      </c>
      <c r="E2780" s="24">
        <f>IFERROR(__xludf.DUMMYFUNCTION("""COMPUTED_VALUE"""),67.0)</f>
        <v>67</v>
      </c>
      <c r="F2780" s="27" t="str">
        <f>IFERROR(__xludf.DUMMYFUNCTION("""COMPUTED_VALUE"""),"BLACK")</f>
        <v>BLACK</v>
      </c>
      <c r="G2780" s="28" t="str">
        <f>IFERROR(__xludf.DUMMYFUNCTION("""COMPUTED_VALUE"""),"First Times a Charm Cider")</f>
        <v>First Times a Charm Cider</v>
      </c>
      <c r="H2780" s="27" t="str">
        <f>IFERROR(__xludf.DUMMYFUNCTION("""COMPUTED_VALUE"""),"")</f>
        <v/>
      </c>
    </row>
    <row r="2781">
      <c r="A2781" s="17"/>
      <c r="B2781" s="23"/>
      <c r="C2781" s="17">
        <f>IFERROR(__xludf.DUMMYFUNCTION("""COMPUTED_VALUE"""),43521.8250212847)</f>
        <v>43521.82502</v>
      </c>
      <c r="D2781" s="23">
        <f>IFERROR(__xludf.DUMMYFUNCTION("""COMPUTED_VALUE"""),1.086)</f>
        <v>1.086</v>
      </c>
      <c r="E2781" s="24">
        <f>IFERROR(__xludf.DUMMYFUNCTION("""COMPUTED_VALUE"""),67.0)</f>
        <v>67</v>
      </c>
      <c r="F2781" s="27" t="str">
        <f>IFERROR(__xludf.DUMMYFUNCTION("""COMPUTED_VALUE"""),"BLACK")</f>
        <v>BLACK</v>
      </c>
      <c r="G2781" s="28" t="str">
        <f>IFERROR(__xludf.DUMMYFUNCTION("""COMPUTED_VALUE"""),"First Times a Charm Cider")</f>
        <v>First Times a Charm Cider</v>
      </c>
      <c r="H2781" s="27" t="str">
        <f>IFERROR(__xludf.DUMMYFUNCTION("""COMPUTED_VALUE"""),"")</f>
        <v/>
      </c>
    </row>
    <row r="2782">
      <c r="A2782" s="17"/>
      <c r="B2782" s="23"/>
      <c r="C2782" s="17">
        <f>IFERROR(__xludf.DUMMYFUNCTION("""COMPUTED_VALUE"""),43521.814577743)</f>
        <v>43521.81458</v>
      </c>
      <c r="D2782" s="23">
        <f>IFERROR(__xludf.DUMMYFUNCTION("""COMPUTED_VALUE"""),1.086)</f>
        <v>1.086</v>
      </c>
      <c r="E2782" s="24">
        <f>IFERROR(__xludf.DUMMYFUNCTION("""COMPUTED_VALUE"""),67.0)</f>
        <v>67</v>
      </c>
      <c r="F2782" s="27" t="str">
        <f>IFERROR(__xludf.DUMMYFUNCTION("""COMPUTED_VALUE"""),"BLACK")</f>
        <v>BLACK</v>
      </c>
      <c r="G2782" s="28" t="str">
        <f>IFERROR(__xludf.DUMMYFUNCTION("""COMPUTED_VALUE"""),"First Times a Charm Cider")</f>
        <v>First Times a Charm Cider</v>
      </c>
      <c r="H2782" s="27" t="str">
        <f>IFERROR(__xludf.DUMMYFUNCTION("""COMPUTED_VALUE"""),"")</f>
        <v/>
      </c>
    </row>
    <row r="2783">
      <c r="A2783" s="17"/>
      <c r="B2783" s="23"/>
      <c r="C2783" s="17">
        <f>IFERROR(__xludf.DUMMYFUNCTION("""COMPUTED_VALUE"""),43521.793724537)</f>
        <v>43521.79372</v>
      </c>
      <c r="D2783" s="23">
        <f>IFERROR(__xludf.DUMMYFUNCTION("""COMPUTED_VALUE"""),1.086)</f>
        <v>1.086</v>
      </c>
      <c r="E2783" s="24">
        <f>IFERROR(__xludf.DUMMYFUNCTION("""COMPUTED_VALUE"""),67.0)</f>
        <v>67</v>
      </c>
      <c r="F2783" s="27" t="str">
        <f>IFERROR(__xludf.DUMMYFUNCTION("""COMPUTED_VALUE"""),"BLACK")</f>
        <v>BLACK</v>
      </c>
      <c r="G2783" s="28" t="str">
        <f>IFERROR(__xludf.DUMMYFUNCTION("""COMPUTED_VALUE"""),"First Times a Charm Cider")</f>
        <v>First Times a Charm Cider</v>
      </c>
      <c r="H2783" s="27" t="str">
        <f>IFERROR(__xludf.DUMMYFUNCTION("""COMPUTED_VALUE"""),"")</f>
        <v/>
      </c>
    </row>
    <row r="2784">
      <c r="A2784" s="17"/>
      <c r="B2784" s="23"/>
      <c r="C2784" s="17">
        <f>IFERROR(__xludf.DUMMYFUNCTION("""COMPUTED_VALUE"""),43521.783301956)</f>
        <v>43521.7833</v>
      </c>
      <c r="D2784" s="23">
        <f>IFERROR(__xludf.DUMMYFUNCTION("""COMPUTED_VALUE"""),1.086)</f>
        <v>1.086</v>
      </c>
      <c r="E2784" s="24">
        <f>IFERROR(__xludf.DUMMYFUNCTION("""COMPUTED_VALUE"""),67.0)</f>
        <v>67</v>
      </c>
      <c r="F2784" s="27" t="str">
        <f>IFERROR(__xludf.DUMMYFUNCTION("""COMPUTED_VALUE"""),"BLACK")</f>
        <v>BLACK</v>
      </c>
      <c r="G2784" s="28" t="str">
        <f>IFERROR(__xludf.DUMMYFUNCTION("""COMPUTED_VALUE"""),"First Times a Charm Cider")</f>
        <v>First Times a Charm Cider</v>
      </c>
      <c r="H2784" s="27" t="str">
        <f>IFERROR(__xludf.DUMMYFUNCTION("""COMPUTED_VALUE"""),"")</f>
        <v/>
      </c>
    </row>
    <row r="2785">
      <c r="A2785" s="17"/>
      <c r="B2785" s="23"/>
      <c r="C2785" s="17">
        <f>IFERROR(__xludf.DUMMYFUNCTION("""COMPUTED_VALUE"""),43521.7520149421)</f>
        <v>43521.75201</v>
      </c>
      <c r="D2785" s="23">
        <f>IFERROR(__xludf.DUMMYFUNCTION("""COMPUTED_VALUE"""),1.087)</f>
        <v>1.087</v>
      </c>
      <c r="E2785" s="24">
        <f>IFERROR(__xludf.DUMMYFUNCTION("""COMPUTED_VALUE"""),67.0)</f>
        <v>67</v>
      </c>
      <c r="F2785" s="27" t="str">
        <f>IFERROR(__xludf.DUMMYFUNCTION("""COMPUTED_VALUE"""),"BLACK")</f>
        <v>BLACK</v>
      </c>
      <c r="G2785" s="28" t="str">
        <f>IFERROR(__xludf.DUMMYFUNCTION("""COMPUTED_VALUE"""),"First Times a Charm Cider")</f>
        <v>First Times a Charm Cider</v>
      </c>
      <c r="H2785" s="27" t="str">
        <f>IFERROR(__xludf.DUMMYFUNCTION("""COMPUTED_VALUE"""),"")</f>
        <v/>
      </c>
    </row>
    <row r="2786">
      <c r="A2786" s="17"/>
      <c r="B2786" s="23"/>
      <c r="C2786" s="17">
        <f>IFERROR(__xludf.DUMMYFUNCTION("""COMPUTED_VALUE"""),43521.7311713888)</f>
        <v>43521.73117</v>
      </c>
      <c r="D2786" s="23">
        <f>IFERROR(__xludf.DUMMYFUNCTION("""COMPUTED_VALUE"""),1.087)</f>
        <v>1.087</v>
      </c>
      <c r="E2786" s="24">
        <f>IFERROR(__xludf.DUMMYFUNCTION("""COMPUTED_VALUE"""),67.0)</f>
        <v>67</v>
      </c>
      <c r="F2786" s="27" t="str">
        <f>IFERROR(__xludf.DUMMYFUNCTION("""COMPUTED_VALUE"""),"BLACK")</f>
        <v>BLACK</v>
      </c>
      <c r="G2786" s="28" t="str">
        <f>IFERROR(__xludf.DUMMYFUNCTION("""COMPUTED_VALUE"""),"First Times a Charm Cider")</f>
        <v>First Times a Charm Cider</v>
      </c>
      <c r="H2786" s="27" t="str">
        <f>IFERROR(__xludf.DUMMYFUNCTION("""COMPUTED_VALUE"""),"")</f>
        <v/>
      </c>
    </row>
    <row r="2787">
      <c r="A2787" s="17"/>
      <c r="B2787" s="23"/>
      <c r="C2787" s="17">
        <f>IFERROR(__xludf.DUMMYFUNCTION("""COMPUTED_VALUE"""),43521.7207383796)</f>
        <v>43521.72074</v>
      </c>
      <c r="D2787" s="23">
        <f>IFERROR(__xludf.DUMMYFUNCTION("""COMPUTED_VALUE"""),1.087)</f>
        <v>1.087</v>
      </c>
      <c r="E2787" s="24">
        <f>IFERROR(__xludf.DUMMYFUNCTION("""COMPUTED_VALUE"""),67.0)</f>
        <v>67</v>
      </c>
      <c r="F2787" s="27" t="str">
        <f>IFERROR(__xludf.DUMMYFUNCTION("""COMPUTED_VALUE"""),"BLACK")</f>
        <v>BLACK</v>
      </c>
      <c r="G2787" s="28" t="str">
        <f>IFERROR(__xludf.DUMMYFUNCTION("""COMPUTED_VALUE"""),"First Times a Charm Cider")</f>
        <v>First Times a Charm Cider</v>
      </c>
      <c r="H2787" s="27" t="str">
        <f>IFERROR(__xludf.DUMMYFUNCTION("""COMPUTED_VALUE"""),"")</f>
        <v/>
      </c>
    </row>
    <row r="2788">
      <c r="A2788" s="17"/>
      <c r="B2788" s="23"/>
      <c r="C2788" s="17">
        <f>IFERROR(__xludf.DUMMYFUNCTION("""COMPUTED_VALUE"""),43521.7103146527)</f>
        <v>43521.71031</v>
      </c>
      <c r="D2788" s="23">
        <f>IFERROR(__xludf.DUMMYFUNCTION("""COMPUTED_VALUE"""),1.087)</f>
        <v>1.087</v>
      </c>
      <c r="E2788" s="24">
        <f>IFERROR(__xludf.DUMMYFUNCTION("""COMPUTED_VALUE"""),67.0)</f>
        <v>67</v>
      </c>
      <c r="F2788" s="27" t="str">
        <f>IFERROR(__xludf.DUMMYFUNCTION("""COMPUTED_VALUE"""),"BLACK")</f>
        <v>BLACK</v>
      </c>
      <c r="G2788" s="28" t="str">
        <f>IFERROR(__xludf.DUMMYFUNCTION("""COMPUTED_VALUE"""),"First Times a Charm Cider")</f>
        <v>First Times a Charm Cider</v>
      </c>
      <c r="H2788" s="27" t="str">
        <f>IFERROR(__xludf.DUMMYFUNCTION("""COMPUTED_VALUE"""),"")</f>
        <v/>
      </c>
    </row>
    <row r="2789">
      <c r="A2789" s="17"/>
      <c r="B2789" s="23"/>
      <c r="C2789" s="17">
        <f>IFERROR(__xludf.DUMMYFUNCTION("""COMPUTED_VALUE"""),43521.6998813541)</f>
        <v>43521.69988</v>
      </c>
      <c r="D2789" s="23">
        <f>IFERROR(__xludf.DUMMYFUNCTION("""COMPUTED_VALUE"""),1.087)</f>
        <v>1.087</v>
      </c>
      <c r="E2789" s="24">
        <f>IFERROR(__xludf.DUMMYFUNCTION("""COMPUTED_VALUE"""),67.0)</f>
        <v>67</v>
      </c>
      <c r="F2789" s="27" t="str">
        <f>IFERROR(__xludf.DUMMYFUNCTION("""COMPUTED_VALUE"""),"BLACK")</f>
        <v>BLACK</v>
      </c>
      <c r="G2789" s="28" t="str">
        <f>IFERROR(__xludf.DUMMYFUNCTION("""COMPUTED_VALUE"""),"First Times a Charm Cider")</f>
        <v>First Times a Charm Cider</v>
      </c>
      <c r="H2789" s="27" t="str">
        <f>IFERROR(__xludf.DUMMYFUNCTION("""COMPUTED_VALUE"""),"")</f>
        <v/>
      </c>
    </row>
    <row r="2790">
      <c r="A2790" s="17"/>
      <c r="B2790" s="23"/>
      <c r="C2790" s="17">
        <f>IFERROR(__xludf.DUMMYFUNCTION("""COMPUTED_VALUE"""),43521.6894488773)</f>
        <v>43521.68945</v>
      </c>
      <c r="D2790" s="23">
        <f>IFERROR(__xludf.DUMMYFUNCTION("""COMPUTED_VALUE"""),1.087)</f>
        <v>1.087</v>
      </c>
      <c r="E2790" s="24">
        <f>IFERROR(__xludf.DUMMYFUNCTION("""COMPUTED_VALUE"""),68.0)</f>
        <v>68</v>
      </c>
      <c r="F2790" s="27" t="str">
        <f>IFERROR(__xludf.DUMMYFUNCTION("""COMPUTED_VALUE"""),"BLACK")</f>
        <v>BLACK</v>
      </c>
      <c r="G2790" s="28" t="str">
        <f>IFERROR(__xludf.DUMMYFUNCTION("""COMPUTED_VALUE"""),"First Times a Charm Cider")</f>
        <v>First Times a Charm Cider</v>
      </c>
      <c r="H2790" s="27" t="str">
        <f>IFERROR(__xludf.DUMMYFUNCTION("""COMPUTED_VALUE"""),"")</f>
        <v/>
      </c>
    </row>
    <row r="2791">
      <c r="A2791" s="17"/>
      <c r="B2791" s="23"/>
      <c r="C2791" s="17">
        <f>IFERROR(__xludf.DUMMYFUNCTION("""COMPUTED_VALUE"""),43521.6790055092)</f>
        <v>43521.67901</v>
      </c>
      <c r="D2791" s="23">
        <f>IFERROR(__xludf.DUMMYFUNCTION("""COMPUTED_VALUE"""),1.087)</f>
        <v>1.087</v>
      </c>
      <c r="E2791" s="24">
        <f>IFERROR(__xludf.DUMMYFUNCTION("""COMPUTED_VALUE"""),68.0)</f>
        <v>68</v>
      </c>
      <c r="F2791" s="27" t="str">
        <f>IFERROR(__xludf.DUMMYFUNCTION("""COMPUTED_VALUE"""),"BLACK")</f>
        <v>BLACK</v>
      </c>
      <c r="G2791" s="28" t="str">
        <f>IFERROR(__xludf.DUMMYFUNCTION("""COMPUTED_VALUE"""),"First Times a Charm Cider")</f>
        <v>First Times a Charm Cider</v>
      </c>
      <c r="H2791" s="27" t="str">
        <f>IFERROR(__xludf.DUMMYFUNCTION("""COMPUTED_VALUE"""),"")</f>
        <v/>
      </c>
    </row>
    <row r="2792">
      <c r="A2792" s="17"/>
      <c r="B2792" s="23"/>
      <c r="C2792" s="17">
        <f>IFERROR(__xludf.DUMMYFUNCTION("""COMPUTED_VALUE"""),43521.6685723148)</f>
        <v>43521.66857</v>
      </c>
      <c r="D2792" s="23">
        <f>IFERROR(__xludf.DUMMYFUNCTION("""COMPUTED_VALUE"""),1.087)</f>
        <v>1.087</v>
      </c>
      <c r="E2792" s="24">
        <f>IFERROR(__xludf.DUMMYFUNCTION("""COMPUTED_VALUE"""),68.0)</f>
        <v>68</v>
      </c>
      <c r="F2792" s="27" t="str">
        <f>IFERROR(__xludf.DUMMYFUNCTION("""COMPUTED_VALUE"""),"BLACK")</f>
        <v>BLACK</v>
      </c>
      <c r="G2792" s="28" t="str">
        <f>IFERROR(__xludf.DUMMYFUNCTION("""COMPUTED_VALUE"""),"First Times a Charm Cider")</f>
        <v>First Times a Charm Cider</v>
      </c>
      <c r="H2792" s="27" t="str">
        <f>IFERROR(__xludf.DUMMYFUNCTION("""COMPUTED_VALUE"""),"")</f>
        <v/>
      </c>
    </row>
    <row r="2793">
      <c r="A2793" s="17"/>
      <c r="B2793" s="23"/>
      <c r="C2793" s="17">
        <f>IFERROR(__xludf.DUMMYFUNCTION("""COMPUTED_VALUE"""),43521.6581382754)</f>
        <v>43521.65814</v>
      </c>
      <c r="D2793" s="23">
        <f>IFERROR(__xludf.DUMMYFUNCTION("""COMPUTED_VALUE"""),1.087)</f>
        <v>1.087</v>
      </c>
      <c r="E2793" s="24">
        <f>IFERROR(__xludf.DUMMYFUNCTION("""COMPUTED_VALUE"""),68.0)</f>
        <v>68</v>
      </c>
      <c r="F2793" s="27" t="str">
        <f>IFERROR(__xludf.DUMMYFUNCTION("""COMPUTED_VALUE"""),"BLACK")</f>
        <v>BLACK</v>
      </c>
      <c r="G2793" s="28" t="str">
        <f>IFERROR(__xludf.DUMMYFUNCTION("""COMPUTED_VALUE"""),"First Times a Charm Cider")</f>
        <v>First Times a Charm Cider</v>
      </c>
      <c r="H2793" s="27" t="str">
        <f>IFERROR(__xludf.DUMMYFUNCTION("""COMPUTED_VALUE"""),"")</f>
        <v/>
      </c>
    </row>
    <row r="2794">
      <c r="A2794" s="17"/>
      <c r="B2794" s="23"/>
      <c r="C2794" s="17">
        <f>IFERROR(__xludf.DUMMYFUNCTION("""COMPUTED_VALUE"""),43521.6477173842)</f>
        <v>43521.64772</v>
      </c>
      <c r="D2794" s="23">
        <f>IFERROR(__xludf.DUMMYFUNCTION("""COMPUTED_VALUE"""),1.087)</f>
        <v>1.087</v>
      </c>
      <c r="E2794" s="24">
        <f>IFERROR(__xludf.DUMMYFUNCTION("""COMPUTED_VALUE"""),68.0)</f>
        <v>68</v>
      </c>
      <c r="F2794" s="27" t="str">
        <f>IFERROR(__xludf.DUMMYFUNCTION("""COMPUTED_VALUE"""),"BLACK")</f>
        <v>BLACK</v>
      </c>
      <c r="G2794" s="28" t="str">
        <f>IFERROR(__xludf.DUMMYFUNCTION("""COMPUTED_VALUE"""),"First Times a Charm Cider")</f>
        <v>First Times a Charm Cider</v>
      </c>
      <c r="H2794" s="27" t="str">
        <f>IFERROR(__xludf.DUMMYFUNCTION("""COMPUTED_VALUE"""),"")</f>
        <v/>
      </c>
    </row>
    <row r="2795">
      <c r="A2795" s="17"/>
      <c r="B2795" s="23"/>
      <c r="C2795" s="17">
        <f>IFERROR(__xludf.DUMMYFUNCTION("""COMPUTED_VALUE"""),43521.6372819444)</f>
        <v>43521.63728</v>
      </c>
      <c r="D2795" s="23">
        <f>IFERROR(__xludf.DUMMYFUNCTION("""COMPUTED_VALUE"""),1.088)</f>
        <v>1.088</v>
      </c>
      <c r="E2795" s="24">
        <f>IFERROR(__xludf.DUMMYFUNCTION("""COMPUTED_VALUE"""),68.0)</f>
        <v>68</v>
      </c>
      <c r="F2795" s="27" t="str">
        <f>IFERROR(__xludf.DUMMYFUNCTION("""COMPUTED_VALUE"""),"BLACK")</f>
        <v>BLACK</v>
      </c>
      <c r="G2795" s="28" t="str">
        <f>IFERROR(__xludf.DUMMYFUNCTION("""COMPUTED_VALUE"""),"First Times a Charm Cider")</f>
        <v>First Times a Charm Cider</v>
      </c>
      <c r="H2795" s="27" t="str">
        <f>IFERROR(__xludf.DUMMYFUNCTION("""COMPUTED_VALUE"""),"")</f>
        <v/>
      </c>
    </row>
    <row r="2796">
      <c r="A2796" s="17"/>
      <c r="B2796" s="23"/>
      <c r="C2796" s="17">
        <f>IFERROR(__xludf.DUMMYFUNCTION("""COMPUTED_VALUE"""),43521.6060078703)</f>
        <v>43521.60601</v>
      </c>
      <c r="D2796" s="23">
        <f>IFERROR(__xludf.DUMMYFUNCTION("""COMPUTED_VALUE"""),1.088)</f>
        <v>1.088</v>
      </c>
      <c r="E2796" s="24">
        <f>IFERROR(__xludf.DUMMYFUNCTION("""COMPUTED_VALUE"""),68.0)</f>
        <v>68</v>
      </c>
      <c r="F2796" s="27" t="str">
        <f>IFERROR(__xludf.DUMMYFUNCTION("""COMPUTED_VALUE"""),"BLACK")</f>
        <v>BLACK</v>
      </c>
      <c r="G2796" s="28" t="str">
        <f>IFERROR(__xludf.DUMMYFUNCTION("""COMPUTED_VALUE"""),"First Times a Charm Cider")</f>
        <v>First Times a Charm Cider</v>
      </c>
      <c r="H2796" s="27" t="str">
        <f>IFERROR(__xludf.DUMMYFUNCTION("""COMPUTED_VALUE"""),"")</f>
        <v/>
      </c>
    </row>
    <row r="2797">
      <c r="A2797" s="17"/>
      <c r="B2797" s="23"/>
      <c r="C2797" s="17">
        <f>IFERROR(__xludf.DUMMYFUNCTION("""COMPUTED_VALUE"""),43521.595550405)</f>
        <v>43521.59555</v>
      </c>
      <c r="D2797" s="23">
        <f>IFERROR(__xludf.DUMMYFUNCTION("""COMPUTED_VALUE"""),1.088)</f>
        <v>1.088</v>
      </c>
      <c r="E2797" s="24">
        <f>IFERROR(__xludf.DUMMYFUNCTION("""COMPUTED_VALUE"""),68.0)</f>
        <v>68</v>
      </c>
      <c r="F2797" s="27" t="str">
        <f>IFERROR(__xludf.DUMMYFUNCTION("""COMPUTED_VALUE"""),"BLACK")</f>
        <v>BLACK</v>
      </c>
      <c r="G2797" s="28" t="str">
        <f>IFERROR(__xludf.DUMMYFUNCTION("""COMPUTED_VALUE"""),"First Times a Charm Cider")</f>
        <v>First Times a Charm Cider</v>
      </c>
      <c r="H2797" s="27" t="str">
        <f>IFERROR(__xludf.DUMMYFUNCTION("""COMPUTED_VALUE"""),"")</f>
        <v/>
      </c>
    </row>
    <row r="2798">
      <c r="A2798" s="17"/>
      <c r="B2798" s="23"/>
      <c r="C2798" s="17">
        <f>IFERROR(__xludf.DUMMYFUNCTION("""COMPUTED_VALUE"""),43521.5851293518)</f>
        <v>43521.58513</v>
      </c>
      <c r="D2798" s="23">
        <f>IFERROR(__xludf.DUMMYFUNCTION("""COMPUTED_VALUE"""),1.088)</f>
        <v>1.088</v>
      </c>
      <c r="E2798" s="24">
        <f>IFERROR(__xludf.DUMMYFUNCTION("""COMPUTED_VALUE"""),68.0)</f>
        <v>68</v>
      </c>
      <c r="F2798" s="27" t="str">
        <f>IFERROR(__xludf.DUMMYFUNCTION("""COMPUTED_VALUE"""),"BLACK")</f>
        <v>BLACK</v>
      </c>
      <c r="G2798" s="28" t="str">
        <f>IFERROR(__xludf.DUMMYFUNCTION("""COMPUTED_VALUE"""),"First Times a Charm Cider")</f>
        <v>First Times a Charm Cider</v>
      </c>
      <c r="H2798" s="27" t="str">
        <f>IFERROR(__xludf.DUMMYFUNCTION("""COMPUTED_VALUE"""),"")</f>
        <v/>
      </c>
    </row>
    <row r="2799">
      <c r="A2799" s="17"/>
      <c r="B2799" s="23"/>
      <c r="C2799" s="17">
        <f>IFERROR(__xludf.DUMMYFUNCTION("""COMPUTED_VALUE"""),43521.5746403935)</f>
        <v>43521.57464</v>
      </c>
      <c r="D2799" s="23">
        <f>IFERROR(__xludf.DUMMYFUNCTION("""COMPUTED_VALUE"""),1.088)</f>
        <v>1.088</v>
      </c>
      <c r="E2799" s="24">
        <f>IFERROR(__xludf.DUMMYFUNCTION("""COMPUTED_VALUE"""),68.0)</f>
        <v>68</v>
      </c>
      <c r="F2799" s="27" t="str">
        <f>IFERROR(__xludf.DUMMYFUNCTION("""COMPUTED_VALUE"""),"BLACK")</f>
        <v>BLACK</v>
      </c>
      <c r="G2799" s="28" t="str">
        <f>IFERROR(__xludf.DUMMYFUNCTION("""COMPUTED_VALUE"""),"First Times a Charm Cider")</f>
        <v>First Times a Charm Cider</v>
      </c>
      <c r="H2799" s="27" t="str">
        <f>IFERROR(__xludf.DUMMYFUNCTION("""COMPUTED_VALUE"""),"")</f>
        <v/>
      </c>
    </row>
    <row r="2800">
      <c r="A2800" s="17"/>
      <c r="B2800" s="23"/>
      <c r="C2800" s="17">
        <f>IFERROR(__xludf.DUMMYFUNCTION("""COMPUTED_VALUE"""),43521.5642201736)</f>
        <v>43521.56422</v>
      </c>
      <c r="D2800" s="23">
        <f>IFERROR(__xludf.DUMMYFUNCTION("""COMPUTED_VALUE"""),1.089)</f>
        <v>1.089</v>
      </c>
      <c r="E2800" s="24">
        <f>IFERROR(__xludf.DUMMYFUNCTION("""COMPUTED_VALUE"""),68.0)</f>
        <v>68</v>
      </c>
      <c r="F2800" s="27" t="str">
        <f>IFERROR(__xludf.DUMMYFUNCTION("""COMPUTED_VALUE"""),"BLACK")</f>
        <v>BLACK</v>
      </c>
      <c r="G2800" s="28" t="str">
        <f>IFERROR(__xludf.DUMMYFUNCTION("""COMPUTED_VALUE"""),"First Times a Charm Cider")</f>
        <v>First Times a Charm Cider</v>
      </c>
      <c r="H2800" s="27" t="str">
        <f>IFERROR(__xludf.DUMMYFUNCTION("""COMPUTED_VALUE"""),"")</f>
        <v/>
      </c>
    </row>
    <row r="2801">
      <c r="A2801" s="17"/>
      <c r="B2801" s="23"/>
      <c r="C2801" s="17">
        <f>IFERROR(__xludf.DUMMYFUNCTION("""COMPUTED_VALUE"""),43521.543281956)</f>
        <v>43521.54328</v>
      </c>
      <c r="D2801" s="23">
        <f>IFERROR(__xludf.DUMMYFUNCTION("""COMPUTED_VALUE"""),1.089)</f>
        <v>1.089</v>
      </c>
      <c r="E2801" s="24">
        <f>IFERROR(__xludf.DUMMYFUNCTION("""COMPUTED_VALUE"""),68.0)</f>
        <v>68</v>
      </c>
      <c r="F2801" s="27" t="str">
        <f>IFERROR(__xludf.DUMMYFUNCTION("""COMPUTED_VALUE"""),"BLACK")</f>
        <v>BLACK</v>
      </c>
      <c r="G2801" s="28" t="str">
        <f>IFERROR(__xludf.DUMMYFUNCTION("""COMPUTED_VALUE"""),"First Times a Charm Cider")</f>
        <v>First Times a Charm Cider</v>
      </c>
      <c r="H2801" s="27" t="str">
        <f>IFERROR(__xludf.DUMMYFUNCTION("""COMPUTED_VALUE"""),"")</f>
        <v/>
      </c>
    </row>
    <row r="2802">
      <c r="A2802" s="17"/>
      <c r="B2802" s="23"/>
      <c r="C2802" s="17">
        <f>IFERROR(__xludf.DUMMYFUNCTION("""COMPUTED_VALUE"""),43521.4806863078)</f>
        <v>43521.48069</v>
      </c>
      <c r="D2802" s="23">
        <f>IFERROR(__xludf.DUMMYFUNCTION("""COMPUTED_VALUE"""),1.089)</f>
        <v>1.089</v>
      </c>
      <c r="E2802" s="24">
        <f>IFERROR(__xludf.DUMMYFUNCTION("""COMPUTED_VALUE"""),68.0)</f>
        <v>68</v>
      </c>
      <c r="F2802" s="27" t="str">
        <f>IFERROR(__xludf.DUMMYFUNCTION("""COMPUTED_VALUE"""),"BLACK")</f>
        <v>BLACK</v>
      </c>
      <c r="G2802" s="28" t="str">
        <f>IFERROR(__xludf.DUMMYFUNCTION("""COMPUTED_VALUE"""),"First Times a Charm Cider")</f>
        <v>First Times a Charm Cider</v>
      </c>
      <c r="H2802" s="27" t="str">
        <f>IFERROR(__xludf.DUMMYFUNCTION("""COMPUTED_VALUE"""),"")</f>
        <v/>
      </c>
    </row>
    <row r="2803">
      <c r="A2803" s="17"/>
      <c r="B2803" s="23"/>
      <c r="C2803" s="17">
        <f>IFERROR(__xludf.DUMMYFUNCTION("""COMPUTED_VALUE"""),43521.4702294907)</f>
        <v>43521.47023</v>
      </c>
      <c r="D2803" s="23">
        <f>IFERROR(__xludf.DUMMYFUNCTION("""COMPUTED_VALUE"""),1.089)</f>
        <v>1.089</v>
      </c>
      <c r="E2803" s="24">
        <f>IFERROR(__xludf.DUMMYFUNCTION("""COMPUTED_VALUE"""),68.0)</f>
        <v>68</v>
      </c>
      <c r="F2803" s="27" t="str">
        <f>IFERROR(__xludf.DUMMYFUNCTION("""COMPUTED_VALUE"""),"BLACK")</f>
        <v>BLACK</v>
      </c>
      <c r="G2803" s="28" t="str">
        <f>IFERROR(__xludf.DUMMYFUNCTION("""COMPUTED_VALUE"""),"First Times a Charm Cider")</f>
        <v>First Times a Charm Cider</v>
      </c>
      <c r="H2803" s="27" t="str">
        <f>IFERROR(__xludf.DUMMYFUNCTION("""COMPUTED_VALUE"""),"")</f>
        <v/>
      </c>
    </row>
    <row r="2804">
      <c r="A2804" s="17"/>
      <c r="B2804" s="23"/>
      <c r="C2804" s="17">
        <f>IFERROR(__xludf.DUMMYFUNCTION("""COMPUTED_VALUE"""),43521.4179921296)</f>
        <v>43521.41799</v>
      </c>
      <c r="D2804" s="23">
        <f>IFERROR(__xludf.DUMMYFUNCTION("""COMPUTED_VALUE"""),1.089)</f>
        <v>1.089</v>
      </c>
      <c r="E2804" s="24">
        <f>IFERROR(__xludf.DUMMYFUNCTION("""COMPUTED_VALUE"""),68.0)</f>
        <v>68</v>
      </c>
      <c r="F2804" s="27" t="str">
        <f>IFERROR(__xludf.DUMMYFUNCTION("""COMPUTED_VALUE"""),"BLACK")</f>
        <v>BLACK</v>
      </c>
      <c r="G2804" s="28" t="str">
        <f>IFERROR(__xludf.DUMMYFUNCTION("""COMPUTED_VALUE"""),"First Times a Charm Cider")</f>
        <v>First Times a Charm Cider</v>
      </c>
      <c r="H2804" s="27" t="str">
        <f>IFERROR(__xludf.DUMMYFUNCTION("""COMPUTED_VALUE"""),"")</f>
        <v/>
      </c>
    </row>
    <row r="2805">
      <c r="A2805" s="17"/>
      <c r="B2805" s="23"/>
      <c r="C2805" s="17">
        <f>IFERROR(__xludf.DUMMYFUNCTION("""COMPUTED_VALUE"""),43521.3971479976)</f>
        <v>43521.39715</v>
      </c>
      <c r="D2805" s="23">
        <f>IFERROR(__xludf.DUMMYFUNCTION("""COMPUTED_VALUE"""),1.089)</f>
        <v>1.089</v>
      </c>
      <c r="E2805" s="24">
        <f>IFERROR(__xludf.DUMMYFUNCTION("""COMPUTED_VALUE"""),68.0)</f>
        <v>68</v>
      </c>
      <c r="F2805" s="27" t="str">
        <f>IFERROR(__xludf.DUMMYFUNCTION("""COMPUTED_VALUE"""),"BLACK")</f>
        <v>BLACK</v>
      </c>
      <c r="G2805" s="28" t="str">
        <f>IFERROR(__xludf.DUMMYFUNCTION("""COMPUTED_VALUE"""),"First Times a Charm Cider")</f>
        <v>First Times a Charm Cider</v>
      </c>
      <c r="H2805" s="27" t="str">
        <f>IFERROR(__xludf.DUMMYFUNCTION("""COMPUTED_VALUE"""),"")</f>
        <v/>
      </c>
    </row>
    <row r="2806">
      <c r="A2806" s="17"/>
      <c r="B2806" s="23"/>
      <c r="C2806" s="17">
        <f>IFERROR(__xludf.DUMMYFUNCTION("""COMPUTED_VALUE"""),43521.3867257291)</f>
        <v>43521.38673</v>
      </c>
      <c r="D2806" s="23">
        <f>IFERROR(__xludf.DUMMYFUNCTION("""COMPUTED_VALUE"""),1.089)</f>
        <v>1.089</v>
      </c>
      <c r="E2806" s="24">
        <f>IFERROR(__xludf.DUMMYFUNCTION("""COMPUTED_VALUE"""),68.0)</f>
        <v>68</v>
      </c>
      <c r="F2806" s="27" t="str">
        <f>IFERROR(__xludf.DUMMYFUNCTION("""COMPUTED_VALUE"""),"BLACK")</f>
        <v>BLACK</v>
      </c>
      <c r="G2806" s="28" t="str">
        <f>IFERROR(__xludf.DUMMYFUNCTION("""COMPUTED_VALUE"""),"First Times a Charm Cider")</f>
        <v>First Times a Charm Cider</v>
      </c>
      <c r="H2806" s="27" t="str">
        <f>IFERROR(__xludf.DUMMYFUNCTION("""COMPUTED_VALUE"""),"")</f>
        <v/>
      </c>
    </row>
    <row r="2807">
      <c r="A2807" s="17"/>
      <c r="B2807" s="23"/>
      <c r="C2807" s="17">
        <f>IFERROR(__xludf.DUMMYFUNCTION("""COMPUTED_VALUE"""),43521.3762937152)</f>
        <v>43521.37629</v>
      </c>
      <c r="D2807" s="23">
        <f>IFERROR(__xludf.DUMMYFUNCTION("""COMPUTED_VALUE"""),1.09)</f>
        <v>1.09</v>
      </c>
      <c r="E2807" s="24">
        <f>IFERROR(__xludf.DUMMYFUNCTION("""COMPUTED_VALUE"""),68.0)</f>
        <v>68</v>
      </c>
      <c r="F2807" s="27" t="str">
        <f>IFERROR(__xludf.DUMMYFUNCTION("""COMPUTED_VALUE"""),"BLACK")</f>
        <v>BLACK</v>
      </c>
      <c r="G2807" s="28" t="str">
        <f>IFERROR(__xludf.DUMMYFUNCTION("""COMPUTED_VALUE"""),"First Times a Charm Cider")</f>
        <v>First Times a Charm Cider</v>
      </c>
      <c r="H2807" s="27" t="str">
        <f>IFERROR(__xludf.DUMMYFUNCTION("""COMPUTED_VALUE"""),"")</f>
        <v/>
      </c>
    </row>
    <row r="2808">
      <c r="A2808" s="17"/>
      <c r="B2808" s="23"/>
      <c r="C2808" s="17">
        <f>IFERROR(__xludf.DUMMYFUNCTION("""COMPUTED_VALUE"""),43521.3554510648)</f>
        <v>43521.35545</v>
      </c>
      <c r="D2808" s="23">
        <f>IFERROR(__xludf.DUMMYFUNCTION("""COMPUTED_VALUE"""),1.09)</f>
        <v>1.09</v>
      </c>
      <c r="E2808" s="24">
        <f>IFERROR(__xludf.DUMMYFUNCTION("""COMPUTED_VALUE"""),68.0)</f>
        <v>68</v>
      </c>
      <c r="F2808" s="27" t="str">
        <f>IFERROR(__xludf.DUMMYFUNCTION("""COMPUTED_VALUE"""),"BLACK")</f>
        <v>BLACK</v>
      </c>
      <c r="G2808" s="28" t="str">
        <f>IFERROR(__xludf.DUMMYFUNCTION("""COMPUTED_VALUE"""),"First Times a Charm Cider")</f>
        <v>First Times a Charm Cider</v>
      </c>
      <c r="H2808" s="27" t="str">
        <f>IFERROR(__xludf.DUMMYFUNCTION("""COMPUTED_VALUE"""),"")</f>
        <v/>
      </c>
    </row>
    <row r="2809">
      <c r="A2809" s="17"/>
      <c r="B2809" s="23"/>
      <c r="C2809" s="17">
        <f>IFERROR(__xludf.DUMMYFUNCTION("""COMPUTED_VALUE"""),43521.3033201157)</f>
        <v>43521.30332</v>
      </c>
      <c r="D2809" s="23">
        <f>IFERROR(__xludf.DUMMYFUNCTION("""COMPUTED_VALUE"""),1.09)</f>
        <v>1.09</v>
      </c>
      <c r="E2809" s="24">
        <f>IFERROR(__xludf.DUMMYFUNCTION("""COMPUTED_VALUE"""),68.0)</f>
        <v>68</v>
      </c>
      <c r="F2809" s="27" t="str">
        <f>IFERROR(__xludf.DUMMYFUNCTION("""COMPUTED_VALUE"""),"BLACK")</f>
        <v>BLACK</v>
      </c>
      <c r="G2809" s="28" t="str">
        <f>IFERROR(__xludf.DUMMYFUNCTION("""COMPUTED_VALUE"""),"First Times a Charm Cider")</f>
        <v>First Times a Charm Cider</v>
      </c>
      <c r="H2809" s="27" t="str">
        <f>IFERROR(__xludf.DUMMYFUNCTION("""COMPUTED_VALUE"""),"")</f>
        <v/>
      </c>
    </row>
    <row r="2810">
      <c r="A2810" s="17"/>
      <c r="B2810" s="23"/>
      <c r="C2810" s="17">
        <f>IFERROR(__xludf.DUMMYFUNCTION("""COMPUTED_VALUE"""),43521.2720464467)</f>
        <v>43521.27205</v>
      </c>
      <c r="D2810" s="23">
        <f>IFERROR(__xludf.DUMMYFUNCTION("""COMPUTED_VALUE"""),1.09)</f>
        <v>1.09</v>
      </c>
      <c r="E2810" s="24">
        <f>IFERROR(__xludf.DUMMYFUNCTION("""COMPUTED_VALUE"""),68.0)</f>
        <v>68</v>
      </c>
      <c r="F2810" s="27" t="str">
        <f>IFERROR(__xludf.DUMMYFUNCTION("""COMPUTED_VALUE"""),"BLACK")</f>
        <v>BLACK</v>
      </c>
      <c r="G2810" s="28" t="str">
        <f>IFERROR(__xludf.DUMMYFUNCTION("""COMPUTED_VALUE"""),"First Times a Charm Cider")</f>
        <v>First Times a Charm Cider</v>
      </c>
      <c r="H2810" s="27" t="str">
        <f>IFERROR(__xludf.DUMMYFUNCTION("""COMPUTED_VALUE"""),"")</f>
        <v/>
      </c>
    </row>
    <row r="2811">
      <c r="A2811" s="17"/>
      <c r="B2811" s="23"/>
      <c r="C2811" s="17">
        <f>IFERROR(__xludf.DUMMYFUNCTION("""COMPUTED_VALUE"""),43521.2616137615)</f>
        <v>43521.26161</v>
      </c>
      <c r="D2811" s="23">
        <f>IFERROR(__xludf.DUMMYFUNCTION("""COMPUTED_VALUE"""),1.09)</f>
        <v>1.09</v>
      </c>
      <c r="E2811" s="24">
        <f>IFERROR(__xludf.DUMMYFUNCTION("""COMPUTED_VALUE"""),68.0)</f>
        <v>68</v>
      </c>
      <c r="F2811" s="27" t="str">
        <f>IFERROR(__xludf.DUMMYFUNCTION("""COMPUTED_VALUE"""),"BLACK")</f>
        <v>BLACK</v>
      </c>
      <c r="G2811" s="28" t="str">
        <f>IFERROR(__xludf.DUMMYFUNCTION("""COMPUTED_VALUE"""),"First Times a Charm Cider")</f>
        <v>First Times a Charm Cider</v>
      </c>
      <c r="H2811" s="27" t="str">
        <f>IFERROR(__xludf.DUMMYFUNCTION("""COMPUTED_VALUE"""),"")</f>
        <v/>
      </c>
    </row>
    <row r="2812">
      <c r="A2812" s="17"/>
      <c r="B2812" s="23"/>
      <c r="C2812" s="17">
        <f>IFERROR(__xludf.DUMMYFUNCTION("""COMPUTED_VALUE"""),43521.2511930324)</f>
        <v>43521.25119</v>
      </c>
      <c r="D2812" s="23">
        <f>IFERROR(__xludf.DUMMYFUNCTION("""COMPUTED_VALUE"""),1.09)</f>
        <v>1.09</v>
      </c>
      <c r="E2812" s="24">
        <f>IFERROR(__xludf.DUMMYFUNCTION("""COMPUTED_VALUE"""),68.0)</f>
        <v>68</v>
      </c>
      <c r="F2812" s="27" t="str">
        <f>IFERROR(__xludf.DUMMYFUNCTION("""COMPUTED_VALUE"""),"BLACK")</f>
        <v>BLACK</v>
      </c>
      <c r="G2812" s="28" t="str">
        <f>IFERROR(__xludf.DUMMYFUNCTION("""COMPUTED_VALUE"""),"First Times a Charm Cider")</f>
        <v>First Times a Charm Cider</v>
      </c>
      <c r="H2812" s="27" t="str">
        <f>IFERROR(__xludf.DUMMYFUNCTION("""COMPUTED_VALUE"""),"")</f>
        <v/>
      </c>
    </row>
    <row r="2813">
      <c r="A2813" s="17"/>
      <c r="B2813" s="23"/>
      <c r="C2813" s="17">
        <f>IFERROR(__xludf.DUMMYFUNCTION("""COMPUTED_VALUE"""),43521.2407718402)</f>
        <v>43521.24077</v>
      </c>
      <c r="D2813" s="23">
        <f>IFERROR(__xludf.DUMMYFUNCTION("""COMPUTED_VALUE"""),1.09)</f>
        <v>1.09</v>
      </c>
      <c r="E2813" s="24">
        <f>IFERROR(__xludf.DUMMYFUNCTION("""COMPUTED_VALUE"""),68.0)</f>
        <v>68</v>
      </c>
      <c r="F2813" s="27" t="str">
        <f>IFERROR(__xludf.DUMMYFUNCTION("""COMPUTED_VALUE"""),"BLACK")</f>
        <v>BLACK</v>
      </c>
      <c r="G2813" s="28" t="str">
        <f>IFERROR(__xludf.DUMMYFUNCTION("""COMPUTED_VALUE"""),"First Times a Charm Cider")</f>
        <v>First Times a Charm Cider</v>
      </c>
      <c r="H2813" s="27" t="str">
        <f>IFERROR(__xludf.DUMMYFUNCTION("""COMPUTED_VALUE"""),"")</f>
        <v/>
      </c>
    </row>
    <row r="2814">
      <c r="A2814" s="17"/>
      <c r="B2814" s="23"/>
      <c r="C2814" s="17">
        <f>IFERROR(__xludf.DUMMYFUNCTION("""COMPUTED_VALUE"""),43521.2199289236)</f>
        <v>43521.21993</v>
      </c>
      <c r="D2814" s="23">
        <f>IFERROR(__xludf.DUMMYFUNCTION("""COMPUTED_VALUE"""),1.09)</f>
        <v>1.09</v>
      </c>
      <c r="E2814" s="24">
        <f>IFERROR(__xludf.DUMMYFUNCTION("""COMPUTED_VALUE"""),68.0)</f>
        <v>68</v>
      </c>
      <c r="F2814" s="27" t="str">
        <f>IFERROR(__xludf.DUMMYFUNCTION("""COMPUTED_VALUE"""),"BLACK")</f>
        <v>BLACK</v>
      </c>
      <c r="G2814" s="28" t="str">
        <f>IFERROR(__xludf.DUMMYFUNCTION("""COMPUTED_VALUE"""),"First Times a Charm Cider")</f>
        <v>First Times a Charm Cider</v>
      </c>
      <c r="H2814" s="27" t="str">
        <f>IFERROR(__xludf.DUMMYFUNCTION("""COMPUTED_VALUE"""),"")</f>
        <v/>
      </c>
    </row>
    <row r="2815">
      <c r="A2815" s="17"/>
      <c r="B2815" s="23"/>
      <c r="C2815" s="17">
        <f>IFERROR(__xludf.DUMMYFUNCTION("""COMPUTED_VALUE"""),43521.2095074999)</f>
        <v>43521.20951</v>
      </c>
      <c r="D2815" s="23">
        <f>IFERROR(__xludf.DUMMYFUNCTION("""COMPUTED_VALUE"""),1.091)</f>
        <v>1.091</v>
      </c>
      <c r="E2815" s="24">
        <f>IFERROR(__xludf.DUMMYFUNCTION("""COMPUTED_VALUE"""),68.0)</f>
        <v>68</v>
      </c>
      <c r="F2815" s="27" t="str">
        <f>IFERROR(__xludf.DUMMYFUNCTION("""COMPUTED_VALUE"""),"BLACK")</f>
        <v>BLACK</v>
      </c>
      <c r="G2815" s="28" t="str">
        <f>IFERROR(__xludf.DUMMYFUNCTION("""COMPUTED_VALUE"""),"First Times a Charm Cider")</f>
        <v>First Times a Charm Cider</v>
      </c>
      <c r="H2815" s="27" t="str">
        <f>IFERROR(__xludf.DUMMYFUNCTION("""COMPUTED_VALUE"""),"")</f>
        <v/>
      </c>
    </row>
    <row r="2816">
      <c r="A2816" s="17"/>
      <c r="B2816" s="23"/>
      <c r="C2816" s="17">
        <f>IFERROR(__xludf.DUMMYFUNCTION("""COMPUTED_VALUE"""),43521.1990731597)</f>
        <v>43521.19907</v>
      </c>
      <c r="D2816" s="23">
        <f>IFERROR(__xludf.DUMMYFUNCTION("""COMPUTED_VALUE"""),1.09)</f>
        <v>1.09</v>
      </c>
      <c r="E2816" s="24">
        <f>IFERROR(__xludf.DUMMYFUNCTION("""COMPUTED_VALUE"""),69.0)</f>
        <v>69</v>
      </c>
      <c r="F2816" s="27" t="str">
        <f>IFERROR(__xludf.DUMMYFUNCTION("""COMPUTED_VALUE"""),"BLACK")</f>
        <v>BLACK</v>
      </c>
      <c r="G2816" s="28" t="str">
        <f>IFERROR(__xludf.DUMMYFUNCTION("""COMPUTED_VALUE"""),"First Times a Charm Cider")</f>
        <v>First Times a Charm Cider</v>
      </c>
      <c r="H2816" s="27" t="str">
        <f>IFERROR(__xludf.DUMMYFUNCTION("""COMPUTED_VALUE"""),"")</f>
        <v/>
      </c>
    </row>
    <row r="2817">
      <c r="A2817" s="17"/>
      <c r="B2817" s="23"/>
      <c r="C2817" s="17">
        <f>IFERROR(__xludf.DUMMYFUNCTION("""COMPUTED_VALUE"""),43521.1886399537)</f>
        <v>43521.18864</v>
      </c>
      <c r="D2817" s="23">
        <f>IFERROR(__xludf.DUMMYFUNCTION("""COMPUTED_VALUE"""),1.091)</f>
        <v>1.091</v>
      </c>
      <c r="E2817" s="24">
        <f>IFERROR(__xludf.DUMMYFUNCTION("""COMPUTED_VALUE"""),69.0)</f>
        <v>69</v>
      </c>
      <c r="F2817" s="27" t="str">
        <f>IFERROR(__xludf.DUMMYFUNCTION("""COMPUTED_VALUE"""),"BLACK")</f>
        <v>BLACK</v>
      </c>
      <c r="G2817" s="28" t="str">
        <f>IFERROR(__xludf.DUMMYFUNCTION("""COMPUTED_VALUE"""),"First Times a Charm Cider")</f>
        <v>First Times a Charm Cider</v>
      </c>
      <c r="H2817" s="27" t="str">
        <f>IFERROR(__xludf.DUMMYFUNCTION("""COMPUTED_VALUE"""),"")</f>
        <v/>
      </c>
    </row>
    <row r="2818">
      <c r="A2818" s="17"/>
      <c r="B2818" s="23"/>
      <c r="C2818" s="17">
        <f>IFERROR(__xludf.DUMMYFUNCTION("""COMPUTED_VALUE"""),43521.1782198379)</f>
        <v>43521.17822</v>
      </c>
      <c r="D2818" s="23">
        <f>IFERROR(__xludf.DUMMYFUNCTION("""COMPUTED_VALUE"""),1.091)</f>
        <v>1.091</v>
      </c>
      <c r="E2818" s="24">
        <f>IFERROR(__xludf.DUMMYFUNCTION("""COMPUTED_VALUE"""),69.0)</f>
        <v>69</v>
      </c>
      <c r="F2818" s="27" t="str">
        <f>IFERROR(__xludf.DUMMYFUNCTION("""COMPUTED_VALUE"""),"BLACK")</f>
        <v>BLACK</v>
      </c>
      <c r="G2818" s="28" t="str">
        <f>IFERROR(__xludf.DUMMYFUNCTION("""COMPUTED_VALUE"""),"First Times a Charm Cider")</f>
        <v>First Times a Charm Cider</v>
      </c>
      <c r="H2818" s="27" t="str">
        <f>IFERROR(__xludf.DUMMYFUNCTION("""COMPUTED_VALUE"""),"")</f>
        <v/>
      </c>
    </row>
    <row r="2819">
      <c r="A2819" s="17"/>
      <c r="B2819" s="23"/>
      <c r="C2819" s="17">
        <f>IFERROR(__xludf.DUMMYFUNCTION("""COMPUTED_VALUE"""),43521.1469409375)</f>
        <v>43521.14694</v>
      </c>
      <c r="D2819" s="23">
        <f>IFERROR(__xludf.DUMMYFUNCTION("""COMPUTED_VALUE"""),1.091)</f>
        <v>1.091</v>
      </c>
      <c r="E2819" s="24">
        <f>IFERROR(__xludf.DUMMYFUNCTION("""COMPUTED_VALUE"""),69.0)</f>
        <v>69</v>
      </c>
      <c r="F2819" s="27" t="str">
        <f>IFERROR(__xludf.DUMMYFUNCTION("""COMPUTED_VALUE"""),"BLACK")</f>
        <v>BLACK</v>
      </c>
      <c r="G2819" s="28" t="str">
        <f>IFERROR(__xludf.DUMMYFUNCTION("""COMPUTED_VALUE"""),"First Times a Charm Cider")</f>
        <v>First Times a Charm Cider</v>
      </c>
      <c r="H2819" s="27" t="str">
        <f>IFERROR(__xludf.DUMMYFUNCTION("""COMPUTED_VALUE"""),"")</f>
        <v/>
      </c>
    </row>
    <row r="2820">
      <c r="A2820" s="17"/>
      <c r="B2820" s="23"/>
      <c r="C2820" s="17">
        <f>IFERROR(__xludf.DUMMYFUNCTION("""COMPUTED_VALUE"""),43521.1365082291)</f>
        <v>43521.13651</v>
      </c>
      <c r="D2820" s="23">
        <f>IFERROR(__xludf.DUMMYFUNCTION("""COMPUTED_VALUE"""),1.091)</f>
        <v>1.091</v>
      </c>
      <c r="E2820" s="24">
        <f>IFERROR(__xludf.DUMMYFUNCTION("""COMPUTED_VALUE"""),68.0)</f>
        <v>68</v>
      </c>
      <c r="F2820" s="27" t="str">
        <f>IFERROR(__xludf.DUMMYFUNCTION("""COMPUTED_VALUE"""),"BLACK")</f>
        <v>BLACK</v>
      </c>
      <c r="G2820" s="28" t="str">
        <f>IFERROR(__xludf.DUMMYFUNCTION("""COMPUTED_VALUE"""),"First Times a Charm Cider")</f>
        <v>First Times a Charm Cider</v>
      </c>
      <c r="H2820" s="27" t="str">
        <f>IFERROR(__xludf.DUMMYFUNCTION("""COMPUTED_VALUE"""),"")</f>
        <v/>
      </c>
    </row>
    <row r="2821">
      <c r="A2821" s="17"/>
      <c r="B2821" s="23"/>
      <c r="C2821" s="17">
        <f>IFERROR(__xludf.DUMMYFUNCTION("""COMPUTED_VALUE"""),43521.1156506597)</f>
        <v>43521.11565</v>
      </c>
      <c r="D2821" s="23">
        <f>IFERROR(__xludf.DUMMYFUNCTION("""COMPUTED_VALUE"""),1.091)</f>
        <v>1.091</v>
      </c>
      <c r="E2821" s="24">
        <f>IFERROR(__xludf.DUMMYFUNCTION("""COMPUTED_VALUE"""),68.0)</f>
        <v>68</v>
      </c>
      <c r="F2821" s="27" t="str">
        <f>IFERROR(__xludf.DUMMYFUNCTION("""COMPUTED_VALUE"""),"BLACK")</f>
        <v>BLACK</v>
      </c>
      <c r="G2821" s="28" t="str">
        <f>IFERROR(__xludf.DUMMYFUNCTION("""COMPUTED_VALUE"""),"First Times a Charm Cider")</f>
        <v>First Times a Charm Cider</v>
      </c>
      <c r="H2821" s="27" t="str">
        <f>IFERROR(__xludf.DUMMYFUNCTION("""COMPUTED_VALUE"""),"")</f>
        <v/>
      </c>
    </row>
    <row r="2822">
      <c r="A2822" s="17"/>
      <c r="B2822" s="23"/>
      <c r="C2822" s="17">
        <f>IFERROR(__xludf.DUMMYFUNCTION("""COMPUTED_VALUE"""),43521.0843413888)</f>
        <v>43521.08434</v>
      </c>
      <c r="D2822" s="23">
        <f>IFERROR(__xludf.DUMMYFUNCTION("""COMPUTED_VALUE"""),1.092)</f>
        <v>1.092</v>
      </c>
      <c r="E2822" s="24">
        <f>IFERROR(__xludf.DUMMYFUNCTION("""COMPUTED_VALUE"""),68.0)</f>
        <v>68</v>
      </c>
      <c r="F2822" s="27" t="str">
        <f>IFERROR(__xludf.DUMMYFUNCTION("""COMPUTED_VALUE"""),"BLACK")</f>
        <v>BLACK</v>
      </c>
      <c r="G2822" s="28" t="str">
        <f>IFERROR(__xludf.DUMMYFUNCTION("""COMPUTED_VALUE"""),"First Times a Charm Cider")</f>
        <v>First Times a Charm Cider</v>
      </c>
      <c r="H2822" s="27" t="str">
        <f>IFERROR(__xludf.DUMMYFUNCTION("""COMPUTED_VALUE"""),"")</f>
        <v/>
      </c>
    </row>
    <row r="2823">
      <c r="A2823" s="17"/>
      <c r="B2823" s="23"/>
      <c r="C2823" s="17">
        <f>IFERROR(__xludf.DUMMYFUNCTION("""COMPUTED_VALUE"""),43521.0530768865)</f>
        <v>43521.05308</v>
      </c>
      <c r="D2823" s="23">
        <f>IFERROR(__xludf.DUMMYFUNCTION("""COMPUTED_VALUE"""),1.092)</f>
        <v>1.092</v>
      </c>
      <c r="E2823" s="24">
        <f>IFERROR(__xludf.DUMMYFUNCTION("""COMPUTED_VALUE"""),68.0)</f>
        <v>68</v>
      </c>
      <c r="F2823" s="27" t="str">
        <f>IFERROR(__xludf.DUMMYFUNCTION("""COMPUTED_VALUE"""),"BLACK")</f>
        <v>BLACK</v>
      </c>
      <c r="G2823" s="28" t="str">
        <f>IFERROR(__xludf.DUMMYFUNCTION("""COMPUTED_VALUE"""),"First Times a Charm Cider")</f>
        <v>First Times a Charm Cider</v>
      </c>
      <c r="H2823" s="27" t="str">
        <f>IFERROR(__xludf.DUMMYFUNCTION("""COMPUTED_VALUE"""),"")</f>
        <v/>
      </c>
    </row>
    <row r="2824">
      <c r="A2824" s="17"/>
      <c r="B2824" s="23"/>
      <c r="C2824" s="17">
        <f>IFERROR(__xludf.DUMMYFUNCTION("""COMPUTED_VALUE"""),43521.0217872222)</f>
        <v>43521.02179</v>
      </c>
      <c r="D2824" s="23">
        <f>IFERROR(__xludf.DUMMYFUNCTION("""COMPUTED_VALUE"""),1.092)</f>
        <v>1.092</v>
      </c>
      <c r="E2824" s="24">
        <f>IFERROR(__xludf.DUMMYFUNCTION("""COMPUTED_VALUE"""),68.0)</f>
        <v>68</v>
      </c>
      <c r="F2824" s="27" t="str">
        <f>IFERROR(__xludf.DUMMYFUNCTION("""COMPUTED_VALUE"""),"BLACK")</f>
        <v>BLACK</v>
      </c>
      <c r="G2824" s="28" t="str">
        <f>IFERROR(__xludf.DUMMYFUNCTION("""COMPUTED_VALUE"""),"First Times a Charm Cider")</f>
        <v>First Times a Charm Cider</v>
      </c>
      <c r="H2824" s="27" t="str">
        <f>IFERROR(__xludf.DUMMYFUNCTION("""COMPUTED_VALUE"""),"")</f>
        <v/>
      </c>
    </row>
    <row r="2825">
      <c r="A2825" s="17"/>
      <c r="B2825" s="23"/>
      <c r="C2825" s="17">
        <f>IFERROR(__xludf.DUMMYFUNCTION("""COMPUTED_VALUE"""),43521.0113671296)</f>
        <v>43521.01137</v>
      </c>
      <c r="D2825" s="23">
        <f>IFERROR(__xludf.DUMMYFUNCTION("""COMPUTED_VALUE"""),1.092)</f>
        <v>1.092</v>
      </c>
      <c r="E2825" s="24">
        <f>IFERROR(__xludf.DUMMYFUNCTION("""COMPUTED_VALUE"""),68.0)</f>
        <v>68</v>
      </c>
      <c r="F2825" s="27" t="str">
        <f>IFERROR(__xludf.DUMMYFUNCTION("""COMPUTED_VALUE"""),"BLACK")</f>
        <v>BLACK</v>
      </c>
      <c r="G2825" s="28" t="str">
        <f>IFERROR(__xludf.DUMMYFUNCTION("""COMPUTED_VALUE"""),"First Times a Charm Cider")</f>
        <v>First Times a Charm Cider</v>
      </c>
      <c r="H2825" s="27" t="str">
        <f>IFERROR(__xludf.DUMMYFUNCTION("""COMPUTED_VALUE"""),"")</f>
        <v/>
      </c>
    </row>
    <row r="2826">
      <c r="A2826" s="17"/>
      <c r="B2826" s="23"/>
      <c r="C2826" s="17">
        <f>IFERROR(__xludf.DUMMYFUNCTION("""COMPUTED_VALUE"""),43520.9904654398)</f>
        <v>43520.99047</v>
      </c>
      <c r="D2826" s="23">
        <f>IFERROR(__xludf.DUMMYFUNCTION("""COMPUTED_VALUE"""),1.092)</f>
        <v>1.092</v>
      </c>
      <c r="E2826" s="24">
        <f>IFERROR(__xludf.DUMMYFUNCTION("""COMPUTED_VALUE"""),68.0)</f>
        <v>68</v>
      </c>
      <c r="F2826" s="27" t="str">
        <f>IFERROR(__xludf.DUMMYFUNCTION("""COMPUTED_VALUE"""),"BLACK")</f>
        <v>BLACK</v>
      </c>
      <c r="G2826" s="28" t="str">
        <f>IFERROR(__xludf.DUMMYFUNCTION("""COMPUTED_VALUE"""),"First Times a Charm Cider")</f>
        <v>First Times a Charm Cider</v>
      </c>
      <c r="H2826" s="27" t="str">
        <f>IFERROR(__xludf.DUMMYFUNCTION("""COMPUTED_VALUE"""),"")</f>
        <v/>
      </c>
    </row>
    <row r="2827">
      <c r="A2827" s="17"/>
      <c r="B2827" s="23"/>
      <c r="C2827" s="17">
        <f>IFERROR(__xludf.DUMMYFUNCTION("""COMPUTED_VALUE"""),43520.9800447916)</f>
        <v>43520.98004</v>
      </c>
      <c r="D2827" s="23">
        <f>IFERROR(__xludf.DUMMYFUNCTION("""COMPUTED_VALUE"""),1.092)</f>
        <v>1.092</v>
      </c>
      <c r="E2827" s="24">
        <f>IFERROR(__xludf.DUMMYFUNCTION("""COMPUTED_VALUE"""),68.0)</f>
        <v>68</v>
      </c>
      <c r="F2827" s="27" t="str">
        <f>IFERROR(__xludf.DUMMYFUNCTION("""COMPUTED_VALUE"""),"BLACK")</f>
        <v>BLACK</v>
      </c>
      <c r="G2827" s="28" t="str">
        <f>IFERROR(__xludf.DUMMYFUNCTION("""COMPUTED_VALUE"""),"First Times a Charm Cider")</f>
        <v>First Times a Charm Cider</v>
      </c>
      <c r="H2827" s="27" t="str">
        <f>IFERROR(__xludf.DUMMYFUNCTION("""COMPUTED_VALUE"""),"")</f>
        <v/>
      </c>
    </row>
    <row r="2828">
      <c r="A2828" s="17"/>
      <c r="B2828" s="23"/>
      <c r="C2828" s="17">
        <f>IFERROR(__xludf.DUMMYFUNCTION("""COMPUTED_VALUE"""),43520.9382842129)</f>
        <v>43520.93828</v>
      </c>
      <c r="D2828" s="23">
        <f>IFERROR(__xludf.DUMMYFUNCTION("""COMPUTED_VALUE"""),1.093)</f>
        <v>1.093</v>
      </c>
      <c r="E2828" s="24">
        <f>IFERROR(__xludf.DUMMYFUNCTION("""COMPUTED_VALUE"""),68.0)</f>
        <v>68</v>
      </c>
      <c r="F2828" s="27" t="str">
        <f>IFERROR(__xludf.DUMMYFUNCTION("""COMPUTED_VALUE"""),"BLACK")</f>
        <v>BLACK</v>
      </c>
      <c r="G2828" s="28" t="str">
        <f>IFERROR(__xludf.DUMMYFUNCTION("""COMPUTED_VALUE"""),"First Times a Charm Cider")</f>
        <v>First Times a Charm Cider</v>
      </c>
      <c r="H2828" s="27" t="str">
        <f>IFERROR(__xludf.DUMMYFUNCTION("""COMPUTED_VALUE"""),"")</f>
        <v/>
      </c>
    </row>
    <row r="2829">
      <c r="A2829" s="17"/>
      <c r="B2829" s="23"/>
      <c r="C2829" s="17">
        <f>IFERROR(__xludf.DUMMYFUNCTION("""COMPUTED_VALUE"""),43520.9278632407)</f>
        <v>43520.92786</v>
      </c>
      <c r="D2829" s="23">
        <f>IFERROR(__xludf.DUMMYFUNCTION("""COMPUTED_VALUE"""),1.092)</f>
        <v>1.092</v>
      </c>
      <c r="E2829" s="24">
        <f>IFERROR(__xludf.DUMMYFUNCTION("""COMPUTED_VALUE"""),68.0)</f>
        <v>68</v>
      </c>
      <c r="F2829" s="27" t="str">
        <f>IFERROR(__xludf.DUMMYFUNCTION("""COMPUTED_VALUE"""),"BLACK")</f>
        <v>BLACK</v>
      </c>
      <c r="G2829" s="28" t="str">
        <f>IFERROR(__xludf.DUMMYFUNCTION("""COMPUTED_VALUE"""),"First Times a Charm Cider")</f>
        <v>First Times a Charm Cider</v>
      </c>
      <c r="H2829" s="27" t="str">
        <f>IFERROR(__xludf.DUMMYFUNCTION("""COMPUTED_VALUE"""),"")</f>
        <v/>
      </c>
    </row>
    <row r="2830">
      <c r="A2830" s="17"/>
      <c r="B2830" s="23"/>
      <c r="C2830" s="17">
        <f>IFERROR(__xludf.DUMMYFUNCTION("""COMPUTED_VALUE"""),43520.9069994444)</f>
        <v>43520.907</v>
      </c>
      <c r="D2830" s="23">
        <f>IFERROR(__xludf.DUMMYFUNCTION("""COMPUTED_VALUE"""),1.093)</f>
        <v>1.093</v>
      </c>
      <c r="E2830" s="24">
        <f>IFERROR(__xludf.DUMMYFUNCTION("""COMPUTED_VALUE"""),68.0)</f>
        <v>68</v>
      </c>
      <c r="F2830" s="27" t="str">
        <f>IFERROR(__xludf.DUMMYFUNCTION("""COMPUTED_VALUE"""),"BLACK")</f>
        <v>BLACK</v>
      </c>
      <c r="G2830" s="28" t="str">
        <f>IFERROR(__xludf.DUMMYFUNCTION("""COMPUTED_VALUE"""),"First Times a Charm Cider")</f>
        <v>First Times a Charm Cider</v>
      </c>
      <c r="H2830" s="27" t="str">
        <f>IFERROR(__xludf.DUMMYFUNCTION("""COMPUTED_VALUE"""),"")</f>
        <v/>
      </c>
    </row>
    <row r="2831">
      <c r="A2831" s="17"/>
      <c r="B2831" s="23"/>
      <c r="C2831" s="17">
        <f>IFERROR(__xludf.DUMMYFUNCTION("""COMPUTED_VALUE"""),43520.896577662)</f>
        <v>43520.89658</v>
      </c>
      <c r="D2831" s="23">
        <f>IFERROR(__xludf.DUMMYFUNCTION("""COMPUTED_VALUE"""),1.094)</f>
        <v>1.094</v>
      </c>
      <c r="E2831" s="24">
        <f>IFERROR(__xludf.DUMMYFUNCTION("""COMPUTED_VALUE"""),68.0)</f>
        <v>68</v>
      </c>
      <c r="F2831" s="27" t="str">
        <f>IFERROR(__xludf.DUMMYFUNCTION("""COMPUTED_VALUE"""),"BLACK")</f>
        <v>BLACK</v>
      </c>
      <c r="G2831" s="28" t="str">
        <f>IFERROR(__xludf.DUMMYFUNCTION("""COMPUTED_VALUE"""),"First Times a Charm Cider")</f>
        <v>First Times a Charm Cider</v>
      </c>
      <c r="H2831" s="27" t="str">
        <f>IFERROR(__xludf.DUMMYFUNCTION("""COMPUTED_VALUE"""),"")</f>
        <v/>
      </c>
    </row>
    <row r="2832">
      <c r="A2832" s="17"/>
      <c r="B2832" s="23"/>
      <c r="C2832" s="17">
        <f>IFERROR(__xludf.DUMMYFUNCTION("""COMPUTED_VALUE"""),43520.8861567361)</f>
        <v>43520.88616</v>
      </c>
      <c r="D2832" s="23">
        <f>IFERROR(__xludf.DUMMYFUNCTION("""COMPUTED_VALUE"""),1.093)</f>
        <v>1.093</v>
      </c>
      <c r="E2832" s="24">
        <f>IFERROR(__xludf.DUMMYFUNCTION("""COMPUTED_VALUE"""),68.0)</f>
        <v>68</v>
      </c>
      <c r="F2832" s="27" t="str">
        <f>IFERROR(__xludf.DUMMYFUNCTION("""COMPUTED_VALUE"""),"BLACK")</f>
        <v>BLACK</v>
      </c>
      <c r="G2832" s="28" t="str">
        <f>IFERROR(__xludf.DUMMYFUNCTION("""COMPUTED_VALUE"""),"First Times a Charm Cider")</f>
        <v>First Times a Charm Cider</v>
      </c>
      <c r="H2832" s="27" t="str">
        <f>IFERROR(__xludf.DUMMYFUNCTION("""COMPUTED_VALUE"""),"")</f>
        <v/>
      </c>
    </row>
    <row r="2833">
      <c r="A2833" s="17"/>
      <c r="B2833" s="23"/>
      <c r="C2833" s="17">
        <f>IFERROR(__xludf.DUMMYFUNCTION("""COMPUTED_VALUE"""),43520.8757252546)</f>
        <v>43520.87573</v>
      </c>
      <c r="D2833" s="23">
        <f>IFERROR(__xludf.DUMMYFUNCTION("""COMPUTED_VALUE"""),1.093)</f>
        <v>1.093</v>
      </c>
      <c r="E2833" s="24">
        <f>IFERROR(__xludf.DUMMYFUNCTION("""COMPUTED_VALUE"""),68.0)</f>
        <v>68</v>
      </c>
      <c r="F2833" s="27" t="str">
        <f>IFERROR(__xludf.DUMMYFUNCTION("""COMPUTED_VALUE"""),"BLACK")</f>
        <v>BLACK</v>
      </c>
      <c r="G2833" s="28" t="str">
        <f>IFERROR(__xludf.DUMMYFUNCTION("""COMPUTED_VALUE"""),"First Times a Charm Cider")</f>
        <v>First Times a Charm Cider</v>
      </c>
      <c r="H2833" s="27" t="str">
        <f>IFERROR(__xludf.DUMMYFUNCTION("""COMPUTED_VALUE"""),"")</f>
        <v/>
      </c>
    </row>
    <row r="2834">
      <c r="A2834" s="17"/>
      <c r="B2834" s="23"/>
      <c r="C2834" s="17">
        <f>IFERROR(__xludf.DUMMYFUNCTION("""COMPUTED_VALUE"""),43520.8653042708)</f>
        <v>43520.8653</v>
      </c>
      <c r="D2834" s="23">
        <f>IFERROR(__xludf.DUMMYFUNCTION("""COMPUTED_VALUE"""),1.094)</f>
        <v>1.094</v>
      </c>
      <c r="E2834" s="24">
        <f>IFERROR(__xludf.DUMMYFUNCTION("""COMPUTED_VALUE"""),68.0)</f>
        <v>68</v>
      </c>
      <c r="F2834" s="27" t="str">
        <f>IFERROR(__xludf.DUMMYFUNCTION("""COMPUTED_VALUE"""),"BLACK")</f>
        <v>BLACK</v>
      </c>
      <c r="G2834" s="28" t="str">
        <f>IFERROR(__xludf.DUMMYFUNCTION("""COMPUTED_VALUE"""),"First Times a Charm Cider")</f>
        <v>First Times a Charm Cider</v>
      </c>
      <c r="H2834" s="27" t="str">
        <f>IFERROR(__xludf.DUMMYFUNCTION("""COMPUTED_VALUE"""),"")</f>
        <v/>
      </c>
    </row>
    <row r="2835">
      <c r="A2835" s="17"/>
      <c r="B2835" s="23"/>
      <c r="C2835" s="17">
        <f>IFERROR(__xludf.DUMMYFUNCTION("""COMPUTED_VALUE"""),43520.8131840277)</f>
        <v>43520.81318</v>
      </c>
      <c r="D2835" s="23">
        <f>IFERROR(__xludf.DUMMYFUNCTION("""COMPUTED_VALUE"""),1.093)</f>
        <v>1.093</v>
      </c>
      <c r="E2835" s="24">
        <f>IFERROR(__xludf.DUMMYFUNCTION("""COMPUTED_VALUE"""),67.0)</f>
        <v>67</v>
      </c>
      <c r="F2835" s="27" t="str">
        <f>IFERROR(__xludf.DUMMYFUNCTION("""COMPUTED_VALUE"""),"BLACK")</f>
        <v>BLACK</v>
      </c>
      <c r="G2835" s="28" t="str">
        <f>IFERROR(__xludf.DUMMYFUNCTION("""COMPUTED_VALUE"""),"First Times a Charm Cider")</f>
        <v>First Times a Charm Cider</v>
      </c>
      <c r="H2835" s="27" t="str">
        <f>IFERROR(__xludf.DUMMYFUNCTION("""COMPUTED_VALUE"""),"")</f>
        <v/>
      </c>
    </row>
    <row r="2836">
      <c r="A2836" s="17"/>
      <c r="B2836" s="23"/>
      <c r="C2836" s="17">
        <f>IFERROR(__xludf.DUMMYFUNCTION("""COMPUTED_VALUE"""),43520.802763368)</f>
        <v>43520.80276</v>
      </c>
      <c r="D2836" s="23">
        <f>IFERROR(__xludf.DUMMYFUNCTION("""COMPUTED_VALUE"""),1.094)</f>
        <v>1.094</v>
      </c>
      <c r="E2836" s="24">
        <f>IFERROR(__xludf.DUMMYFUNCTION("""COMPUTED_VALUE"""),67.0)</f>
        <v>67</v>
      </c>
      <c r="F2836" s="27" t="str">
        <f>IFERROR(__xludf.DUMMYFUNCTION("""COMPUTED_VALUE"""),"BLACK")</f>
        <v>BLACK</v>
      </c>
      <c r="G2836" s="28" t="str">
        <f>IFERROR(__xludf.DUMMYFUNCTION("""COMPUTED_VALUE"""),"First Times a Charm Cider")</f>
        <v>First Times a Charm Cider</v>
      </c>
      <c r="H2836" s="27" t="str">
        <f>IFERROR(__xludf.DUMMYFUNCTION("""COMPUTED_VALUE"""),"")</f>
        <v/>
      </c>
    </row>
    <row r="2837">
      <c r="A2837" s="17"/>
      <c r="B2837" s="23"/>
      <c r="C2837" s="17">
        <f>IFERROR(__xludf.DUMMYFUNCTION("""COMPUTED_VALUE"""),43520.792340949)</f>
        <v>43520.79234</v>
      </c>
      <c r="D2837" s="23">
        <f>IFERROR(__xludf.DUMMYFUNCTION("""COMPUTED_VALUE"""),1.094)</f>
        <v>1.094</v>
      </c>
      <c r="E2837" s="24">
        <f>IFERROR(__xludf.DUMMYFUNCTION("""COMPUTED_VALUE"""),67.0)</f>
        <v>67</v>
      </c>
      <c r="F2837" s="27" t="str">
        <f>IFERROR(__xludf.DUMMYFUNCTION("""COMPUTED_VALUE"""),"BLACK")</f>
        <v>BLACK</v>
      </c>
      <c r="G2837" s="28" t="str">
        <f>IFERROR(__xludf.DUMMYFUNCTION("""COMPUTED_VALUE"""),"First Times a Charm Cider")</f>
        <v>First Times a Charm Cider</v>
      </c>
      <c r="H2837" s="27" t="str">
        <f>IFERROR(__xludf.DUMMYFUNCTION("""COMPUTED_VALUE"""),"")</f>
        <v/>
      </c>
    </row>
    <row r="2838">
      <c r="A2838" s="17"/>
      <c r="B2838" s="23"/>
      <c r="C2838" s="17">
        <f>IFERROR(__xludf.DUMMYFUNCTION("""COMPUTED_VALUE"""),43520.781920162)</f>
        <v>43520.78192</v>
      </c>
      <c r="D2838" s="23">
        <f>IFERROR(__xludf.DUMMYFUNCTION("""COMPUTED_VALUE"""),1.093)</f>
        <v>1.093</v>
      </c>
      <c r="E2838" s="24">
        <f>IFERROR(__xludf.DUMMYFUNCTION("""COMPUTED_VALUE"""),67.0)</f>
        <v>67</v>
      </c>
      <c r="F2838" s="27" t="str">
        <f>IFERROR(__xludf.DUMMYFUNCTION("""COMPUTED_VALUE"""),"BLACK")</f>
        <v>BLACK</v>
      </c>
      <c r="G2838" s="28" t="str">
        <f>IFERROR(__xludf.DUMMYFUNCTION("""COMPUTED_VALUE"""),"First Times a Charm Cider")</f>
        <v>First Times a Charm Cider</v>
      </c>
      <c r="H2838" s="27" t="str">
        <f>IFERROR(__xludf.DUMMYFUNCTION("""COMPUTED_VALUE"""),"")</f>
        <v/>
      </c>
    </row>
    <row r="2839">
      <c r="A2839" s="17"/>
      <c r="B2839" s="23"/>
      <c r="C2839" s="17">
        <f>IFERROR(__xludf.DUMMYFUNCTION("""COMPUTED_VALUE"""),43520.7714879745)</f>
        <v>43520.77149</v>
      </c>
      <c r="D2839" s="23">
        <f>IFERROR(__xludf.DUMMYFUNCTION("""COMPUTED_VALUE"""),1.093)</f>
        <v>1.093</v>
      </c>
      <c r="E2839" s="24">
        <f>IFERROR(__xludf.DUMMYFUNCTION("""COMPUTED_VALUE"""),67.0)</f>
        <v>67</v>
      </c>
      <c r="F2839" s="27" t="str">
        <f>IFERROR(__xludf.DUMMYFUNCTION("""COMPUTED_VALUE"""),"BLACK")</f>
        <v>BLACK</v>
      </c>
      <c r="G2839" s="28" t="str">
        <f>IFERROR(__xludf.DUMMYFUNCTION("""COMPUTED_VALUE"""),"First Times a Charm Cider")</f>
        <v>First Times a Charm Cider</v>
      </c>
      <c r="H2839" s="27" t="str">
        <f>IFERROR(__xludf.DUMMYFUNCTION("""COMPUTED_VALUE"""),"")</f>
        <v/>
      </c>
    </row>
    <row r="2840">
      <c r="A2840" s="17"/>
      <c r="B2840" s="23"/>
      <c r="C2840" s="17">
        <f>IFERROR(__xludf.DUMMYFUNCTION("""COMPUTED_VALUE"""),43520.7506314814)</f>
        <v>43520.75063</v>
      </c>
      <c r="D2840" s="23">
        <f>IFERROR(__xludf.DUMMYFUNCTION("""COMPUTED_VALUE"""),1.093)</f>
        <v>1.093</v>
      </c>
      <c r="E2840" s="24">
        <f>IFERROR(__xludf.DUMMYFUNCTION("""COMPUTED_VALUE"""),67.0)</f>
        <v>67</v>
      </c>
      <c r="F2840" s="27" t="str">
        <f>IFERROR(__xludf.DUMMYFUNCTION("""COMPUTED_VALUE"""),"BLACK")</f>
        <v>BLACK</v>
      </c>
      <c r="G2840" s="28" t="str">
        <f>IFERROR(__xludf.DUMMYFUNCTION("""COMPUTED_VALUE"""),"First Times a Charm Cider")</f>
        <v>First Times a Charm Cider</v>
      </c>
      <c r="H2840" s="27" t="str">
        <f>IFERROR(__xludf.DUMMYFUNCTION("""COMPUTED_VALUE"""),"")</f>
        <v/>
      </c>
    </row>
    <row r="2841">
      <c r="A2841" s="17"/>
      <c r="B2841" s="23"/>
      <c r="C2841" s="17">
        <f>IFERROR(__xludf.DUMMYFUNCTION("""COMPUTED_VALUE"""),43520.7402104282)</f>
        <v>43520.74021</v>
      </c>
      <c r="D2841" s="23">
        <f>IFERROR(__xludf.DUMMYFUNCTION("""COMPUTED_VALUE"""),1.093)</f>
        <v>1.093</v>
      </c>
      <c r="E2841" s="24">
        <f>IFERROR(__xludf.DUMMYFUNCTION("""COMPUTED_VALUE"""),67.0)</f>
        <v>67</v>
      </c>
      <c r="F2841" s="27" t="str">
        <f>IFERROR(__xludf.DUMMYFUNCTION("""COMPUTED_VALUE"""),"BLACK")</f>
        <v>BLACK</v>
      </c>
      <c r="G2841" s="28" t="str">
        <f>IFERROR(__xludf.DUMMYFUNCTION("""COMPUTED_VALUE"""),"First Times a Charm Cider")</f>
        <v>First Times a Charm Cider</v>
      </c>
      <c r="H2841" s="27" t="str">
        <f>IFERROR(__xludf.DUMMYFUNCTION("""COMPUTED_VALUE"""),"")</f>
        <v/>
      </c>
    </row>
    <row r="2842">
      <c r="A2842" s="17"/>
      <c r="B2842" s="23"/>
      <c r="C2842" s="17">
        <f>IFERROR(__xludf.DUMMYFUNCTION("""COMPUTED_VALUE"""),43520.7193671412)</f>
        <v>43520.71937</v>
      </c>
      <c r="D2842" s="23">
        <f>IFERROR(__xludf.DUMMYFUNCTION("""COMPUTED_VALUE"""),1.093)</f>
        <v>1.093</v>
      </c>
      <c r="E2842" s="24">
        <f>IFERROR(__xludf.DUMMYFUNCTION("""COMPUTED_VALUE"""),67.0)</f>
        <v>67</v>
      </c>
      <c r="F2842" s="27" t="str">
        <f>IFERROR(__xludf.DUMMYFUNCTION("""COMPUTED_VALUE"""),"BLACK")</f>
        <v>BLACK</v>
      </c>
      <c r="G2842" s="28" t="str">
        <f>IFERROR(__xludf.DUMMYFUNCTION("""COMPUTED_VALUE"""),"First Times a Charm Cider")</f>
        <v>First Times a Charm Cider</v>
      </c>
      <c r="H2842" s="27" t="str">
        <f>IFERROR(__xludf.DUMMYFUNCTION("""COMPUTED_VALUE"""),"")</f>
        <v/>
      </c>
    </row>
    <row r="2843">
      <c r="A2843" s="17"/>
      <c r="B2843" s="23"/>
      <c r="C2843" s="17">
        <f>IFERROR(__xludf.DUMMYFUNCTION("""COMPUTED_VALUE"""),43520.7089456249)</f>
        <v>43520.70895</v>
      </c>
      <c r="D2843" s="23">
        <f>IFERROR(__xludf.DUMMYFUNCTION("""COMPUTED_VALUE"""),1.093)</f>
        <v>1.093</v>
      </c>
      <c r="E2843" s="24">
        <f>IFERROR(__xludf.DUMMYFUNCTION("""COMPUTED_VALUE"""),67.0)</f>
        <v>67</v>
      </c>
      <c r="F2843" s="27" t="str">
        <f>IFERROR(__xludf.DUMMYFUNCTION("""COMPUTED_VALUE"""),"BLACK")</f>
        <v>BLACK</v>
      </c>
      <c r="G2843" s="28" t="str">
        <f>IFERROR(__xludf.DUMMYFUNCTION("""COMPUTED_VALUE"""),"First Times a Charm Cider")</f>
        <v>First Times a Charm Cider</v>
      </c>
      <c r="H2843" s="27" t="str">
        <f>IFERROR(__xludf.DUMMYFUNCTION("""COMPUTED_VALUE"""),"")</f>
        <v/>
      </c>
    </row>
    <row r="2844">
      <c r="A2844" s="17"/>
      <c r="B2844" s="23"/>
      <c r="C2844" s="17">
        <f>IFERROR(__xludf.DUMMYFUNCTION("""COMPUTED_VALUE"""),43520.6985234027)</f>
        <v>43520.69852</v>
      </c>
      <c r="D2844" s="23">
        <f>IFERROR(__xludf.DUMMYFUNCTION("""COMPUTED_VALUE"""),1.093)</f>
        <v>1.093</v>
      </c>
      <c r="E2844" s="24">
        <f>IFERROR(__xludf.DUMMYFUNCTION("""COMPUTED_VALUE"""),67.0)</f>
        <v>67</v>
      </c>
      <c r="F2844" s="27" t="str">
        <f>IFERROR(__xludf.DUMMYFUNCTION("""COMPUTED_VALUE"""),"BLACK")</f>
        <v>BLACK</v>
      </c>
      <c r="G2844" s="28" t="str">
        <f>IFERROR(__xludf.DUMMYFUNCTION("""COMPUTED_VALUE"""),"First Times a Charm Cider")</f>
        <v>First Times a Charm Cider</v>
      </c>
      <c r="H2844" s="27" t="str">
        <f>IFERROR(__xludf.DUMMYFUNCTION("""COMPUTED_VALUE"""),"")</f>
        <v/>
      </c>
    </row>
    <row r="2845">
      <c r="A2845" s="17"/>
      <c r="B2845" s="23"/>
      <c r="C2845" s="17">
        <f>IFERROR(__xludf.DUMMYFUNCTION("""COMPUTED_VALUE"""),43520.6776352083)</f>
        <v>43520.67764</v>
      </c>
      <c r="D2845" s="23">
        <f>IFERROR(__xludf.DUMMYFUNCTION("""COMPUTED_VALUE"""),1.093)</f>
        <v>1.093</v>
      </c>
      <c r="E2845" s="24">
        <f>IFERROR(__xludf.DUMMYFUNCTION("""COMPUTED_VALUE"""),67.0)</f>
        <v>67</v>
      </c>
      <c r="F2845" s="27" t="str">
        <f>IFERROR(__xludf.DUMMYFUNCTION("""COMPUTED_VALUE"""),"BLACK")</f>
        <v>BLACK</v>
      </c>
      <c r="G2845" s="28" t="str">
        <f>IFERROR(__xludf.DUMMYFUNCTION("""COMPUTED_VALUE"""),"First Times a Charm Cider")</f>
        <v>First Times a Charm Cider</v>
      </c>
      <c r="H2845" s="27" t="str">
        <f>IFERROR(__xludf.DUMMYFUNCTION("""COMPUTED_VALUE"""),"")</f>
        <v/>
      </c>
    </row>
    <row r="2846">
      <c r="A2846" s="17"/>
      <c r="B2846" s="23"/>
      <c r="C2846" s="17">
        <f>IFERROR(__xludf.DUMMYFUNCTION("""COMPUTED_VALUE"""),43520.6672134722)</f>
        <v>43520.66721</v>
      </c>
      <c r="D2846" s="23">
        <f>IFERROR(__xludf.DUMMYFUNCTION("""COMPUTED_VALUE"""),1.093)</f>
        <v>1.093</v>
      </c>
      <c r="E2846" s="24">
        <f>IFERROR(__xludf.DUMMYFUNCTION("""COMPUTED_VALUE"""),67.0)</f>
        <v>67</v>
      </c>
      <c r="F2846" s="27" t="str">
        <f>IFERROR(__xludf.DUMMYFUNCTION("""COMPUTED_VALUE"""),"BLACK")</f>
        <v>BLACK</v>
      </c>
      <c r="G2846" s="28" t="str">
        <f>IFERROR(__xludf.DUMMYFUNCTION("""COMPUTED_VALUE"""),"First Times a Charm Cider")</f>
        <v>First Times a Charm Cider</v>
      </c>
      <c r="H2846" s="27" t="str">
        <f>IFERROR(__xludf.DUMMYFUNCTION("""COMPUTED_VALUE"""),"")</f>
        <v/>
      </c>
    </row>
    <row r="2847">
      <c r="A2847" s="17"/>
      <c r="B2847" s="23"/>
      <c r="C2847" s="17">
        <f>IFERROR(__xludf.DUMMYFUNCTION("""COMPUTED_VALUE"""),43520.6463480555)</f>
        <v>43520.64635</v>
      </c>
      <c r="D2847" s="23">
        <f>IFERROR(__xludf.DUMMYFUNCTION("""COMPUTED_VALUE"""),1.093)</f>
        <v>1.093</v>
      </c>
      <c r="E2847" s="24">
        <f>IFERROR(__xludf.DUMMYFUNCTION("""COMPUTED_VALUE"""),67.0)</f>
        <v>67</v>
      </c>
      <c r="F2847" s="27" t="str">
        <f>IFERROR(__xludf.DUMMYFUNCTION("""COMPUTED_VALUE"""),"BLACK")</f>
        <v>BLACK</v>
      </c>
      <c r="G2847" s="28" t="str">
        <f>IFERROR(__xludf.DUMMYFUNCTION("""COMPUTED_VALUE"""),"First Times a Charm Cider")</f>
        <v>First Times a Charm Cider</v>
      </c>
      <c r="H2847" s="27" t="str">
        <f>IFERROR(__xludf.DUMMYFUNCTION("""COMPUTED_VALUE"""),"")</f>
        <v/>
      </c>
    </row>
    <row r="2848">
      <c r="A2848" s="17"/>
      <c r="B2848" s="23"/>
      <c r="C2848" s="17">
        <f>IFERROR(__xludf.DUMMYFUNCTION("""COMPUTED_VALUE"""),43520.6255058333)</f>
        <v>43520.62551</v>
      </c>
      <c r="D2848" s="23">
        <f>IFERROR(__xludf.DUMMYFUNCTION("""COMPUTED_VALUE"""),1.093)</f>
        <v>1.093</v>
      </c>
      <c r="E2848" s="24">
        <f>IFERROR(__xludf.DUMMYFUNCTION("""COMPUTED_VALUE"""),67.0)</f>
        <v>67</v>
      </c>
      <c r="F2848" s="27" t="str">
        <f>IFERROR(__xludf.DUMMYFUNCTION("""COMPUTED_VALUE"""),"BLACK")</f>
        <v>BLACK</v>
      </c>
      <c r="G2848" s="28" t="str">
        <f>IFERROR(__xludf.DUMMYFUNCTION("""COMPUTED_VALUE"""),"First Times a Charm Cider")</f>
        <v>First Times a Charm Cider</v>
      </c>
      <c r="H2848" s="27" t="str">
        <f>IFERROR(__xludf.DUMMYFUNCTION("""COMPUTED_VALUE"""),"")</f>
        <v/>
      </c>
    </row>
    <row r="2849">
      <c r="A2849" s="17"/>
      <c r="B2849" s="23"/>
      <c r="C2849" s="17">
        <f>IFERROR(__xludf.DUMMYFUNCTION("""COMPUTED_VALUE"""),43520.6046397569)</f>
        <v>43520.60464</v>
      </c>
      <c r="D2849" s="23">
        <f>IFERROR(__xludf.DUMMYFUNCTION("""COMPUTED_VALUE"""),1.093)</f>
        <v>1.093</v>
      </c>
      <c r="E2849" s="24">
        <f>IFERROR(__xludf.DUMMYFUNCTION("""COMPUTED_VALUE"""),67.0)</f>
        <v>67</v>
      </c>
      <c r="F2849" s="27" t="str">
        <f>IFERROR(__xludf.DUMMYFUNCTION("""COMPUTED_VALUE"""),"BLACK")</f>
        <v>BLACK</v>
      </c>
      <c r="G2849" s="28" t="str">
        <f>IFERROR(__xludf.DUMMYFUNCTION("""COMPUTED_VALUE"""),"First Times a Charm Cider")</f>
        <v>First Times a Charm Cider</v>
      </c>
      <c r="H2849" s="27" t="str">
        <f>IFERROR(__xludf.DUMMYFUNCTION("""COMPUTED_VALUE"""),"")</f>
        <v/>
      </c>
    </row>
    <row r="2850">
      <c r="A2850" s="17"/>
      <c r="B2850" s="23"/>
      <c r="C2850" s="17">
        <f>IFERROR(__xludf.DUMMYFUNCTION("""COMPUTED_VALUE"""),43520.5733523495)</f>
        <v>43520.57335</v>
      </c>
      <c r="D2850" s="23">
        <f>IFERROR(__xludf.DUMMYFUNCTION("""COMPUTED_VALUE"""),1.093)</f>
        <v>1.093</v>
      </c>
      <c r="E2850" s="24">
        <f>IFERROR(__xludf.DUMMYFUNCTION("""COMPUTED_VALUE"""),67.0)</f>
        <v>67</v>
      </c>
      <c r="F2850" s="27" t="str">
        <f>IFERROR(__xludf.DUMMYFUNCTION("""COMPUTED_VALUE"""),"BLACK")</f>
        <v>BLACK</v>
      </c>
      <c r="G2850" s="28" t="str">
        <f>IFERROR(__xludf.DUMMYFUNCTION("""COMPUTED_VALUE"""),"First Times a Charm Cider")</f>
        <v>First Times a Charm Cider</v>
      </c>
      <c r="H2850" s="27" t="str">
        <f>IFERROR(__xludf.DUMMYFUNCTION("""COMPUTED_VALUE"""),"")</f>
        <v/>
      </c>
    </row>
    <row r="2851">
      <c r="A2851" s="17"/>
      <c r="B2851" s="23"/>
      <c r="C2851" s="17">
        <f>IFERROR(__xludf.DUMMYFUNCTION("""COMPUTED_VALUE"""),43520.5629303125)</f>
        <v>43520.56293</v>
      </c>
      <c r="D2851" s="23">
        <f>IFERROR(__xludf.DUMMYFUNCTION("""COMPUTED_VALUE"""),1.093)</f>
        <v>1.093</v>
      </c>
      <c r="E2851" s="24">
        <f>IFERROR(__xludf.DUMMYFUNCTION("""COMPUTED_VALUE"""),67.0)</f>
        <v>67</v>
      </c>
      <c r="F2851" s="27" t="str">
        <f>IFERROR(__xludf.DUMMYFUNCTION("""COMPUTED_VALUE"""),"BLACK")</f>
        <v>BLACK</v>
      </c>
      <c r="G2851" s="28" t="str">
        <f>IFERROR(__xludf.DUMMYFUNCTION("""COMPUTED_VALUE"""),"First Times a Charm Cider")</f>
        <v>First Times a Charm Cider</v>
      </c>
      <c r="H2851" s="27" t="str">
        <f>IFERROR(__xludf.DUMMYFUNCTION("""COMPUTED_VALUE"""),"")</f>
        <v/>
      </c>
    </row>
    <row r="2852">
      <c r="A2852" s="17"/>
      <c r="B2852" s="23"/>
      <c r="C2852" s="17">
        <f>IFERROR(__xludf.DUMMYFUNCTION("""COMPUTED_VALUE"""),43520.5524958912)</f>
        <v>43520.5525</v>
      </c>
      <c r="D2852" s="23">
        <f>IFERROR(__xludf.DUMMYFUNCTION("""COMPUTED_VALUE"""),1.093)</f>
        <v>1.093</v>
      </c>
      <c r="E2852" s="24">
        <f>IFERROR(__xludf.DUMMYFUNCTION("""COMPUTED_VALUE"""),67.0)</f>
        <v>67</v>
      </c>
      <c r="F2852" s="27" t="str">
        <f>IFERROR(__xludf.DUMMYFUNCTION("""COMPUTED_VALUE"""),"BLACK")</f>
        <v>BLACK</v>
      </c>
      <c r="G2852" s="28" t="str">
        <f>IFERROR(__xludf.DUMMYFUNCTION("""COMPUTED_VALUE"""),"First Times a Charm Cider")</f>
        <v>First Times a Charm Cider</v>
      </c>
      <c r="H2852" s="27" t="str">
        <f>IFERROR(__xludf.DUMMYFUNCTION("""COMPUTED_VALUE"""),"")</f>
        <v/>
      </c>
    </row>
    <row r="2853">
      <c r="A2853" s="17"/>
      <c r="B2853" s="23"/>
      <c r="C2853" s="17">
        <f>IFERROR(__xludf.DUMMYFUNCTION("""COMPUTED_VALUE"""),43520.54207478)</f>
        <v>43520.54207</v>
      </c>
      <c r="D2853" s="23">
        <f>IFERROR(__xludf.DUMMYFUNCTION("""COMPUTED_VALUE"""),1.093)</f>
        <v>1.093</v>
      </c>
      <c r="E2853" s="24">
        <f>IFERROR(__xludf.DUMMYFUNCTION("""COMPUTED_VALUE"""),67.0)</f>
        <v>67</v>
      </c>
      <c r="F2853" s="27" t="str">
        <f>IFERROR(__xludf.DUMMYFUNCTION("""COMPUTED_VALUE"""),"BLACK")</f>
        <v>BLACK</v>
      </c>
      <c r="G2853" s="28" t="str">
        <f>IFERROR(__xludf.DUMMYFUNCTION("""COMPUTED_VALUE"""),"First Times a Charm Cider")</f>
        <v>First Times a Charm Cider</v>
      </c>
      <c r="H2853" s="27" t="str">
        <f>IFERROR(__xludf.DUMMYFUNCTION("""COMPUTED_VALUE"""),"")</f>
        <v/>
      </c>
    </row>
    <row r="2854">
      <c r="A2854" s="17"/>
      <c r="B2854" s="23"/>
      <c r="C2854" s="17">
        <f>IFERROR(__xludf.DUMMYFUNCTION("""COMPUTED_VALUE"""),43520.5107767013)</f>
        <v>43520.51078</v>
      </c>
      <c r="D2854" s="23">
        <f>IFERROR(__xludf.DUMMYFUNCTION("""COMPUTED_VALUE"""),1.093)</f>
        <v>1.093</v>
      </c>
      <c r="E2854" s="24">
        <f>IFERROR(__xludf.DUMMYFUNCTION("""COMPUTED_VALUE"""),67.0)</f>
        <v>67</v>
      </c>
      <c r="F2854" s="27" t="str">
        <f>IFERROR(__xludf.DUMMYFUNCTION("""COMPUTED_VALUE"""),"BLACK")</f>
        <v>BLACK</v>
      </c>
      <c r="G2854" s="28" t="str">
        <f>IFERROR(__xludf.DUMMYFUNCTION("""COMPUTED_VALUE"""),"First Times a Charm Cider")</f>
        <v>First Times a Charm Cider</v>
      </c>
      <c r="H2854" s="27" t="str">
        <f>IFERROR(__xludf.DUMMYFUNCTION("""COMPUTED_VALUE"""),"")</f>
        <v/>
      </c>
    </row>
    <row r="2855">
      <c r="A2855" s="17"/>
      <c r="B2855" s="23"/>
      <c r="C2855" s="17">
        <f>IFERROR(__xludf.DUMMYFUNCTION("""COMPUTED_VALUE"""),43520.500357118)</f>
        <v>43520.50036</v>
      </c>
      <c r="D2855" s="23">
        <f>IFERROR(__xludf.DUMMYFUNCTION("""COMPUTED_VALUE"""),1.093)</f>
        <v>1.093</v>
      </c>
      <c r="E2855" s="24">
        <f>IFERROR(__xludf.DUMMYFUNCTION("""COMPUTED_VALUE"""),67.0)</f>
        <v>67</v>
      </c>
      <c r="F2855" s="27" t="str">
        <f>IFERROR(__xludf.DUMMYFUNCTION("""COMPUTED_VALUE"""),"BLACK")</f>
        <v>BLACK</v>
      </c>
      <c r="G2855" s="28" t="str">
        <f>IFERROR(__xludf.DUMMYFUNCTION("""COMPUTED_VALUE"""),"First Times a Charm Cider")</f>
        <v>First Times a Charm Cider</v>
      </c>
      <c r="H2855" s="27" t="str">
        <f>IFERROR(__xludf.DUMMYFUNCTION("""COMPUTED_VALUE"""),"")</f>
        <v/>
      </c>
    </row>
    <row r="2856">
      <c r="A2856" s="17"/>
      <c r="B2856" s="23"/>
      <c r="C2856" s="17">
        <f>IFERROR(__xludf.DUMMYFUNCTION("""COMPUTED_VALUE"""),43520.4899367824)</f>
        <v>43520.48994</v>
      </c>
      <c r="D2856" s="23">
        <f>IFERROR(__xludf.DUMMYFUNCTION("""COMPUTED_VALUE"""),1.093)</f>
        <v>1.093</v>
      </c>
      <c r="E2856" s="24">
        <f>IFERROR(__xludf.DUMMYFUNCTION("""COMPUTED_VALUE"""),67.0)</f>
        <v>67</v>
      </c>
      <c r="F2856" s="27" t="str">
        <f>IFERROR(__xludf.DUMMYFUNCTION("""COMPUTED_VALUE"""),"BLACK")</f>
        <v>BLACK</v>
      </c>
      <c r="G2856" s="28" t="str">
        <f>IFERROR(__xludf.DUMMYFUNCTION("""COMPUTED_VALUE"""),"First Times a Charm Cider")</f>
        <v>First Times a Charm Cider</v>
      </c>
      <c r="H2856" s="27" t="str">
        <f>IFERROR(__xludf.DUMMYFUNCTION("""COMPUTED_VALUE"""),"")</f>
        <v/>
      </c>
    </row>
    <row r="2857">
      <c r="A2857" s="17"/>
      <c r="B2857" s="23"/>
      <c r="C2857" s="17">
        <f>IFERROR(__xludf.DUMMYFUNCTION("""COMPUTED_VALUE"""),43520.4795158912)</f>
        <v>43520.47952</v>
      </c>
      <c r="D2857" s="23">
        <f>IFERROR(__xludf.DUMMYFUNCTION("""COMPUTED_VALUE"""),1.093)</f>
        <v>1.093</v>
      </c>
      <c r="E2857" s="24">
        <f>IFERROR(__xludf.DUMMYFUNCTION("""COMPUTED_VALUE"""),67.0)</f>
        <v>67</v>
      </c>
      <c r="F2857" s="27" t="str">
        <f>IFERROR(__xludf.DUMMYFUNCTION("""COMPUTED_VALUE"""),"BLACK")</f>
        <v>BLACK</v>
      </c>
      <c r="G2857" s="28" t="str">
        <f>IFERROR(__xludf.DUMMYFUNCTION("""COMPUTED_VALUE"""),"First Times a Charm Cider")</f>
        <v>First Times a Charm Cider</v>
      </c>
      <c r="H2857" s="27" t="str">
        <f>IFERROR(__xludf.DUMMYFUNCTION("""COMPUTED_VALUE"""),"")</f>
        <v/>
      </c>
    </row>
    <row r="2858">
      <c r="A2858" s="17"/>
      <c r="B2858" s="23"/>
      <c r="C2858" s="17">
        <f>IFERROR(__xludf.DUMMYFUNCTION("""COMPUTED_VALUE"""),43520.4586755439)</f>
        <v>43520.45868</v>
      </c>
      <c r="D2858" s="23">
        <f>IFERROR(__xludf.DUMMYFUNCTION("""COMPUTED_VALUE"""),1.093)</f>
        <v>1.093</v>
      </c>
      <c r="E2858" s="24">
        <f>IFERROR(__xludf.DUMMYFUNCTION("""COMPUTED_VALUE"""),67.0)</f>
        <v>67</v>
      </c>
      <c r="F2858" s="27" t="str">
        <f>IFERROR(__xludf.DUMMYFUNCTION("""COMPUTED_VALUE"""),"BLACK")</f>
        <v>BLACK</v>
      </c>
      <c r="G2858" s="28" t="str">
        <f>IFERROR(__xludf.DUMMYFUNCTION("""COMPUTED_VALUE"""),"First Times a Charm Cider")</f>
        <v>First Times a Charm Cider</v>
      </c>
      <c r="H2858" s="27" t="str">
        <f>IFERROR(__xludf.DUMMYFUNCTION("""COMPUTED_VALUE"""),"")</f>
        <v/>
      </c>
    </row>
    <row r="2859">
      <c r="A2859" s="17"/>
      <c r="B2859" s="23"/>
      <c r="C2859" s="17">
        <f>IFERROR(__xludf.DUMMYFUNCTION("""COMPUTED_VALUE"""),43520.4378227199)</f>
        <v>43520.43782</v>
      </c>
      <c r="D2859" s="23">
        <f>IFERROR(__xludf.DUMMYFUNCTION("""COMPUTED_VALUE"""),1.093)</f>
        <v>1.093</v>
      </c>
      <c r="E2859" s="24">
        <f>IFERROR(__xludf.DUMMYFUNCTION("""COMPUTED_VALUE"""),67.0)</f>
        <v>67</v>
      </c>
      <c r="F2859" s="27" t="str">
        <f>IFERROR(__xludf.DUMMYFUNCTION("""COMPUTED_VALUE"""),"BLACK")</f>
        <v>BLACK</v>
      </c>
      <c r="G2859" s="28" t="str">
        <f>IFERROR(__xludf.DUMMYFUNCTION("""COMPUTED_VALUE"""),"First Times a Charm Cider")</f>
        <v>First Times a Charm Cider</v>
      </c>
      <c r="H2859" s="27" t="str">
        <f>IFERROR(__xludf.DUMMYFUNCTION("""COMPUTED_VALUE"""),"")</f>
        <v/>
      </c>
    </row>
    <row r="2860">
      <c r="A2860" s="17"/>
      <c r="B2860" s="23"/>
      <c r="C2860" s="17">
        <f>IFERROR(__xludf.DUMMYFUNCTION("""COMPUTED_VALUE"""),43520.4169792013)</f>
        <v>43520.41698</v>
      </c>
      <c r="D2860" s="23">
        <f>IFERROR(__xludf.DUMMYFUNCTION("""COMPUTED_VALUE"""),1.093)</f>
        <v>1.093</v>
      </c>
      <c r="E2860" s="24">
        <f>IFERROR(__xludf.DUMMYFUNCTION("""COMPUTED_VALUE"""),67.0)</f>
        <v>67</v>
      </c>
      <c r="F2860" s="27" t="str">
        <f>IFERROR(__xludf.DUMMYFUNCTION("""COMPUTED_VALUE"""),"BLACK")</f>
        <v>BLACK</v>
      </c>
      <c r="G2860" s="28" t="str">
        <f>IFERROR(__xludf.DUMMYFUNCTION("""COMPUTED_VALUE"""),"First Times a Charm Cider")</f>
        <v>First Times a Charm Cider</v>
      </c>
      <c r="H2860" s="27" t="str">
        <f>IFERROR(__xludf.DUMMYFUNCTION("""COMPUTED_VALUE"""),"")</f>
        <v/>
      </c>
    </row>
    <row r="2861">
      <c r="A2861" s="17"/>
      <c r="B2861" s="23"/>
      <c r="C2861" s="17">
        <f>IFERROR(__xludf.DUMMYFUNCTION("""COMPUTED_VALUE"""),43520.4065581018)</f>
        <v>43520.40656</v>
      </c>
      <c r="D2861" s="23">
        <f>IFERROR(__xludf.DUMMYFUNCTION("""COMPUTED_VALUE"""),1.093)</f>
        <v>1.093</v>
      </c>
      <c r="E2861" s="24">
        <f>IFERROR(__xludf.DUMMYFUNCTION("""COMPUTED_VALUE"""),67.0)</f>
        <v>67</v>
      </c>
      <c r="F2861" s="27" t="str">
        <f>IFERROR(__xludf.DUMMYFUNCTION("""COMPUTED_VALUE"""),"BLACK")</f>
        <v>BLACK</v>
      </c>
      <c r="G2861" s="28" t="str">
        <f>IFERROR(__xludf.DUMMYFUNCTION("""COMPUTED_VALUE"""),"First Times a Charm Cider")</f>
        <v>First Times a Charm Cider</v>
      </c>
      <c r="H2861" s="27" t="str">
        <f>IFERROR(__xludf.DUMMYFUNCTION("""COMPUTED_VALUE"""),"")</f>
        <v/>
      </c>
    </row>
    <row r="2862">
      <c r="A2862" s="17"/>
      <c r="B2862" s="23"/>
      <c r="C2862" s="17">
        <f>IFERROR(__xludf.DUMMYFUNCTION("""COMPUTED_VALUE"""),43520.3961388194)</f>
        <v>43520.39614</v>
      </c>
      <c r="D2862" s="23">
        <f>IFERROR(__xludf.DUMMYFUNCTION("""COMPUTED_VALUE"""),1.093)</f>
        <v>1.093</v>
      </c>
      <c r="E2862" s="24">
        <f>IFERROR(__xludf.DUMMYFUNCTION("""COMPUTED_VALUE"""),67.0)</f>
        <v>67</v>
      </c>
      <c r="F2862" s="27" t="str">
        <f>IFERROR(__xludf.DUMMYFUNCTION("""COMPUTED_VALUE"""),"BLACK")</f>
        <v>BLACK</v>
      </c>
      <c r="G2862" s="28" t="str">
        <f>IFERROR(__xludf.DUMMYFUNCTION("""COMPUTED_VALUE"""),"First Times a Charm Cider")</f>
        <v>First Times a Charm Cider</v>
      </c>
      <c r="H2862" s="27" t="str">
        <f>IFERROR(__xludf.DUMMYFUNCTION("""COMPUTED_VALUE"""),"")</f>
        <v/>
      </c>
    </row>
    <row r="2863">
      <c r="A2863" s="17"/>
      <c r="B2863" s="23"/>
      <c r="C2863" s="17">
        <f>IFERROR(__xludf.DUMMYFUNCTION("""COMPUTED_VALUE"""),43520.3752982175)</f>
        <v>43520.3753</v>
      </c>
      <c r="D2863" s="23">
        <f>IFERROR(__xludf.DUMMYFUNCTION("""COMPUTED_VALUE"""),1.093)</f>
        <v>1.093</v>
      </c>
      <c r="E2863" s="24">
        <f>IFERROR(__xludf.DUMMYFUNCTION("""COMPUTED_VALUE"""),68.0)</f>
        <v>68</v>
      </c>
      <c r="F2863" s="27" t="str">
        <f>IFERROR(__xludf.DUMMYFUNCTION("""COMPUTED_VALUE"""),"BLACK")</f>
        <v>BLACK</v>
      </c>
      <c r="G2863" s="28" t="str">
        <f>IFERROR(__xludf.DUMMYFUNCTION("""COMPUTED_VALUE"""),"First Times a Charm Cider")</f>
        <v>First Times a Charm Cider</v>
      </c>
      <c r="H2863" s="27" t="str">
        <f>IFERROR(__xludf.DUMMYFUNCTION("""COMPUTED_VALUE"""),"")</f>
        <v/>
      </c>
    </row>
    <row r="2864">
      <c r="A2864" s="17"/>
      <c r="B2864" s="23"/>
      <c r="C2864" s="17">
        <f>IFERROR(__xludf.DUMMYFUNCTION("""COMPUTED_VALUE"""),43520.3648762963)</f>
        <v>43520.36488</v>
      </c>
      <c r="D2864" s="23">
        <f>IFERROR(__xludf.DUMMYFUNCTION("""COMPUTED_VALUE"""),1.093)</f>
        <v>1.093</v>
      </c>
      <c r="E2864" s="24">
        <f>IFERROR(__xludf.DUMMYFUNCTION("""COMPUTED_VALUE"""),68.0)</f>
        <v>68</v>
      </c>
      <c r="F2864" s="27" t="str">
        <f>IFERROR(__xludf.DUMMYFUNCTION("""COMPUTED_VALUE"""),"BLACK")</f>
        <v>BLACK</v>
      </c>
      <c r="G2864" s="28" t="str">
        <f>IFERROR(__xludf.DUMMYFUNCTION("""COMPUTED_VALUE"""),"First Times a Charm Cider")</f>
        <v>First Times a Charm Cider</v>
      </c>
      <c r="H2864" s="27" t="str">
        <f>IFERROR(__xludf.DUMMYFUNCTION("""COMPUTED_VALUE"""),"")</f>
        <v/>
      </c>
    </row>
    <row r="2865">
      <c r="A2865" s="17"/>
      <c r="B2865" s="23"/>
      <c r="C2865" s="17">
        <f>IFERROR(__xludf.DUMMYFUNCTION("""COMPUTED_VALUE"""),43520.354453912)</f>
        <v>43520.35445</v>
      </c>
      <c r="D2865" s="23">
        <f>IFERROR(__xludf.DUMMYFUNCTION("""COMPUTED_VALUE"""),1.093)</f>
        <v>1.093</v>
      </c>
      <c r="E2865" s="24">
        <f>IFERROR(__xludf.DUMMYFUNCTION("""COMPUTED_VALUE"""),68.0)</f>
        <v>68</v>
      </c>
      <c r="F2865" s="27" t="str">
        <f>IFERROR(__xludf.DUMMYFUNCTION("""COMPUTED_VALUE"""),"BLACK")</f>
        <v>BLACK</v>
      </c>
      <c r="G2865" s="28" t="str">
        <f>IFERROR(__xludf.DUMMYFUNCTION("""COMPUTED_VALUE"""),"First Times a Charm Cider")</f>
        <v>First Times a Charm Cider</v>
      </c>
      <c r="H2865" s="27" t="str">
        <f>IFERROR(__xludf.DUMMYFUNCTION("""COMPUTED_VALUE"""),"")</f>
        <v/>
      </c>
    </row>
    <row r="2866">
      <c r="A2866" s="17"/>
      <c r="B2866" s="23"/>
      <c r="C2866" s="17">
        <f>IFERROR(__xludf.DUMMYFUNCTION("""COMPUTED_VALUE"""),43520.333611574)</f>
        <v>43520.33361</v>
      </c>
      <c r="D2866" s="23">
        <f>IFERROR(__xludf.DUMMYFUNCTION("""COMPUTED_VALUE"""),1.093)</f>
        <v>1.093</v>
      </c>
      <c r="E2866" s="24">
        <f>IFERROR(__xludf.DUMMYFUNCTION("""COMPUTED_VALUE"""),68.0)</f>
        <v>68</v>
      </c>
      <c r="F2866" s="27" t="str">
        <f>IFERROR(__xludf.DUMMYFUNCTION("""COMPUTED_VALUE"""),"BLACK")</f>
        <v>BLACK</v>
      </c>
      <c r="G2866" s="28" t="str">
        <f>IFERROR(__xludf.DUMMYFUNCTION("""COMPUTED_VALUE"""),"First Times a Charm Cider")</f>
        <v>First Times a Charm Cider</v>
      </c>
      <c r="H2866" s="27" t="str">
        <f>IFERROR(__xludf.DUMMYFUNCTION("""COMPUTED_VALUE"""),"")</f>
        <v/>
      </c>
    </row>
    <row r="2867">
      <c r="A2867" s="17"/>
      <c r="B2867" s="23"/>
      <c r="C2867" s="17">
        <f>IFERROR(__xludf.DUMMYFUNCTION("""COMPUTED_VALUE"""),43520.3231906713)</f>
        <v>43520.32319</v>
      </c>
      <c r="D2867" s="23">
        <f>IFERROR(__xludf.DUMMYFUNCTION("""COMPUTED_VALUE"""),1.093)</f>
        <v>1.093</v>
      </c>
      <c r="E2867" s="24">
        <f>IFERROR(__xludf.DUMMYFUNCTION("""COMPUTED_VALUE"""),68.0)</f>
        <v>68</v>
      </c>
      <c r="F2867" s="27" t="str">
        <f>IFERROR(__xludf.DUMMYFUNCTION("""COMPUTED_VALUE"""),"BLACK")</f>
        <v>BLACK</v>
      </c>
      <c r="G2867" s="28" t="str">
        <f>IFERROR(__xludf.DUMMYFUNCTION("""COMPUTED_VALUE"""),"First Times a Charm Cider")</f>
        <v>First Times a Charm Cider</v>
      </c>
      <c r="H2867" s="27" t="str">
        <f>IFERROR(__xludf.DUMMYFUNCTION("""COMPUTED_VALUE"""),"")</f>
        <v/>
      </c>
    </row>
    <row r="2868">
      <c r="A2868" s="17"/>
      <c r="B2868" s="23"/>
      <c r="C2868" s="17">
        <f>IFERROR(__xludf.DUMMYFUNCTION("""COMPUTED_VALUE"""),43520.3127565162)</f>
        <v>43520.31276</v>
      </c>
      <c r="D2868" s="23">
        <f>IFERROR(__xludf.DUMMYFUNCTION("""COMPUTED_VALUE"""),1.093)</f>
        <v>1.093</v>
      </c>
      <c r="E2868" s="24">
        <f>IFERROR(__xludf.DUMMYFUNCTION("""COMPUTED_VALUE"""),68.0)</f>
        <v>68</v>
      </c>
      <c r="F2868" s="27" t="str">
        <f>IFERROR(__xludf.DUMMYFUNCTION("""COMPUTED_VALUE"""),"BLACK")</f>
        <v>BLACK</v>
      </c>
      <c r="G2868" s="28" t="str">
        <f>IFERROR(__xludf.DUMMYFUNCTION("""COMPUTED_VALUE"""),"First Times a Charm Cider")</f>
        <v>First Times a Charm Cider</v>
      </c>
      <c r="H2868" s="27" t="str">
        <f>IFERROR(__xludf.DUMMYFUNCTION("""COMPUTED_VALUE"""),"")</f>
        <v/>
      </c>
    </row>
    <row r="2869">
      <c r="A2869" s="17"/>
      <c r="B2869" s="23"/>
      <c r="C2869" s="17">
        <f>IFERROR(__xludf.DUMMYFUNCTION("""COMPUTED_VALUE"""),43520.2710119097)</f>
        <v>43520.27101</v>
      </c>
      <c r="D2869" s="23">
        <f>IFERROR(__xludf.DUMMYFUNCTION("""COMPUTED_VALUE"""),1.093)</f>
        <v>1.093</v>
      </c>
      <c r="E2869" s="24">
        <f>IFERROR(__xludf.DUMMYFUNCTION("""COMPUTED_VALUE"""),69.0)</f>
        <v>69</v>
      </c>
      <c r="F2869" s="27" t="str">
        <f>IFERROR(__xludf.DUMMYFUNCTION("""COMPUTED_VALUE"""),"BLACK")</f>
        <v>BLACK</v>
      </c>
      <c r="G2869" s="28" t="str">
        <f>IFERROR(__xludf.DUMMYFUNCTION("""COMPUTED_VALUE"""),"First Times a Charm Cider")</f>
        <v>First Times a Charm Cider</v>
      </c>
      <c r="H2869" s="27" t="str">
        <f>IFERROR(__xludf.DUMMYFUNCTION("""COMPUTED_VALUE"""),"")</f>
        <v/>
      </c>
    </row>
    <row r="2870">
      <c r="A2870" s="17"/>
      <c r="B2870" s="23"/>
      <c r="C2870" s="17">
        <f>IFERROR(__xludf.DUMMYFUNCTION("""COMPUTED_VALUE"""),43520.2605797453)</f>
        <v>43520.26058</v>
      </c>
      <c r="D2870" s="23">
        <f>IFERROR(__xludf.DUMMYFUNCTION("""COMPUTED_VALUE"""),1.093)</f>
        <v>1.093</v>
      </c>
      <c r="E2870" s="24">
        <f>IFERROR(__xludf.DUMMYFUNCTION("""COMPUTED_VALUE"""),69.0)</f>
        <v>69</v>
      </c>
      <c r="F2870" s="27" t="str">
        <f>IFERROR(__xludf.DUMMYFUNCTION("""COMPUTED_VALUE"""),"BLACK")</f>
        <v>BLACK</v>
      </c>
      <c r="G2870" s="28" t="str">
        <f>IFERROR(__xludf.DUMMYFUNCTION("""COMPUTED_VALUE"""),"First Times a Charm Cider")</f>
        <v>First Times a Charm Cider</v>
      </c>
      <c r="H2870" s="27" t="str">
        <f>IFERROR(__xludf.DUMMYFUNCTION("""COMPUTED_VALUE"""),"")</f>
        <v/>
      </c>
    </row>
    <row r="2871">
      <c r="A2871" s="17"/>
      <c r="B2871" s="23"/>
      <c r="C2871" s="17">
        <f>IFERROR(__xludf.DUMMYFUNCTION("""COMPUTED_VALUE"""),43520.2501604861)</f>
        <v>43520.25016</v>
      </c>
      <c r="D2871" s="23">
        <f>IFERROR(__xludf.DUMMYFUNCTION("""COMPUTED_VALUE"""),1.093)</f>
        <v>1.093</v>
      </c>
      <c r="E2871" s="24">
        <f>IFERROR(__xludf.DUMMYFUNCTION("""COMPUTED_VALUE"""),69.0)</f>
        <v>69</v>
      </c>
      <c r="F2871" s="27" t="str">
        <f>IFERROR(__xludf.DUMMYFUNCTION("""COMPUTED_VALUE"""),"BLACK")</f>
        <v>BLACK</v>
      </c>
      <c r="G2871" s="28" t="str">
        <f>IFERROR(__xludf.DUMMYFUNCTION("""COMPUTED_VALUE"""),"First Times a Charm Cider")</f>
        <v>First Times a Charm Cider</v>
      </c>
      <c r="H2871" s="27" t="str">
        <f>IFERROR(__xludf.DUMMYFUNCTION("""COMPUTED_VALUE"""),"")</f>
        <v/>
      </c>
    </row>
    <row r="2872">
      <c r="A2872" s="17"/>
      <c r="B2872" s="23"/>
      <c r="C2872" s="17">
        <f>IFERROR(__xludf.DUMMYFUNCTION("""COMPUTED_VALUE"""),43520.2397415509)</f>
        <v>43520.23974</v>
      </c>
      <c r="D2872" s="23">
        <f>IFERROR(__xludf.DUMMYFUNCTION("""COMPUTED_VALUE"""),1.093)</f>
        <v>1.093</v>
      </c>
      <c r="E2872" s="24">
        <f>IFERROR(__xludf.DUMMYFUNCTION("""COMPUTED_VALUE"""),69.0)</f>
        <v>69</v>
      </c>
      <c r="F2872" s="27" t="str">
        <f>IFERROR(__xludf.DUMMYFUNCTION("""COMPUTED_VALUE"""),"BLACK")</f>
        <v>BLACK</v>
      </c>
      <c r="G2872" s="28" t="str">
        <f>IFERROR(__xludf.DUMMYFUNCTION("""COMPUTED_VALUE"""),"First Times a Charm Cider")</f>
        <v>First Times a Charm Cider</v>
      </c>
      <c r="H2872" s="27" t="str">
        <f>IFERROR(__xludf.DUMMYFUNCTION("""COMPUTED_VALUE"""),"")</f>
        <v/>
      </c>
    </row>
    <row r="2873">
      <c r="A2873" s="17"/>
      <c r="B2873" s="23"/>
      <c r="C2873" s="17">
        <f>IFERROR(__xludf.DUMMYFUNCTION("""COMPUTED_VALUE"""),43520.22931978)</f>
        <v>43520.22932</v>
      </c>
      <c r="D2873" s="23">
        <f>IFERROR(__xludf.DUMMYFUNCTION("""COMPUTED_VALUE"""),1.093)</f>
        <v>1.093</v>
      </c>
      <c r="E2873" s="24">
        <f>IFERROR(__xludf.DUMMYFUNCTION("""COMPUTED_VALUE"""),69.0)</f>
        <v>69</v>
      </c>
      <c r="F2873" s="27" t="str">
        <f>IFERROR(__xludf.DUMMYFUNCTION("""COMPUTED_VALUE"""),"BLACK")</f>
        <v>BLACK</v>
      </c>
      <c r="G2873" s="28" t="str">
        <f>IFERROR(__xludf.DUMMYFUNCTION("""COMPUTED_VALUE"""),"First Times a Charm Cider")</f>
        <v>First Times a Charm Cider</v>
      </c>
      <c r="H2873" s="27" t="str">
        <f>IFERROR(__xludf.DUMMYFUNCTION("""COMPUTED_VALUE"""),"")</f>
        <v/>
      </c>
    </row>
    <row r="2874">
      <c r="A2874" s="17"/>
      <c r="B2874" s="23"/>
      <c r="C2874" s="17">
        <f>IFERROR(__xludf.DUMMYFUNCTION("""COMPUTED_VALUE"""),43520.2188998263)</f>
        <v>43520.2189</v>
      </c>
      <c r="D2874" s="23">
        <f>IFERROR(__xludf.DUMMYFUNCTION("""COMPUTED_VALUE"""),1.093)</f>
        <v>1.093</v>
      </c>
      <c r="E2874" s="24">
        <f>IFERROR(__xludf.DUMMYFUNCTION("""COMPUTED_VALUE"""),69.0)</f>
        <v>69</v>
      </c>
      <c r="F2874" s="27" t="str">
        <f>IFERROR(__xludf.DUMMYFUNCTION("""COMPUTED_VALUE"""),"BLACK")</f>
        <v>BLACK</v>
      </c>
      <c r="G2874" s="28" t="str">
        <f>IFERROR(__xludf.DUMMYFUNCTION("""COMPUTED_VALUE"""),"First Times a Charm Cider")</f>
        <v>First Times a Charm Cider</v>
      </c>
      <c r="H2874" s="27" t="str">
        <f>IFERROR(__xludf.DUMMYFUNCTION("""COMPUTED_VALUE"""),"")</f>
        <v/>
      </c>
    </row>
    <row r="2875">
      <c r="A2875" s="17"/>
      <c r="B2875" s="23"/>
      <c r="C2875" s="17">
        <f>IFERROR(__xludf.DUMMYFUNCTION("""COMPUTED_VALUE"""),43520.2084773263)</f>
        <v>43520.20848</v>
      </c>
      <c r="D2875" s="23">
        <f>IFERROR(__xludf.DUMMYFUNCTION("""COMPUTED_VALUE"""),1.093)</f>
        <v>1.093</v>
      </c>
      <c r="E2875" s="24">
        <f>IFERROR(__xludf.DUMMYFUNCTION("""COMPUTED_VALUE"""),69.0)</f>
        <v>69</v>
      </c>
      <c r="F2875" s="27" t="str">
        <f>IFERROR(__xludf.DUMMYFUNCTION("""COMPUTED_VALUE"""),"BLACK")</f>
        <v>BLACK</v>
      </c>
      <c r="G2875" s="28" t="str">
        <f>IFERROR(__xludf.DUMMYFUNCTION("""COMPUTED_VALUE"""),"First Times a Charm Cider")</f>
        <v>First Times a Charm Cider</v>
      </c>
      <c r="H2875" s="27" t="str">
        <f>IFERROR(__xludf.DUMMYFUNCTION("""COMPUTED_VALUE"""),"")</f>
        <v/>
      </c>
    </row>
    <row r="2876">
      <c r="A2876" s="17"/>
      <c r="B2876" s="23"/>
      <c r="C2876" s="17">
        <f>IFERROR(__xludf.DUMMYFUNCTION("""COMPUTED_VALUE"""),43520.1980555439)</f>
        <v>43520.19806</v>
      </c>
      <c r="D2876" s="23">
        <f>IFERROR(__xludf.DUMMYFUNCTION("""COMPUTED_VALUE"""),1.093)</f>
        <v>1.093</v>
      </c>
      <c r="E2876" s="24">
        <f>IFERROR(__xludf.DUMMYFUNCTION("""COMPUTED_VALUE"""),69.0)</f>
        <v>69</v>
      </c>
      <c r="F2876" s="27" t="str">
        <f>IFERROR(__xludf.DUMMYFUNCTION("""COMPUTED_VALUE"""),"BLACK")</f>
        <v>BLACK</v>
      </c>
      <c r="G2876" s="28" t="str">
        <f>IFERROR(__xludf.DUMMYFUNCTION("""COMPUTED_VALUE"""),"First Times a Charm Cider")</f>
        <v>First Times a Charm Cider</v>
      </c>
      <c r="H2876" s="27" t="str">
        <f>IFERROR(__xludf.DUMMYFUNCTION("""COMPUTED_VALUE"""),"")</f>
        <v/>
      </c>
    </row>
    <row r="2877">
      <c r="A2877" s="17"/>
      <c r="B2877" s="23"/>
      <c r="C2877" s="17">
        <f>IFERROR(__xludf.DUMMYFUNCTION("""COMPUTED_VALUE"""),43520.177212824)</f>
        <v>43520.17721</v>
      </c>
      <c r="D2877" s="23">
        <f>IFERROR(__xludf.DUMMYFUNCTION("""COMPUTED_VALUE"""),1.093)</f>
        <v>1.093</v>
      </c>
      <c r="E2877" s="24">
        <f>IFERROR(__xludf.DUMMYFUNCTION("""COMPUTED_VALUE"""),69.0)</f>
        <v>69</v>
      </c>
      <c r="F2877" s="27" t="str">
        <f>IFERROR(__xludf.DUMMYFUNCTION("""COMPUTED_VALUE"""),"BLACK")</f>
        <v>BLACK</v>
      </c>
      <c r="G2877" s="28" t="str">
        <f>IFERROR(__xludf.DUMMYFUNCTION("""COMPUTED_VALUE"""),"First Times a Charm Cider")</f>
        <v>First Times a Charm Cider</v>
      </c>
      <c r="H2877" s="27" t="str">
        <f>IFERROR(__xludf.DUMMYFUNCTION("""COMPUTED_VALUE"""),"")</f>
        <v/>
      </c>
    </row>
    <row r="2878">
      <c r="A2878" s="17"/>
      <c r="B2878" s="23"/>
      <c r="C2878" s="17">
        <f>IFERROR(__xludf.DUMMYFUNCTION("""COMPUTED_VALUE"""),43520.1667910763)</f>
        <v>43520.16679</v>
      </c>
      <c r="D2878" s="23">
        <f>IFERROR(__xludf.DUMMYFUNCTION("""COMPUTED_VALUE"""),1.093)</f>
        <v>1.093</v>
      </c>
      <c r="E2878" s="24">
        <f>IFERROR(__xludf.DUMMYFUNCTION("""COMPUTED_VALUE"""),69.0)</f>
        <v>69</v>
      </c>
      <c r="F2878" s="27" t="str">
        <f>IFERROR(__xludf.DUMMYFUNCTION("""COMPUTED_VALUE"""),"BLACK")</f>
        <v>BLACK</v>
      </c>
      <c r="G2878" s="28" t="str">
        <f>IFERROR(__xludf.DUMMYFUNCTION("""COMPUTED_VALUE"""),"First Times a Charm Cider")</f>
        <v>First Times a Charm Cider</v>
      </c>
      <c r="H2878" s="27" t="str">
        <f>IFERROR(__xludf.DUMMYFUNCTION("""COMPUTED_VALUE"""),"")</f>
        <v/>
      </c>
    </row>
    <row r="2879">
      <c r="A2879" s="17"/>
      <c r="B2879" s="23"/>
      <c r="C2879" s="17">
        <f>IFERROR(__xludf.DUMMYFUNCTION("""COMPUTED_VALUE"""),43520.156356956)</f>
        <v>43520.15636</v>
      </c>
      <c r="D2879" s="23">
        <f>IFERROR(__xludf.DUMMYFUNCTION("""COMPUTED_VALUE"""),1.093)</f>
        <v>1.093</v>
      </c>
      <c r="E2879" s="24">
        <f>IFERROR(__xludf.DUMMYFUNCTION("""COMPUTED_VALUE"""),69.0)</f>
        <v>69</v>
      </c>
      <c r="F2879" s="27" t="str">
        <f>IFERROR(__xludf.DUMMYFUNCTION("""COMPUTED_VALUE"""),"BLACK")</f>
        <v>BLACK</v>
      </c>
      <c r="G2879" s="28" t="str">
        <f>IFERROR(__xludf.DUMMYFUNCTION("""COMPUTED_VALUE"""),"First Times a Charm Cider")</f>
        <v>First Times a Charm Cider</v>
      </c>
      <c r="H2879" s="27" t="str">
        <f>IFERROR(__xludf.DUMMYFUNCTION("""COMPUTED_VALUE"""),"")</f>
        <v/>
      </c>
    </row>
    <row r="2880">
      <c r="A2880" s="17"/>
      <c r="B2880" s="23"/>
      <c r="C2880" s="17">
        <f>IFERROR(__xludf.DUMMYFUNCTION("""COMPUTED_VALUE"""),43520.1459370486)</f>
        <v>43520.14594</v>
      </c>
      <c r="D2880" s="23">
        <f>IFERROR(__xludf.DUMMYFUNCTION("""COMPUTED_VALUE"""),1.093)</f>
        <v>1.093</v>
      </c>
      <c r="E2880" s="24">
        <f>IFERROR(__xludf.DUMMYFUNCTION("""COMPUTED_VALUE"""),69.0)</f>
        <v>69</v>
      </c>
      <c r="F2880" s="27" t="str">
        <f>IFERROR(__xludf.DUMMYFUNCTION("""COMPUTED_VALUE"""),"BLACK")</f>
        <v>BLACK</v>
      </c>
      <c r="G2880" s="28" t="str">
        <f>IFERROR(__xludf.DUMMYFUNCTION("""COMPUTED_VALUE"""),"First Times a Charm Cider")</f>
        <v>First Times a Charm Cider</v>
      </c>
      <c r="H2880" s="27" t="str">
        <f>IFERROR(__xludf.DUMMYFUNCTION("""COMPUTED_VALUE"""),"")</f>
        <v/>
      </c>
    </row>
    <row r="2881">
      <c r="A2881" s="17"/>
      <c r="B2881" s="23"/>
      <c r="C2881" s="17">
        <f>IFERROR(__xludf.DUMMYFUNCTION("""COMPUTED_VALUE"""),43520.1355032523)</f>
        <v>43520.1355</v>
      </c>
      <c r="D2881" s="23">
        <f>IFERROR(__xludf.DUMMYFUNCTION("""COMPUTED_VALUE"""),1.093)</f>
        <v>1.093</v>
      </c>
      <c r="E2881" s="24">
        <f>IFERROR(__xludf.DUMMYFUNCTION("""COMPUTED_VALUE"""),69.0)</f>
        <v>69</v>
      </c>
      <c r="F2881" s="27" t="str">
        <f>IFERROR(__xludf.DUMMYFUNCTION("""COMPUTED_VALUE"""),"BLACK")</f>
        <v>BLACK</v>
      </c>
      <c r="G2881" s="28" t="str">
        <f>IFERROR(__xludf.DUMMYFUNCTION("""COMPUTED_VALUE"""),"First Times a Charm Cider")</f>
        <v>First Times a Charm Cider</v>
      </c>
      <c r="H2881" s="27" t="str">
        <f>IFERROR(__xludf.DUMMYFUNCTION("""COMPUTED_VALUE"""),"")</f>
        <v/>
      </c>
    </row>
    <row r="2882">
      <c r="A2882" s="17"/>
      <c r="B2882" s="23"/>
      <c r="C2882" s="17">
        <f>IFERROR(__xludf.DUMMYFUNCTION("""COMPUTED_VALUE"""),43520.1250696064)</f>
        <v>43520.12507</v>
      </c>
      <c r="D2882" s="23">
        <f>IFERROR(__xludf.DUMMYFUNCTION("""COMPUTED_VALUE"""),1.093)</f>
        <v>1.093</v>
      </c>
      <c r="E2882" s="24">
        <f>IFERROR(__xludf.DUMMYFUNCTION("""COMPUTED_VALUE"""),69.0)</f>
        <v>69</v>
      </c>
      <c r="F2882" s="27" t="str">
        <f>IFERROR(__xludf.DUMMYFUNCTION("""COMPUTED_VALUE"""),"BLACK")</f>
        <v>BLACK</v>
      </c>
      <c r="G2882" s="28" t="str">
        <f>IFERROR(__xludf.DUMMYFUNCTION("""COMPUTED_VALUE"""),"First Times a Charm Cider")</f>
        <v>First Times a Charm Cider</v>
      </c>
      <c r="H2882" s="27" t="str">
        <f>IFERROR(__xludf.DUMMYFUNCTION("""COMPUTED_VALUE"""),"")</f>
        <v/>
      </c>
    </row>
    <row r="2883">
      <c r="A2883" s="17"/>
      <c r="B2883" s="23"/>
      <c r="C2883" s="17">
        <f>IFERROR(__xludf.DUMMYFUNCTION("""COMPUTED_VALUE"""),43520.1042135879)</f>
        <v>43520.10421</v>
      </c>
      <c r="D2883" s="23">
        <f>IFERROR(__xludf.DUMMYFUNCTION("""COMPUTED_VALUE"""),1.093)</f>
        <v>1.093</v>
      </c>
      <c r="E2883" s="24">
        <f>IFERROR(__xludf.DUMMYFUNCTION("""COMPUTED_VALUE"""),69.0)</f>
        <v>69</v>
      </c>
      <c r="F2883" s="27" t="str">
        <f>IFERROR(__xludf.DUMMYFUNCTION("""COMPUTED_VALUE"""),"BLACK")</f>
        <v>BLACK</v>
      </c>
      <c r="G2883" s="28" t="str">
        <f>IFERROR(__xludf.DUMMYFUNCTION("""COMPUTED_VALUE"""),"First Times a Charm Cider")</f>
        <v>First Times a Charm Cider</v>
      </c>
      <c r="H2883" s="27" t="str">
        <f>IFERROR(__xludf.DUMMYFUNCTION("""COMPUTED_VALUE"""),"")</f>
        <v/>
      </c>
    </row>
    <row r="2884">
      <c r="A2884" s="17"/>
      <c r="B2884" s="23"/>
      <c r="C2884" s="17">
        <f>IFERROR(__xludf.DUMMYFUNCTION("""COMPUTED_VALUE"""),43520.0833603472)</f>
        <v>43520.08336</v>
      </c>
      <c r="D2884" s="23">
        <f>IFERROR(__xludf.DUMMYFUNCTION("""COMPUTED_VALUE"""),1.093)</f>
        <v>1.093</v>
      </c>
      <c r="E2884" s="24">
        <f>IFERROR(__xludf.DUMMYFUNCTION("""COMPUTED_VALUE"""),69.0)</f>
        <v>69</v>
      </c>
      <c r="F2884" s="27" t="str">
        <f>IFERROR(__xludf.DUMMYFUNCTION("""COMPUTED_VALUE"""),"BLACK")</f>
        <v>BLACK</v>
      </c>
      <c r="G2884" s="28" t="str">
        <f>IFERROR(__xludf.DUMMYFUNCTION("""COMPUTED_VALUE"""),"First Times a Charm Cider")</f>
        <v>First Times a Charm Cider</v>
      </c>
      <c r="H2884" s="27" t="str">
        <f>IFERROR(__xludf.DUMMYFUNCTION("""COMPUTED_VALUE"""),"")</f>
        <v/>
      </c>
    </row>
    <row r="2885">
      <c r="A2885" s="17"/>
      <c r="B2885" s="23"/>
      <c r="C2885" s="17">
        <f>IFERROR(__xludf.DUMMYFUNCTION("""COMPUTED_VALUE"""),43520.0729287615)</f>
        <v>43520.07293</v>
      </c>
      <c r="D2885" s="23">
        <f>IFERROR(__xludf.DUMMYFUNCTION("""COMPUTED_VALUE"""),1.093)</f>
        <v>1.093</v>
      </c>
      <c r="E2885" s="24">
        <f>IFERROR(__xludf.DUMMYFUNCTION("""COMPUTED_VALUE"""),69.0)</f>
        <v>69</v>
      </c>
      <c r="F2885" s="27" t="str">
        <f>IFERROR(__xludf.DUMMYFUNCTION("""COMPUTED_VALUE"""),"BLACK")</f>
        <v>BLACK</v>
      </c>
      <c r="G2885" s="28" t="str">
        <f>IFERROR(__xludf.DUMMYFUNCTION("""COMPUTED_VALUE"""),"First Times a Charm Cider")</f>
        <v>First Times a Charm Cider</v>
      </c>
      <c r="H2885" s="27" t="str">
        <f>IFERROR(__xludf.DUMMYFUNCTION("""COMPUTED_VALUE"""),"")</f>
        <v/>
      </c>
    </row>
    <row r="2886">
      <c r="A2886" s="17"/>
      <c r="B2886" s="23"/>
      <c r="C2886" s="17">
        <f>IFERROR(__xludf.DUMMYFUNCTION("""COMPUTED_VALUE"""),43520.0625069791)</f>
        <v>43520.06251</v>
      </c>
      <c r="D2886" s="23">
        <f>IFERROR(__xludf.DUMMYFUNCTION("""COMPUTED_VALUE"""),1.093)</f>
        <v>1.093</v>
      </c>
      <c r="E2886" s="24">
        <f>IFERROR(__xludf.DUMMYFUNCTION("""COMPUTED_VALUE"""),69.0)</f>
        <v>69</v>
      </c>
      <c r="F2886" s="27" t="str">
        <f>IFERROR(__xludf.DUMMYFUNCTION("""COMPUTED_VALUE"""),"BLACK")</f>
        <v>BLACK</v>
      </c>
      <c r="G2886" s="28" t="str">
        <f>IFERROR(__xludf.DUMMYFUNCTION("""COMPUTED_VALUE"""),"First Times a Charm Cider")</f>
        <v>First Times a Charm Cider</v>
      </c>
      <c r="H2886" s="27" t="str">
        <f>IFERROR(__xludf.DUMMYFUNCTION("""COMPUTED_VALUE"""),"")</f>
        <v/>
      </c>
    </row>
    <row r="2887">
      <c r="A2887" s="17"/>
      <c r="B2887" s="23"/>
      <c r="C2887" s="17">
        <f>IFERROR(__xludf.DUMMYFUNCTION("""COMPUTED_VALUE"""),43520.0520845486)</f>
        <v>43520.05208</v>
      </c>
      <c r="D2887" s="23">
        <f>IFERROR(__xludf.DUMMYFUNCTION("""COMPUTED_VALUE"""),1.093)</f>
        <v>1.093</v>
      </c>
      <c r="E2887" s="24">
        <f>IFERROR(__xludf.DUMMYFUNCTION("""COMPUTED_VALUE"""),69.0)</f>
        <v>69</v>
      </c>
      <c r="F2887" s="27" t="str">
        <f>IFERROR(__xludf.DUMMYFUNCTION("""COMPUTED_VALUE"""),"BLACK")</f>
        <v>BLACK</v>
      </c>
      <c r="G2887" s="28" t="str">
        <f>IFERROR(__xludf.DUMMYFUNCTION("""COMPUTED_VALUE"""),"First Times a Charm Cider")</f>
        <v>First Times a Charm Cider</v>
      </c>
      <c r="H2887" s="27" t="str">
        <f>IFERROR(__xludf.DUMMYFUNCTION("""COMPUTED_VALUE"""),"")</f>
        <v/>
      </c>
    </row>
    <row r="2888">
      <c r="A2888" s="17"/>
      <c r="B2888" s="23"/>
      <c r="C2888" s="17">
        <f>IFERROR(__xludf.DUMMYFUNCTION("""COMPUTED_VALUE"""),43520.0416638657)</f>
        <v>43520.04166</v>
      </c>
      <c r="D2888" s="23">
        <f>IFERROR(__xludf.DUMMYFUNCTION("""COMPUTED_VALUE"""),1.093)</f>
        <v>1.093</v>
      </c>
      <c r="E2888" s="24">
        <f>IFERROR(__xludf.DUMMYFUNCTION("""COMPUTED_VALUE"""),69.0)</f>
        <v>69</v>
      </c>
      <c r="F2888" s="27" t="str">
        <f>IFERROR(__xludf.DUMMYFUNCTION("""COMPUTED_VALUE"""),"BLACK")</f>
        <v>BLACK</v>
      </c>
      <c r="G2888" s="28" t="str">
        <f>IFERROR(__xludf.DUMMYFUNCTION("""COMPUTED_VALUE"""),"First Times a Charm Cider")</f>
        <v>First Times a Charm Cider</v>
      </c>
      <c r="H2888" s="27" t="str">
        <f>IFERROR(__xludf.DUMMYFUNCTION("""COMPUTED_VALUE"""),"")</f>
        <v/>
      </c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43519.70856248843</v>
      </c>
      <c r="B2" s="5">
        <v>43520.0416638657</v>
      </c>
      <c r="C2" s="6">
        <v>1.093</v>
      </c>
      <c r="D2" s="6">
        <v>69.0</v>
      </c>
      <c r="E2" s="7" t="s">
        <v>7</v>
      </c>
      <c r="F2" s="7" t="s">
        <v>8</v>
      </c>
      <c r="G2" s="8"/>
    </row>
    <row r="3">
      <c r="A3" s="4">
        <v>43519.71888059028</v>
      </c>
      <c r="B3" s="5">
        <v>43520.0520845486</v>
      </c>
      <c r="C3" s="6">
        <v>1.093</v>
      </c>
      <c r="D3" s="6">
        <v>69.0</v>
      </c>
      <c r="E3" s="7" t="s">
        <v>7</v>
      </c>
      <c r="F3" s="7" t="s">
        <v>8</v>
      </c>
      <c r="G3" s="8"/>
    </row>
    <row r="4">
      <c r="A4" s="4">
        <v>43519.729290601856</v>
      </c>
      <c r="B4" s="5">
        <v>43520.0625069791</v>
      </c>
      <c r="C4" s="6">
        <v>1.093</v>
      </c>
      <c r="D4" s="6">
        <v>69.0</v>
      </c>
      <c r="E4" s="7" t="s">
        <v>7</v>
      </c>
      <c r="F4" s="7" t="s">
        <v>8</v>
      </c>
      <c r="G4" s="8"/>
    </row>
    <row r="5">
      <c r="A5" s="4">
        <v>43519.73972626157</v>
      </c>
      <c r="B5" s="5">
        <v>43520.0729287615</v>
      </c>
      <c r="C5" s="6">
        <v>1.093</v>
      </c>
      <c r="D5" s="6">
        <v>69.0</v>
      </c>
      <c r="E5" s="7" t="s">
        <v>7</v>
      </c>
      <c r="F5" s="7" t="s">
        <v>8</v>
      </c>
      <c r="G5" s="8"/>
    </row>
    <row r="6">
      <c r="A6" s="4">
        <v>43519.750235011576</v>
      </c>
      <c r="B6" s="5">
        <v>43520.0833603472</v>
      </c>
      <c r="C6" s="6">
        <v>1.093</v>
      </c>
      <c r="D6" s="6">
        <v>69.0</v>
      </c>
      <c r="E6" s="7" t="s">
        <v>7</v>
      </c>
      <c r="F6" s="7" t="s">
        <v>8</v>
      </c>
      <c r="G6" s="8"/>
    </row>
    <row r="7">
      <c r="A7" s="4">
        <v>43519.77099871528</v>
      </c>
      <c r="B7" s="5">
        <v>43520.1042135879</v>
      </c>
      <c r="C7" s="6">
        <v>1.093</v>
      </c>
      <c r="D7" s="6">
        <v>69.0</v>
      </c>
      <c r="E7" s="7" t="s">
        <v>7</v>
      </c>
      <c r="F7" s="7" t="s">
        <v>8</v>
      </c>
      <c r="G7" s="8"/>
    </row>
    <row r="8">
      <c r="A8" s="4">
        <v>43519.79194545139</v>
      </c>
      <c r="B8" s="5">
        <v>43520.1250696064</v>
      </c>
      <c r="C8" s="6">
        <v>1.093</v>
      </c>
      <c r="D8" s="6">
        <v>69.0</v>
      </c>
      <c r="E8" s="7" t="s">
        <v>7</v>
      </c>
      <c r="F8" s="7" t="s">
        <v>8</v>
      </c>
      <c r="G8" s="8"/>
    </row>
    <row r="9">
      <c r="A9" s="4">
        <v>43519.80284429398</v>
      </c>
      <c r="B9" s="5">
        <v>43520.1355032523</v>
      </c>
      <c r="C9" s="6">
        <v>1.093</v>
      </c>
      <c r="D9" s="6">
        <v>69.0</v>
      </c>
      <c r="E9" s="7" t="s">
        <v>7</v>
      </c>
      <c r="F9" s="7" t="s">
        <v>8</v>
      </c>
      <c r="G9" s="8"/>
    </row>
    <row r="10">
      <c r="A10" s="4">
        <v>43519.81300542824</v>
      </c>
      <c r="B10" s="5">
        <v>43520.1459370486</v>
      </c>
      <c r="C10" s="6">
        <v>1.093</v>
      </c>
      <c r="D10" s="6">
        <v>69.0</v>
      </c>
      <c r="E10" s="7" t="s">
        <v>7</v>
      </c>
      <c r="F10" s="7" t="s">
        <v>8</v>
      </c>
      <c r="G10" s="8"/>
    </row>
    <row r="11">
      <c r="A11" s="4">
        <v>43519.82332325232</v>
      </c>
      <c r="B11" s="5">
        <v>43520.156356956</v>
      </c>
      <c r="C11" s="6">
        <v>1.093</v>
      </c>
      <c r="D11" s="6">
        <v>69.0</v>
      </c>
      <c r="E11" s="7" t="s">
        <v>7</v>
      </c>
      <c r="F11" s="7" t="s">
        <v>8</v>
      </c>
      <c r="G11" s="8"/>
    </row>
    <row r="12">
      <c r="A12" s="4">
        <v>43519.83358127315</v>
      </c>
      <c r="B12" s="5">
        <v>43520.1667910763</v>
      </c>
      <c r="C12" s="6">
        <v>1.093</v>
      </c>
      <c r="D12" s="6">
        <v>69.0</v>
      </c>
      <c r="E12" s="7" t="s">
        <v>7</v>
      </c>
      <c r="F12" s="7" t="s">
        <v>8</v>
      </c>
      <c r="G12" s="8"/>
    </row>
    <row r="13">
      <c r="A13" s="4">
        <v>43519.84427299768</v>
      </c>
      <c r="B13" s="5">
        <v>43520.177212824</v>
      </c>
      <c r="C13" s="6">
        <v>1.093</v>
      </c>
      <c r="D13" s="6">
        <v>69.0</v>
      </c>
      <c r="E13" s="7" t="s">
        <v>7</v>
      </c>
      <c r="F13" s="7" t="s">
        <v>8</v>
      </c>
      <c r="G13" s="8"/>
    </row>
    <row r="14">
      <c r="A14" s="4">
        <v>43519.8652153588</v>
      </c>
      <c r="B14" s="5">
        <v>43520.1980555439</v>
      </c>
      <c r="C14" s="6">
        <v>1.093</v>
      </c>
      <c r="D14" s="6">
        <v>69.0</v>
      </c>
      <c r="E14" s="7" t="s">
        <v>7</v>
      </c>
      <c r="F14" s="7" t="s">
        <v>8</v>
      </c>
      <c r="G14" s="8"/>
    </row>
    <row r="15">
      <c r="A15" s="4">
        <v>43519.87536416667</v>
      </c>
      <c r="B15" s="5">
        <v>43520.2084773263</v>
      </c>
      <c r="C15" s="6">
        <v>1.093</v>
      </c>
      <c r="D15" s="6">
        <v>69.0</v>
      </c>
      <c r="E15" s="7" t="s">
        <v>7</v>
      </c>
      <c r="F15" s="7" t="s">
        <v>8</v>
      </c>
      <c r="G15" s="8"/>
    </row>
    <row r="16">
      <c r="A16" s="4">
        <v>43519.8856733912</v>
      </c>
      <c r="B16" s="5">
        <v>43520.2188998263</v>
      </c>
      <c r="C16" s="6">
        <v>1.093</v>
      </c>
      <c r="D16" s="6">
        <v>69.0</v>
      </c>
      <c r="E16" s="7" t="s">
        <v>7</v>
      </c>
      <c r="F16" s="7" t="s">
        <v>8</v>
      </c>
      <c r="G16" s="8"/>
    </row>
    <row r="17">
      <c r="A17" s="4">
        <v>43519.89620074074</v>
      </c>
      <c r="B17" s="5">
        <v>43520.22931978</v>
      </c>
      <c r="C17" s="6">
        <v>1.093</v>
      </c>
      <c r="D17" s="6">
        <v>69.0</v>
      </c>
      <c r="E17" s="7" t="s">
        <v>7</v>
      </c>
      <c r="F17" s="7" t="s">
        <v>8</v>
      </c>
      <c r="G17" s="8"/>
    </row>
    <row r="18">
      <c r="A18" s="4">
        <v>43519.90671256944</v>
      </c>
      <c r="B18" s="5">
        <v>43520.2397415509</v>
      </c>
      <c r="C18" s="6">
        <v>1.093</v>
      </c>
      <c r="D18" s="6">
        <v>69.0</v>
      </c>
      <c r="E18" s="7" t="s">
        <v>7</v>
      </c>
      <c r="F18" s="7" t="s">
        <v>8</v>
      </c>
      <c r="G18" s="8"/>
    </row>
    <row r="19">
      <c r="A19" s="4">
        <v>43519.9172271875</v>
      </c>
      <c r="B19" s="5">
        <v>43520.2501604861</v>
      </c>
      <c r="C19" s="6">
        <v>1.093</v>
      </c>
      <c r="D19" s="6">
        <v>69.0</v>
      </c>
      <c r="E19" s="7" t="s">
        <v>7</v>
      </c>
      <c r="F19" s="7" t="s">
        <v>8</v>
      </c>
      <c r="G19" s="8"/>
    </row>
    <row r="20">
      <c r="A20" s="4">
        <v>43519.927928206016</v>
      </c>
      <c r="B20" s="5">
        <v>43520.2605797453</v>
      </c>
      <c r="C20" s="6">
        <v>1.093</v>
      </c>
      <c r="D20" s="6">
        <v>69.0</v>
      </c>
      <c r="E20" s="7" t="s">
        <v>7</v>
      </c>
      <c r="F20" s="7" t="s">
        <v>8</v>
      </c>
      <c r="G20" s="8"/>
    </row>
    <row r="21">
      <c r="A21" s="4">
        <v>43519.938166736116</v>
      </c>
      <c r="B21" s="5">
        <v>43520.2710119097</v>
      </c>
      <c r="C21" s="6">
        <v>1.093</v>
      </c>
      <c r="D21" s="6">
        <v>69.0</v>
      </c>
      <c r="E21" s="7" t="s">
        <v>7</v>
      </c>
      <c r="F21" s="7" t="s">
        <v>8</v>
      </c>
      <c r="G21" s="8"/>
    </row>
    <row r="22">
      <c r="A22" s="4">
        <v>43519.980007465274</v>
      </c>
      <c r="B22" s="5">
        <v>43520.3127565162</v>
      </c>
      <c r="C22" s="6">
        <v>1.093</v>
      </c>
      <c r="D22" s="6">
        <v>68.0</v>
      </c>
      <c r="E22" s="7" t="s">
        <v>7</v>
      </c>
      <c r="F22" s="7" t="s">
        <v>8</v>
      </c>
      <c r="G22" s="8"/>
    </row>
    <row r="23">
      <c r="A23" s="4">
        <v>43519.99034709491</v>
      </c>
      <c r="B23" s="5">
        <v>43520.3231906713</v>
      </c>
      <c r="C23" s="6">
        <v>1.093</v>
      </c>
      <c r="D23" s="6">
        <v>68.0</v>
      </c>
      <c r="E23" s="7" t="s">
        <v>7</v>
      </c>
      <c r="F23" s="7" t="s">
        <v>8</v>
      </c>
      <c r="G23" s="8"/>
    </row>
    <row r="24">
      <c r="A24" s="4">
        <v>43520.000679178236</v>
      </c>
      <c r="B24" s="5">
        <v>43520.333611574</v>
      </c>
      <c r="C24" s="6">
        <v>1.093</v>
      </c>
      <c r="D24" s="6">
        <v>68.0</v>
      </c>
      <c r="E24" s="7" t="s">
        <v>7</v>
      </c>
      <c r="F24" s="7" t="s">
        <v>8</v>
      </c>
      <c r="G24" s="8"/>
    </row>
    <row r="25">
      <c r="A25" s="4">
        <v>43520.0212374074</v>
      </c>
      <c r="B25" s="5">
        <v>43520.354453912</v>
      </c>
      <c r="C25" s="6">
        <v>1.093</v>
      </c>
      <c r="D25" s="6">
        <v>68.0</v>
      </c>
      <c r="E25" s="7" t="s">
        <v>7</v>
      </c>
      <c r="F25" s="7" t="s">
        <v>8</v>
      </c>
      <c r="G25" s="8"/>
    </row>
    <row r="26">
      <c r="A26" s="4">
        <v>43520.03203400463</v>
      </c>
      <c r="B26" s="5">
        <v>43520.3648762963</v>
      </c>
      <c r="C26" s="6">
        <v>1.093</v>
      </c>
      <c r="D26" s="6">
        <v>68.0</v>
      </c>
      <c r="E26" s="7" t="s">
        <v>7</v>
      </c>
      <c r="F26" s="7" t="s">
        <v>8</v>
      </c>
      <c r="G26" s="8"/>
    </row>
    <row r="27">
      <c r="A27" s="4">
        <v>43520.0425462037</v>
      </c>
      <c r="B27" s="5">
        <v>43520.3752982175</v>
      </c>
      <c r="C27" s="6">
        <v>1.093</v>
      </c>
      <c r="D27" s="6">
        <v>68.0</v>
      </c>
      <c r="E27" s="7" t="s">
        <v>7</v>
      </c>
      <c r="F27" s="7" t="s">
        <v>8</v>
      </c>
      <c r="G27" s="8"/>
    </row>
    <row r="28">
      <c r="A28" s="4">
        <v>43520.06348599537</v>
      </c>
      <c r="B28" s="5">
        <v>43520.3961388194</v>
      </c>
      <c r="C28" s="6">
        <v>1.093</v>
      </c>
      <c r="D28" s="6">
        <v>67.0</v>
      </c>
      <c r="E28" s="7" t="s">
        <v>7</v>
      </c>
      <c r="F28" s="7" t="s">
        <v>8</v>
      </c>
      <c r="G28" s="8"/>
    </row>
    <row r="29">
      <c r="A29" s="4">
        <v>43520.07380766203</v>
      </c>
      <c r="B29" s="5">
        <v>43520.4065581018</v>
      </c>
      <c r="C29" s="6">
        <v>1.093</v>
      </c>
      <c r="D29" s="6">
        <v>67.0</v>
      </c>
      <c r="E29" s="7" t="s">
        <v>7</v>
      </c>
      <c r="F29" s="7" t="s">
        <v>8</v>
      </c>
      <c r="G29" s="8"/>
    </row>
    <row r="30">
      <c r="A30" s="4">
        <v>43520.08403842592</v>
      </c>
      <c r="B30" s="5">
        <v>43520.4169792013</v>
      </c>
      <c r="C30" s="6">
        <v>1.093</v>
      </c>
      <c r="D30" s="6">
        <v>67.0</v>
      </c>
      <c r="E30" s="7" t="s">
        <v>7</v>
      </c>
      <c r="F30" s="7" t="s">
        <v>8</v>
      </c>
      <c r="G30" s="8"/>
    </row>
    <row r="31">
      <c r="A31" s="4">
        <v>43520.104598425925</v>
      </c>
      <c r="B31" s="5">
        <v>43520.4378227199</v>
      </c>
      <c r="C31" s="6">
        <v>1.093</v>
      </c>
      <c r="D31" s="6">
        <v>67.0</v>
      </c>
      <c r="E31" s="7" t="s">
        <v>7</v>
      </c>
      <c r="F31" s="7" t="s">
        <v>8</v>
      </c>
      <c r="G31" s="8"/>
    </row>
    <row r="32">
      <c r="A32" s="4">
        <v>43520.126017476854</v>
      </c>
      <c r="B32" s="5">
        <v>43520.4586755439</v>
      </c>
      <c r="C32" s="6">
        <v>1.093</v>
      </c>
      <c r="D32" s="6">
        <v>67.0</v>
      </c>
      <c r="E32" s="7" t="s">
        <v>7</v>
      </c>
      <c r="F32" s="7" t="s">
        <v>8</v>
      </c>
      <c r="G32" s="8"/>
    </row>
    <row r="33">
      <c r="A33" s="4">
        <v>43520.14658252315</v>
      </c>
      <c r="B33" s="5">
        <v>43520.4795158912</v>
      </c>
      <c r="C33" s="6">
        <v>1.093</v>
      </c>
      <c r="D33" s="6">
        <v>67.0</v>
      </c>
      <c r="E33" s="7" t="s">
        <v>7</v>
      </c>
      <c r="F33" s="7" t="s">
        <v>8</v>
      </c>
      <c r="G33" s="8"/>
    </row>
    <row r="34">
      <c r="A34" s="4">
        <v>43520.15681622685</v>
      </c>
      <c r="B34" s="5">
        <v>43520.4899367824</v>
      </c>
      <c r="C34" s="6">
        <v>1.093</v>
      </c>
      <c r="D34" s="6">
        <v>67.0</v>
      </c>
      <c r="E34" s="7" t="s">
        <v>7</v>
      </c>
      <c r="F34" s="7" t="s">
        <v>8</v>
      </c>
      <c r="G34" s="8"/>
    </row>
    <row r="35">
      <c r="A35" s="4">
        <v>43520.167510451385</v>
      </c>
      <c r="B35" s="5">
        <v>43520.500357118</v>
      </c>
      <c r="C35" s="6">
        <v>1.093</v>
      </c>
      <c r="D35" s="6">
        <v>67.0</v>
      </c>
      <c r="E35" s="7" t="s">
        <v>7</v>
      </c>
      <c r="F35" s="7" t="s">
        <v>8</v>
      </c>
      <c r="G35" s="8"/>
    </row>
    <row r="36">
      <c r="A36" s="4">
        <v>43520.17765733796</v>
      </c>
      <c r="B36" s="5">
        <v>43520.5107767013</v>
      </c>
      <c r="C36" s="6">
        <v>1.093</v>
      </c>
      <c r="D36" s="6">
        <v>67.0</v>
      </c>
      <c r="E36" s="7" t="s">
        <v>7</v>
      </c>
      <c r="F36" s="7" t="s">
        <v>8</v>
      </c>
      <c r="G36" s="8"/>
    </row>
    <row r="37">
      <c r="A37" s="4">
        <v>43520.20942550926</v>
      </c>
      <c r="B37" s="5">
        <v>43520.54207478</v>
      </c>
      <c r="C37" s="6">
        <v>1.093</v>
      </c>
      <c r="D37" s="6">
        <v>67.0</v>
      </c>
      <c r="E37" s="7" t="s">
        <v>7</v>
      </c>
      <c r="F37" s="7" t="s">
        <v>8</v>
      </c>
      <c r="G37" s="8"/>
    </row>
    <row r="38">
      <c r="A38" s="4">
        <v>43520.21936553241</v>
      </c>
      <c r="B38" s="5">
        <v>43520.5524958912</v>
      </c>
      <c r="C38" s="6">
        <v>1.093</v>
      </c>
      <c r="D38" s="6">
        <v>67.0</v>
      </c>
      <c r="E38" s="7" t="s">
        <v>7</v>
      </c>
      <c r="F38" s="7" t="s">
        <v>8</v>
      </c>
      <c r="G38" s="8"/>
    </row>
    <row r="39">
      <c r="A39" s="4">
        <v>43520.23009540509</v>
      </c>
      <c r="B39" s="5">
        <v>43520.5629303125</v>
      </c>
      <c r="C39" s="6">
        <v>1.093</v>
      </c>
      <c r="D39" s="6">
        <v>67.0</v>
      </c>
      <c r="E39" s="7" t="s">
        <v>7</v>
      </c>
      <c r="F39" s="7" t="s">
        <v>8</v>
      </c>
      <c r="G39" s="8"/>
    </row>
    <row r="40">
      <c r="A40" s="4">
        <v>43520.24013630787</v>
      </c>
      <c r="B40" s="5">
        <v>43520.5733523495</v>
      </c>
      <c r="C40" s="6">
        <v>1.093</v>
      </c>
      <c r="D40" s="6">
        <v>67.0</v>
      </c>
      <c r="E40" s="7" t="s">
        <v>7</v>
      </c>
      <c r="F40" s="7" t="s">
        <v>8</v>
      </c>
      <c r="G40" s="8"/>
    </row>
    <row r="41">
      <c r="A41" s="4">
        <v>43520.27142980324</v>
      </c>
      <c r="B41" s="5">
        <v>43520.6046397569</v>
      </c>
      <c r="C41" s="6">
        <v>1.093</v>
      </c>
      <c r="D41" s="6">
        <v>67.0</v>
      </c>
      <c r="E41" s="7" t="s">
        <v>7</v>
      </c>
      <c r="F41" s="7" t="s">
        <v>8</v>
      </c>
      <c r="G41" s="8"/>
    </row>
    <row r="42">
      <c r="A42" s="4">
        <v>43520.29246702546</v>
      </c>
      <c r="B42" s="5">
        <v>43520.6255058333</v>
      </c>
      <c r="C42" s="6">
        <v>1.093</v>
      </c>
      <c r="D42" s="6">
        <v>67.0</v>
      </c>
      <c r="E42" s="7" t="s">
        <v>7</v>
      </c>
      <c r="F42" s="7" t="s">
        <v>8</v>
      </c>
      <c r="G42" s="8"/>
    </row>
    <row r="43">
      <c r="A43" s="4">
        <v>43520.313136145836</v>
      </c>
      <c r="B43" s="5">
        <v>43520.6463480555</v>
      </c>
      <c r="C43" s="6">
        <v>1.093</v>
      </c>
      <c r="D43" s="6">
        <v>67.0</v>
      </c>
      <c r="E43" s="7" t="s">
        <v>7</v>
      </c>
      <c r="F43" s="7" t="s">
        <v>8</v>
      </c>
      <c r="G43" s="8"/>
    </row>
    <row r="44">
      <c r="A44" s="4">
        <v>43520.33409927083</v>
      </c>
      <c r="B44" s="5">
        <v>43520.6672134722</v>
      </c>
      <c r="C44" s="6">
        <v>1.093</v>
      </c>
      <c r="D44" s="6">
        <v>67.0</v>
      </c>
      <c r="E44" s="7" t="s">
        <v>7</v>
      </c>
      <c r="F44" s="7" t="s">
        <v>8</v>
      </c>
      <c r="G44" s="8"/>
    </row>
    <row r="45">
      <c r="A45" s="4">
        <v>43520.34470430556</v>
      </c>
      <c r="B45" s="5">
        <v>43520.6776352083</v>
      </c>
      <c r="C45" s="6">
        <v>1.093</v>
      </c>
      <c r="D45" s="6">
        <v>67.0</v>
      </c>
      <c r="E45" s="7" t="s">
        <v>7</v>
      </c>
      <c r="F45" s="7" t="s">
        <v>8</v>
      </c>
      <c r="G45" s="8"/>
    </row>
    <row r="46">
      <c r="A46" s="4">
        <v>43520.36550303241</v>
      </c>
      <c r="B46" s="5">
        <v>43520.6985234027</v>
      </c>
      <c r="C46" s="6">
        <v>1.093</v>
      </c>
      <c r="D46" s="6">
        <v>67.0</v>
      </c>
      <c r="E46" s="7" t="s">
        <v>7</v>
      </c>
      <c r="F46" s="7" t="s">
        <v>8</v>
      </c>
      <c r="G46" s="8"/>
    </row>
    <row r="47">
      <c r="A47" s="4">
        <v>43520.375729120366</v>
      </c>
      <c r="B47" s="5">
        <v>43520.7089456249</v>
      </c>
      <c r="C47" s="6">
        <v>1.093</v>
      </c>
      <c r="D47" s="6">
        <v>67.0</v>
      </c>
      <c r="E47" s="7" t="s">
        <v>7</v>
      </c>
      <c r="F47" s="7" t="s">
        <v>8</v>
      </c>
      <c r="G47" s="8"/>
    </row>
    <row r="48">
      <c r="A48" s="4">
        <v>43520.38624251157</v>
      </c>
      <c r="B48" s="5">
        <v>43520.7193671412</v>
      </c>
      <c r="C48" s="6">
        <v>1.093</v>
      </c>
      <c r="D48" s="6">
        <v>67.0</v>
      </c>
      <c r="E48" s="7" t="s">
        <v>7</v>
      </c>
      <c r="F48" s="7" t="s">
        <v>8</v>
      </c>
      <c r="G48" s="8"/>
    </row>
    <row r="49">
      <c r="A49" s="4">
        <v>43520.40755462963</v>
      </c>
      <c r="B49" s="5">
        <v>43520.7402104282</v>
      </c>
      <c r="C49" s="6">
        <v>1.093</v>
      </c>
      <c r="D49" s="6">
        <v>67.0</v>
      </c>
      <c r="E49" s="7" t="s">
        <v>7</v>
      </c>
      <c r="F49" s="7" t="s">
        <v>8</v>
      </c>
      <c r="G49" s="8"/>
    </row>
    <row r="50">
      <c r="A50" s="4">
        <v>43520.41769106482</v>
      </c>
      <c r="B50" s="5">
        <v>43520.7506314814</v>
      </c>
      <c r="C50" s="6">
        <v>1.093</v>
      </c>
      <c r="D50" s="6">
        <v>67.0</v>
      </c>
      <c r="E50" s="7" t="s">
        <v>7</v>
      </c>
      <c r="F50" s="7" t="s">
        <v>8</v>
      </c>
      <c r="G50" s="8"/>
    </row>
    <row r="51">
      <c r="A51" s="4">
        <v>43520.43873599537</v>
      </c>
      <c r="B51" s="5">
        <v>43520.7714879745</v>
      </c>
      <c r="C51" s="6">
        <v>1.093</v>
      </c>
      <c r="D51" s="6">
        <v>67.0</v>
      </c>
      <c r="E51" s="7" t="s">
        <v>7</v>
      </c>
      <c r="F51" s="7" t="s">
        <v>8</v>
      </c>
      <c r="G51" s="8"/>
    </row>
    <row r="52">
      <c r="A52" s="4">
        <v>43520.449005752314</v>
      </c>
      <c r="B52" s="5">
        <v>43520.781920162</v>
      </c>
      <c r="C52" s="6">
        <v>1.093</v>
      </c>
      <c r="D52" s="6">
        <v>67.0</v>
      </c>
      <c r="E52" s="7" t="s">
        <v>7</v>
      </c>
      <c r="F52" s="7" t="s">
        <v>8</v>
      </c>
      <c r="G52" s="8"/>
    </row>
    <row r="53">
      <c r="A53" s="4">
        <v>43520.45960347222</v>
      </c>
      <c r="B53" s="5">
        <v>43520.792340949</v>
      </c>
      <c r="C53" s="6">
        <v>1.094</v>
      </c>
      <c r="D53" s="6">
        <v>67.0</v>
      </c>
      <c r="E53" s="7" t="s">
        <v>7</v>
      </c>
      <c r="F53" s="7" t="s">
        <v>8</v>
      </c>
      <c r="G53" s="8"/>
    </row>
    <row r="54">
      <c r="A54" s="4">
        <v>43520.470114525466</v>
      </c>
      <c r="B54" s="5">
        <v>43520.802763368</v>
      </c>
      <c r="C54" s="6">
        <v>1.094</v>
      </c>
      <c r="D54" s="6">
        <v>67.0</v>
      </c>
      <c r="E54" s="7" t="s">
        <v>7</v>
      </c>
      <c r="F54" s="7" t="s">
        <v>8</v>
      </c>
      <c r="G54" s="8"/>
    </row>
    <row r="55">
      <c r="A55" s="4">
        <v>43520.48035244213</v>
      </c>
      <c r="B55" s="5">
        <v>43520.8131840277</v>
      </c>
      <c r="C55" s="6">
        <v>1.093</v>
      </c>
      <c r="D55" s="6">
        <v>67.0</v>
      </c>
      <c r="E55" s="7" t="s">
        <v>7</v>
      </c>
      <c r="F55" s="7" t="s">
        <v>8</v>
      </c>
      <c r="G55" s="8"/>
    </row>
    <row r="56">
      <c r="A56" s="4">
        <v>43520.532378819444</v>
      </c>
      <c r="B56" s="5">
        <v>43520.8653042708</v>
      </c>
      <c r="C56" s="6">
        <v>1.094</v>
      </c>
      <c r="D56" s="6">
        <v>68.0</v>
      </c>
      <c r="E56" s="7" t="s">
        <v>7</v>
      </c>
      <c r="F56" s="7" t="s">
        <v>8</v>
      </c>
      <c r="G56" s="8"/>
    </row>
    <row r="57">
      <c r="A57" s="4">
        <v>43520.54289869213</v>
      </c>
      <c r="B57" s="5">
        <v>43520.8757252546</v>
      </c>
      <c r="C57" s="6">
        <v>1.093</v>
      </c>
      <c r="D57" s="6">
        <v>68.0</v>
      </c>
      <c r="E57" s="7" t="s">
        <v>7</v>
      </c>
      <c r="F57" s="7" t="s">
        <v>8</v>
      </c>
      <c r="G57" s="8"/>
    </row>
    <row r="58">
      <c r="A58" s="4">
        <v>43520.55294886574</v>
      </c>
      <c r="B58" s="5">
        <v>43520.8861567361</v>
      </c>
      <c r="C58" s="6">
        <v>1.093</v>
      </c>
      <c r="D58" s="6">
        <v>68.0</v>
      </c>
      <c r="E58" s="7" t="s">
        <v>7</v>
      </c>
      <c r="F58" s="7" t="s">
        <v>8</v>
      </c>
      <c r="G58" s="8"/>
    </row>
    <row r="59">
      <c r="A59" s="4">
        <v>43520.56336813657</v>
      </c>
      <c r="B59" s="5">
        <v>43520.896577662</v>
      </c>
      <c r="C59" s="6">
        <v>1.094</v>
      </c>
      <c r="D59" s="6">
        <v>68.0</v>
      </c>
      <c r="E59" s="7" t="s">
        <v>7</v>
      </c>
      <c r="F59" s="7" t="s">
        <v>8</v>
      </c>
      <c r="G59" s="8"/>
    </row>
    <row r="60">
      <c r="A60" s="4">
        <v>43520.57415119213</v>
      </c>
      <c r="B60" s="5">
        <v>43520.9069994444</v>
      </c>
      <c r="C60" s="6">
        <v>1.093</v>
      </c>
      <c r="D60" s="6">
        <v>68.0</v>
      </c>
      <c r="E60" s="7" t="s">
        <v>7</v>
      </c>
      <c r="F60" s="7" t="s">
        <v>8</v>
      </c>
      <c r="G60" s="8"/>
    </row>
    <row r="61">
      <c r="A61" s="4">
        <v>43520.59520403935</v>
      </c>
      <c r="B61" s="5">
        <v>43520.9278632407</v>
      </c>
      <c r="C61" s="6">
        <v>1.092</v>
      </c>
      <c r="D61" s="6">
        <v>68.0</v>
      </c>
      <c r="E61" s="7" t="s">
        <v>7</v>
      </c>
      <c r="F61" s="7" t="s">
        <v>8</v>
      </c>
      <c r="G61" s="8"/>
    </row>
    <row r="62">
      <c r="A62" s="4">
        <v>43520.60516173611</v>
      </c>
      <c r="B62" s="5">
        <v>43520.9382842129</v>
      </c>
      <c r="C62" s="6">
        <v>1.093</v>
      </c>
      <c r="D62" s="6">
        <v>68.0</v>
      </c>
      <c r="E62" s="7" t="s">
        <v>7</v>
      </c>
      <c r="F62" s="7" t="s">
        <v>8</v>
      </c>
      <c r="G62" s="8"/>
    </row>
    <row r="63">
      <c r="A63" s="4">
        <v>43520.64692649306</v>
      </c>
      <c r="B63" s="5">
        <v>43520.9800447916</v>
      </c>
      <c r="C63" s="6">
        <v>1.092</v>
      </c>
      <c r="D63" s="6">
        <v>68.0</v>
      </c>
      <c r="E63" s="7" t="s">
        <v>7</v>
      </c>
      <c r="F63" s="7" t="s">
        <v>8</v>
      </c>
      <c r="G63" s="8"/>
    </row>
    <row r="64">
      <c r="A64" s="4">
        <v>43520.657343784726</v>
      </c>
      <c r="B64" s="5">
        <v>43520.9904654398</v>
      </c>
      <c r="C64" s="6">
        <v>1.092</v>
      </c>
      <c r="D64" s="6">
        <v>68.0</v>
      </c>
      <c r="E64" s="7" t="s">
        <v>7</v>
      </c>
      <c r="F64" s="7" t="s">
        <v>8</v>
      </c>
      <c r="G64" s="8"/>
    </row>
    <row r="65">
      <c r="A65" s="4">
        <v>43520.67861769676</v>
      </c>
      <c r="B65" s="5">
        <v>43521.0113671296</v>
      </c>
      <c r="C65" s="6">
        <v>1.092</v>
      </c>
      <c r="D65" s="6">
        <v>68.0</v>
      </c>
      <c r="E65" s="7" t="s">
        <v>7</v>
      </c>
      <c r="F65" s="7" t="s">
        <v>8</v>
      </c>
      <c r="G65" s="8"/>
    </row>
    <row r="66">
      <c r="A66" s="4">
        <v>43520.688672916665</v>
      </c>
      <c r="B66" s="5">
        <v>43521.0217872222</v>
      </c>
      <c r="C66" s="6">
        <v>1.092</v>
      </c>
      <c r="D66" s="6">
        <v>68.0</v>
      </c>
      <c r="E66" s="7" t="s">
        <v>7</v>
      </c>
      <c r="F66" s="7" t="s">
        <v>8</v>
      </c>
      <c r="G66" s="8"/>
    </row>
    <row r="67">
      <c r="A67" s="4">
        <v>43520.720233831016</v>
      </c>
      <c r="B67" s="5">
        <v>43521.0530768865</v>
      </c>
      <c r="C67" s="6">
        <v>1.092</v>
      </c>
      <c r="D67" s="6">
        <v>68.0</v>
      </c>
      <c r="E67" s="7" t="s">
        <v>7</v>
      </c>
      <c r="F67" s="7" t="s">
        <v>8</v>
      </c>
      <c r="G67" s="8"/>
    </row>
    <row r="68">
      <c r="A68" s="4">
        <v>43520.75160914352</v>
      </c>
      <c r="B68" s="5">
        <v>43521.0843413888</v>
      </c>
      <c r="C68" s="6">
        <v>1.092</v>
      </c>
      <c r="D68" s="6">
        <v>68.0</v>
      </c>
      <c r="E68" s="7" t="s">
        <v>7</v>
      </c>
      <c r="F68" s="7" t="s">
        <v>8</v>
      </c>
      <c r="G68" s="8"/>
    </row>
    <row r="69">
      <c r="A69" s="4">
        <v>43520.78292912037</v>
      </c>
      <c r="B69" s="5">
        <v>43521.1156506597</v>
      </c>
      <c r="C69" s="6">
        <v>1.091</v>
      </c>
      <c r="D69" s="6">
        <v>68.0</v>
      </c>
      <c r="E69" s="7" t="s">
        <v>7</v>
      </c>
      <c r="F69" s="7" t="s">
        <v>8</v>
      </c>
      <c r="G69" s="8"/>
    </row>
    <row r="70">
      <c r="A70" s="4">
        <v>43520.803577928236</v>
      </c>
      <c r="B70" s="5">
        <v>43521.1365082291</v>
      </c>
      <c r="C70" s="6">
        <v>1.091</v>
      </c>
      <c r="D70" s="6">
        <v>68.0</v>
      </c>
      <c r="E70" s="7" t="s">
        <v>7</v>
      </c>
      <c r="F70" s="7" t="s">
        <v>8</v>
      </c>
      <c r="G70" s="8"/>
    </row>
    <row r="71">
      <c r="A71" s="4">
        <v>43520.813829293984</v>
      </c>
      <c r="B71" s="5">
        <v>43521.1469409375</v>
      </c>
      <c r="C71" s="6">
        <v>1.091</v>
      </c>
      <c r="D71" s="6">
        <v>69.0</v>
      </c>
      <c r="E71" s="7" t="s">
        <v>7</v>
      </c>
      <c r="F71" s="7" t="s">
        <v>8</v>
      </c>
      <c r="G71" s="8"/>
    </row>
    <row r="72">
      <c r="A72" s="4">
        <v>43520.84548351852</v>
      </c>
      <c r="B72" s="5">
        <v>43521.1782198379</v>
      </c>
      <c r="C72" s="6">
        <v>1.091</v>
      </c>
      <c r="D72" s="6">
        <v>69.0</v>
      </c>
      <c r="E72" s="7" t="s">
        <v>7</v>
      </c>
      <c r="F72" s="7" t="s">
        <v>8</v>
      </c>
      <c r="G72" s="8"/>
    </row>
    <row r="73">
      <c r="A73" s="4">
        <v>43520.85598554398</v>
      </c>
      <c r="B73" s="5">
        <v>43521.1886399537</v>
      </c>
      <c r="C73" s="6">
        <v>1.091</v>
      </c>
      <c r="D73" s="6">
        <v>69.0</v>
      </c>
      <c r="E73" s="7" t="s">
        <v>7</v>
      </c>
      <c r="F73" s="7" t="s">
        <v>8</v>
      </c>
      <c r="G73" s="8"/>
    </row>
    <row r="74">
      <c r="A74" s="4">
        <v>43520.86605049769</v>
      </c>
      <c r="B74" s="5">
        <v>43521.1990731597</v>
      </c>
      <c r="C74" s="6">
        <v>1.09</v>
      </c>
      <c r="D74" s="6">
        <v>69.0</v>
      </c>
      <c r="E74" s="7" t="s">
        <v>7</v>
      </c>
      <c r="F74" s="7" t="s">
        <v>8</v>
      </c>
      <c r="G74" s="8"/>
    </row>
    <row r="75">
      <c r="A75" s="4">
        <v>43520.87677628473</v>
      </c>
      <c r="B75" s="5">
        <v>43521.2095074999</v>
      </c>
      <c r="C75" s="6">
        <v>1.091</v>
      </c>
      <c r="D75" s="6">
        <v>68.0</v>
      </c>
      <c r="E75" s="7" t="s">
        <v>7</v>
      </c>
      <c r="F75" s="7" t="s">
        <v>8</v>
      </c>
      <c r="G75" s="8"/>
    </row>
    <row r="76">
      <c r="A76" s="4">
        <v>43520.88728850694</v>
      </c>
      <c r="B76" s="5">
        <v>43521.2199289236</v>
      </c>
      <c r="C76" s="6">
        <v>1.09</v>
      </c>
      <c r="D76" s="6">
        <v>68.0</v>
      </c>
      <c r="E76" s="7" t="s">
        <v>7</v>
      </c>
      <c r="F76" s="7" t="s">
        <v>8</v>
      </c>
      <c r="G76" s="8"/>
    </row>
    <row r="77">
      <c r="A77" s="4">
        <v>43520.90802537037</v>
      </c>
      <c r="B77" s="5">
        <v>43521.2407718402</v>
      </c>
      <c r="C77" s="6">
        <v>1.09</v>
      </c>
      <c r="D77" s="6">
        <v>68.0</v>
      </c>
      <c r="E77" s="7" t="s">
        <v>7</v>
      </c>
      <c r="F77" s="7" t="s">
        <v>8</v>
      </c>
      <c r="G77" s="8"/>
    </row>
    <row r="78">
      <c r="A78" s="4">
        <v>43520.91827277778</v>
      </c>
      <c r="B78" s="5">
        <v>43521.2511930324</v>
      </c>
      <c r="C78" s="6">
        <v>1.09</v>
      </c>
      <c r="D78" s="6">
        <v>68.0</v>
      </c>
      <c r="E78" s="7" t="s">
        <v>7</v>
      </c>
      <c r="F78" s="7" t="s">
        <v>8</v>
      </c>
      <c r="G78" s="8"/>
    </row>
    <row r="79">
      <c r="A79" s="4">
        <v>43520.92839361111</v>
      </c>
      <c r="B79" s="5">
        <v>43521.2616137615</v>
      </c>
      <c r="C79" s="6">
        <v>1.09</v>
      </c>
      <c r="D79" s="6">
        <v>68.0</v>
      </c>
      <c r="E79" s="7" t="s">
        <v>7</v>
      </c>
      <c r="F79" s="7" t="s">
        <v>8</v>
      </c>
      <c r="G79" s="8"/>
    </row>
    <row r="80">
      <c r="A80" s="4">
        <v>43520.93893042824</v>
      </c>
      <c r="B80" s="5">
        <v>43521.2720464467</v>
      </c>
      <c r="C80" s="6">
        <v>1.09</v>
      </c>
      <c r="D80" s="6">
        <v>68.0</v>
      </c>
      <c r="E80" s="7" t="s">
        <v>7</v>
      </c>
      <c r="F80" s="7" t="s">
        <v>8</v>
      </c>
      <c r="G80" s="8"/>
    </row>
    <row r="81">
      <c r="A81" s="4">
        <v>43520.970112546296</v>
      </c>
      <c r="B81" s="5">
        <v>43521.3033201157</v>
      </c>
      <c r="C81" s="6">
        <v>1.09</v>
      </c>
      <c r="D81" s="6">
        <v>68.0</v>
      </c>
      <c r="E81" s="7" t="s">
        <v>7</v>
      </c>
      <c r="F81" s="7" t="s">
        <v>8</v>
      </c>
      <c r="G81" s="8"/>
    </row>
    <row r="82">
      <c r="A82" s="4">
        <v>43521.0223324074</v>
      </c>
      <c r="B82" s="5">
        <v>43521.3554510648</v>
      </c>
      <c r="C82" s="6">
        <v>1.09</v>
      </c>
      <c r="D82" s="6">
        <v>68.0</v>
      </c>
      <c r="E82" s="7" t="s">
        <v>7</v>
      </c>
      <c r="F82" s="7" t="s">
        <v>8</v>
      </c>
      <c r="G82" s="8"/>
    </row>
    <row r="83">
      <c r="A83" s="4">
        <v>43521.04309047454</v>
      </c>
      <c r="B83" s="5">
        <v>43521.3762937152</v>
      </c>
      <c r="C83" s="6">
        <v>1.09</v>
      </c>
      <c r="D83" s="6">
        <v>68.0</v>
      </c>
      <c r="E83" s="7" t="s">
        <v>7</v>
      </c>
      <c r="F83" s="7" t="s">
        <v>8</v>
      </c>
      <c r="G83" s="8"/>
    </row>
    <row r="84">
      <c r="A84" s="4">
        <v>43521.05399049769</v>
      </c>
      <c r="B84" s="5">
        <v>43521.3867257291</v>
      </c>
      <c r="C84" s="6">
        <v>1.089</v>
      </c>
      <c r="D84" s="6">
        <v>68.0</v>
      </c>
      <c r="E84" s="7" t="s">
        <v>7</v>
      </c>
      <c r="F84" s="7" t="s">
        <v>8</v>
      </c>
      <c r="G84" s="8"/>
    </row>
    <row r="85">
      <c r="A85" s="4">
        <v>43521.06396050926</v>
      </c>
      <c r="B85" s="5">
        <v>43521.3971479976</v>
      </c>
      <c r="C85" s="6">
        <v>1.089</v>
      </c>
      <c r="D85" s="6">
        <v>68.0</v>
      </c>
      <c r="E85" s="7" t="s">
        <v>7</v>
      </c>
      <c r="F85" s="7" t="s">
        <v>8</v>
      </c>
      <c r="G85" s="8"/>
    </row>
    <row r="86">
      <c r="A86" s="4">
        <v>43521.08536143518</v>
      </c>
      <c r="B86" s="5">
        <v>43521.4179921296</v>
      </c>
      <c r="C86" s="6">
        <v>1.089</v>
      </c>
      <c r="D86" s="6">
        <v>68.0</v>
      </c>
      <c r="E86" s="7" t="s">
        <v>7</v>
      </c>
      <c r="F86" s="7" t="s">
        <v>8</v>
      </c>
      <c r="G86" s="8"/>
    </row>
    <row r="87">
      <c r="A87" s="4">
        <v>43521.13749371528</v>
      </c>
      <c r="B87" s="5">
        <v>43521.4702294907</v>
      </c>
      <c r="C87" s="6">
        <v>1.089</v>
      </c>
      <c r="D87" s="6">
        <v>68.0</v>
      </c>
      <c r="E87" s="7" t="s">
        <v>7</v>
      </c>
      <c r="F87" s="7" t="s">
        <v>8</v>
      </c>
      <c r="G87" s="8"/>
    </row>
    <row r="88">
      <c r="A88" s="4">
        <v>43521.14767101852</v>
      </c>
      <c r="B88" s="5">
        <v>43521.4806863078</v>
      </c>
      <c r="C88" s="6">
        <v>1.089</v>
      </c>
      <c r="D88" s="6">
        <v>68.0</v>
      </c>
      <c r="E88" s="7" t="s">
        <v>7</v>
      </c>
      <c r="F88" s="7" t="s">
        <v>8</v>
      </c>
      <c r="G88" s="8"/>
    </row>
    <row r="89">
      <c r="A89" s="4">
        <v>43521.21054013888</v>
      </c>
      <c r="B89" s="5">
        <v>43521.543281956</v>
      </c>
      <c r="C89" s="6">
        <v>1.089</v>
      </c>
      <c r="D89" s="6">
        <v>68.0</v>
      </c>
      <c r="E89" s="7" t="s">
        <v>7</v>
      </c>
      <c r="F89" s="7" t="s">
        <v>8</v>
      </c>
      <c r="G89" s="8"/>
    </row>
    <row r="90">
      <c r="A90" s="4">
        <v>43521.23148607639</v>
      </c>
      <c r="B90" s="5">
        <v>43521.5642201736</v>
      </c>
      <c r="C90" s="6">
        <v>1.089</v>
      </c>
      <c r="D90" s="6">
        <v>68.0</v>
      </c>
      <c r="E90" s="7" t="s">
        <v>7</v>
      </c>
      <c r="F90" s="7" t="s">
        <v>8</v>
      </c>
      <c r="G90" s="8"/>
    </row>
    <row r="91">
      <c r="A91" s="4">
        <v>43521.24151451389</v>
      </c>
      <c r="B91" s="5">
        <v>43521.5746403935</v>
      </c>
      <c r="C91" s="6">
        <v>1.088</v>
      </c>
      <c r="D91" s="6">
        <v>68.0</v>
      </c>
      <c r="E91" s="7" t="s">
        <v>7</v>
      </c>
      <c r="F91" s="7" t="s">
        <v>8</v>
      </c>
      <c r="G91" s="8"/>
    </row>
    <row r="92">
      <c r="A92" s="4">
        <v>43521.25192253472</v>
      </c>
      <c r="B92" s="5">
        <v>43521.5851293518</v>
      </c>
      <c r="C92" s="6">
        <v>1.088</v>
      </c>
      <c r="D92" s="6">
        <v>68.0</v>
      </c>
      <c r="E92" s="7" t="s">
        <v>7</v>
      </c>
      <c r="F92" s="7" t="s">
        <v>8</v>
      </c>
      <c r="G92" s="8"/>
    </row>
    <row r="93">
      <c r="A93" s="4">
        <v>43521.2625271875</v>
      </c>
      <c r="B93" s="5">
        <v>43521.595550405</v>
      </c>
      <c r="C93" s="6">
        <v>1.088</v>
      </c>
      <c r="D93" s="6">
        <v>68.0</v>
      </c>
      <c r="E93" s="7" t="s">
        <v>7</v>
      </c>
      <c r="F93" s="7" t="s">
        <v>8</v>
      </c>
      <c r="G93" s="8"/>
    </row>
    <row r="94">
      <c r="A94" s="4">
        <v>43521.27297611111</v>
      </c>
      <c r="B94" s="5">
        <v>43521.6060078703</v>
      </c>
      <c r="C94" s="6">
        <v>1.088</v>
      </c>
      <c r="D94" s="6">
        <v>68.0</v>
      </c>
      <c r="E94" s="7" t="s">
        <v>7</v>
      </c>
      <c r="F94" s="7" t="s">
        <v>8</v>
      </c>
      <c r="G94" s="8"/>
    </row>
    <row r="95">
      <c r="A95" s="4">
        <v>43521.30444692129</v>
      </c>
      <c r="B95" s="5">
        <v>43521.6372819444</v>
      </c>
      <c r="C95" s="6">
        <v>1.088</v>
      </c>
      <c r="D95" s="6">
        <v>68.0</v>
      </c>
      <c r="E95" s="7" t="s">
        <v>7</v>
      </c>
      <c r="F95" s="7" t="s">
        <v>8</v>
      </c>
      <c r="G95" s="8"/>
    </row>
    <row r="96">
      <c r="A96" s="4">
        <v>43521.31456083333</v>
      </c>
      <c r="B96" s="5">
        <v>43521.6477173842</v>
      </c>
      <c r="C96" s="6">
        <v>1.087</v>
      </c>
      <c r="D96" s="6">
        <v>68.0</v>
      </c>
      <c r="E96" s="7" t="s">
        <v>7</v>
      </c>
      <c r="F96" s="7" t="s">
        <v>8</v>
      </c>
      <c r="G96" s="8"/>
    </row>
    <row r="97">
      <c r="A97" s="4">
        <v>43521.32512386574</v>
      </c>
      <c r="B97" s="5">
        <v>43521.6581382754</v>
      </c>
      <c r="C97" s="6">
        <v>1.087</v>
      </c>
      <c r="D97" s="6">
        <v>68.0</v>
      </c>
      <c r="E97" s="7" t="s">
        <v>7</v>
      </c>
      <c r="F97" s="7" t="s">
        <v>8</v>
      </c>
      <c r="G97" s="8"/>
    </row>
    <row r="98">
      <c r="A98" s="4">
        <v>43521.33554936343</v>
      </c>
      <c r="B98" s="5">
        <v>43521.6685723148</v>
      </c>
      <c r="C98" s="6">
        <v>1.087</v>
      </c>
      <c r="D98" s="6">
        <v>68.0</v>
      </c>
      <c r="E98" s="7" t="s">
        <v>7</v>
      </c>
      <c r="F98" s="7" t="s">
        <v>8</v>
      </c>
      <c r="G98" s="8"/>
    </row>
    <row r="99">
      <c r="A99" s="4">
        <v>43521.34637150463</v>
      </c>
      <c r="B99" s="5">
        <v>43521.6790055092</v>
      </c>
      <c r="C99" s="6">
        <v>1.087</v>
      </c>
      <c r="D99" s="6">
        <v>68.0</v>
      </c>
      <c r="E99" s="7" t="s">
        <v>7</v>
      </c>
      <c r="F99" s="7" t="s">
        <v>8</v>
      </c>
      <c r="G99" s="8"/>
    </row>
    <row r="100">
      <c r="A100" s="4">
        <v>43521.35641576389</v>
      </c>
      <c r="B100" s="5">
        <v>43521.6894488773</v>
      </c>
      <c r="C100" s="6">
        <v>1.087</v>
      </c>
      <c r="D100" s="6">
        <v>68.0</v>
      </c>
      <c r="E100" s="7" t="s">
        <v>7</v>
      </c>
      <c r="F100" s="7" t="s">
        <v>8</v>
      </c>
      <c r="G100" s="8"/>
    </row>
    <row r="101">
      <c r="A101" s="4">
        <v>43521.366862870374</v>
      </c>
      <c r="B101" s="5">
        <v>43521.6998813541</v>
      </c>
      <c r="C101" s="6">
        <v>1.087</v>
      </c>
      <c r="D101" s="6">
        <v>67.0</v>
      </c>
      <c r="E101" s="7" t="s">
        <v>7</v>
      </c>
      <c r="F101" s="7" t="s">
        <v>8</v>
      </c>
      <c r="G101" s="8"/>
    </row>
    <row r="102">
      <c r="A102" s="4">
        <v>43521.377478090275</v>
      </c>
      <c r="B102" s="5">
        <v>43521.7103146527</v>
      </c>
      <c r="C102" s="6">
        <v>1.087</v>
      </c>
      <c r="D102" s="6">
        <v>67.0</v>
      </c>
      <c r="E102" s="7" t="s">
        <v>7</v>
      </c>
      <c r="F102" s="7" t="s">
        <v>8</v>
      </c>
      <c r="G102" s="8"/>
    </row>
    <row r="103">
      <c r="A103" s="4">
        <v>43521.387619236106</v>
      </c>
      <c r="B103" s="5">
        <v>43521.7207383796</v>
      </c>
      <c r="C103" s="6">
        <v>1.087</v>
      </c>
      <c r="D103" s="6">
        <v>67.0</v>
      </c>
      <c r="E103" s="7" t="s">
        <v>7</v>
      </c>
      <c r="F103" s="7" t="s">
        <v>8</v>
      </c>
      <c r="G103" s="8"/>
    </row>
    <row r="104">
      <c r="A104" s="4">
        <v>43521.397957685185</v>
      </c>
      <c r="B104" s="5">
        <v>43521.7311713888</v>
      </c>
      <c r="C104" s="6">
        <v>1.087</v>
      </c>
      <c r="D104" s="6">
        <v>67.0</v>
      </c>
      <c r="E104" s="7" t="s">
        <v>7</v>
      </c>
      <c r="F104" s="7" t="s">
        <v>8</v>
      </c>
      <c r="G104" s="8"/>
    </row>
    <row r="105">
      <c r="A105" s="4">
        <v>43521.41899053241</v>
      </c>
      <c r="B105" s="5">
        <v>43521.7520149421</v>
      </c>
      <c r="C105" s="6">
        <v>1.087</v>
      </c>
      <c r="D105" s="6">
        <v>67.0</v>
      </c>
      <c r="E105" s="7" t="s">
        <v>7</v>
      </c>
      <c r="F105" s="7" t="s">
        <v>8</v>
      </c>
      <c r="G105" s="8"/>
    </row>
    <row r="106">
      <c r="A106" s="4">
        <v>43521.450657685185</v>
      </c>
      <c r="B106" s="5">
        <v>43521.783301956</v>
      </c>
      <c r="C106" s="6">
        <v>1.086</v>
      </c>
      <c r="D106" s="6">
        <v>67.0</v>
      </c>
      <c r="E106" s="7" t="s">
        <v>7</v>
      </c>
      <c r="F106" s="7" t="s">
        <v>8</v>
      </c>
      <c r="G106" s="8"/>
    </row>
    <row r="107">
      <c r="A107" s="4">
        <v>43521.46061173611</v>
      </c>
      <c r="B107" s="5">
        <v>43521.793724537</v>
      </c>
      <c r="C107" s="6">
        <v>1.086</v>
      </c>
      <c r="D107" s="6">
        <v>67.0</v>
      </c>
      <c r="E107" s="7" t="s">
        <v>7</v>
      </c>
      <c r="F107" s="7" t="s">
        <v>8</v>
      </c>
      <c r="G107" s="8"/>
    </row>
    <row r="108">
      <c r="A108" s="4">
        <v>43521.48136931713</v>
      </c>
      <c r="B108" s="5">
        <v>43521.814577743</v>
      </c>
      <c r="C108" s="6">
        <v>1.086</v>
      </c>
      <c r="D108" s="6">
        <v>67.0</v>
      </c>
      <c r="E108" s="7" t="s">
        <v>7</v>
      </c>
      <c r="F108" s="7" t="s">
        <v>8</v>
      </c>
      <c r="G108" s="8"/>
    </row>
    <row r="109">
      <c r="A109" s="4">
        <v>43521.492366597224</v>
      </c>
      <c r="B109" s="5">
        <v>43521.8250212847</v>
      </c>
      <c r="C109" s="6">
        <v>1.086</v>
      </c>
      <c r="D109" s="6">
        <v>67.0</v>
      </c>
      <c r="E109" s="7" t="s">
        <v>7</v>
      </c>
      <c r="F109" s="7" t="s">
        <v>8</v>
      </c>
      <c r="G109" s="8"/>
    </row>
    <row r="110">
      <c r="A110" s="4">
        <v>43521.502519050926</v>
      </c>
      <c r="B110" s="5">
        <v>43521.8354527199</v>
      </c>
      <c r="C110" s="6">
        <v>1.086</v>
      </c>
      <c r="D110" s="6">
        <v>67.0</v>
      </c>
      <c r="E110" s="7" t="s">
        <v>7</v>
      </c>
      <c r="F110" s="7" t="s">
        <v>8</v>
      </c>
      <c r="G110" s="8"/>
    </row>
    <row r="111">
      <c r="A111" s="4">
        <v>43521.51285641204</v>
      </c>
      <c r="B111" s="5">
        <v>43521.8458851967</v>
      </c>
      <c r="C111" s="6">
        <v>1.086</v>
      </c>
      <c r="D111" s="6">
        <v>67.0</v>
      </c>
      <c r="E111" s="7" t="s">
        <v>7</v>
      </c>
      <c r="F111" s="7" t="s">
        <v>8</v>
      </c>
      <c r="G111" s="8"/>
    </row>
    <row r="112">
      <c r="A112" s="4">
        <v>43521.53352668982</v>
      </c>
      <c r="B112" s="5">
        <v>43521.8667396527</v>
      </c>
      <c r="C112" s="6">
        <v>1.086</v>
      </c>
      <c r="D112" s="6">
        <v>67.0</v>
      </c>
      <c r="E112" s="7" t="s">
        <v>7</v>
      </c>
      <c r="F112" s="7" t="s">
        <v>8</v>
      </c>
      <c r="G112" s="8"/>
    </row>
    <row r="113">
      <c r="A113" s="4">
        <v>43521.54450704861</v>
      </c>
      <c r="B113" s="5">
        <v>43521.8771600231</v>
      </c>
      <c r="C113" s="6">
        <v>1.086</v>
      </c>
      <c r="D113" s="6">
        <v>67.0</v>
      </c>
      <c r="E113" s="7" t="s">
        <v>7</v>
      </c>
      <c r="F113" s="7" t="s">
        <v>8</v>
      </c>
      <c r="G113" s="8"/>
    </row>
    <row r="114">
      <c r="A114" s="4">
        <v>43521.55495701389</v>
      </c>
      <c r="B114" s="5">
        <v>43521.88758103</v>
      </c>
      <c r="C114" s="6">
        <v>1.086</v>
      </c>
      <c r="D114" s="6">
        <v>67.0</v>
      </c>
      <c r="E114" s="7" t="s">
        <v>7</v>
      </c>
      <c r="F114" s="7" t="s">
        <v>8</v>
      </c>
      <c r="G114" s="8"/>
    </row>
    <row r="115">
      <c r="A115" s="4">
        <v>43521.58594818287</v>
      </c>
      <c r="B115" s="5">
        <v>43521.9188804166</v>
      </c>
      <c r="C115" s="6">
        <v>1.086</v>
      </c>
      <c r="D115" s="6">
        <v>67.0</v>
      </c>
      <c r="E115" s="7" t="s">
        <v>7</v>
      </c>
      <c r="F115" s="7" t="s">
        <v>8</v>
      </c>
      <c r="G115" s="8"/>
    </row>
    <row r="116">
      <c r="A116" s="4">
        <v>43521.59637238426</v>
      </c>
      <c r="B116" s="5">
        <v>43521.9293005439</v>
      </c>
      <c r="C116" s="6">
        <v>1.086</v>
      </c>
      <c r="D116" s="6">
        <v>67.0</v>
      </c>
      <c r="E116" s="7" t="s">
        <v>7</v>
      </c>
      <c r="F116" s="7" t="s">
        <v>8</v>
      </c>
      <c r="G116" s="8"/>
    </row>
    <row r="117">
      <c r="A117" s="4">
        <v>43521.62739783565</v>
      </c>
      <c r="B117" s="5">
        <v>43521.9606077777</v>
      </c>
      <c r="C117" s="6">
        <v>1.085</v>
      </c>
      <c r="D117" s="6">
        <v>67.0</v>
      </c>
      <c r="E117" s="7" t="s">
        <v>7</v>
      </c>
      <c r="F117" s="7" t="s">
        <v>8</v>
      </c>
      <c r="G117" s="8"/>
    </row>
    <row r="118">
      <c r="A118" s="4">
        <v>43521.63800717593</v>
      </c>
      <c r="B118" s="5">
        <v>43521.9710288194</v>
      </c>
      <c r="C118" s="6">
        <v>1.085</v>
      </c>
      <c r="D118" s="6">
        <v>67.0</v>
      </c>
      <c r="E118" s="7" t="s">
        <v>7</v>
      </c>
      <c r="F118" s="7" t="s">
        <v>8</v>
      </c>
      <c r="G118" s="8"/>
    </row>
    <row r="119">
      <c r="A119" s="4">
        <v>43521.67959721065</v>
      </c>
      <c r="B119" s="5">
        <v>43522.0127138078</v>
      </c>
      <c r="C119" s="6">
        <v>1.085</v>
      </c>
      <c r="D119" s="6">
        <v>67.0</v>
      </c>
      <c r="E119" s="7" t="s">
        <v>7</v>
      </c>
      <c r="F119" s="7" t="s">
        <v>8</v>
      </c>
      <c r="G119" s="8"/>
    </row>
    <row r="120">
      <c r="A120" s="4">
        <v>43521.7217734838</v>
      </c>
      <c r="B120" s="5">
        <v>43522.0544240972</v>
      </c>
      <c r="C120" s="6">
        <v>1.084</v>
      </c>
      <c r="D120" s="6">
        <v>67.0</v>
      </c>
      <c r="E120" s="7" t="s">
        <v>7</v>
      </c>
      <c r="F120" s="7" t="s">
        <v>8</v>
      </c>
      <c r="G120" s="8"/>
    </row>
    <row r="121">
      <c r="A121" s="4">
        <v>43521.74250634259</v>
      </c>
      <c r="B121" s="5">
        <v>43522.0752913426</v>
      </c>
      <c r="C121" s="6">
        <v>1.084</v>
      </c>
      <c r="D121" s="6">
        <v>67.0</v>
      </c>
      <c r="E121" s="7" t="s">
        <v>7</v>
      </c>
      <c r="F121" s="7" t="s">
        <v>8</v>
      </c>
      <c r="G121" s="8"/>
    </row>
    <row r="122">
      <c r="A122" s="4">
        <v>43521.752968078705</v>
      </c>
      <c r="B122" s="5">
        <v>43522.0857120833</v>
      </c>
      <c r="C122" s="6">
        <v>1.084</v>
      </c>
      <c r="D122" s="6">
        <v>67.0</v>
      </c>
      <c r="E122" s="7" t="s">
        <v>7</v>
      </c>
      <c r="F122" s="7" t="s">
        <v>8</v>
      </c>
      <c r="G122" s="8"/>
    </row>
    <row r="123">
      <c r="A123" s="4">
        <v>43521.762917314816</v>
      </c>
      <c r="B123" s="5">
        <v>43522.096132743</v>
      </c>
      <c r="C123" s="6">
        <v>1.084</v>
      </c>
      <c r="D123" s="6">
        <v>67.0</v>
      </c>
      <c r="E123" s="7" t="s">
        <v>7</v>
      </c>
      <c r="F123" s="7" t="s">
        <v>8</v>
      </c>
      <c r="G123" s="8"/>
    </row>
    <row r="124">
      <c r="A124" s="4">
        <v>43521.78395640047</v>
      </c>
      <c r="B124" s="5">
        <v>43522.116974537</v>
      </c>
      <c r="C124" s="6">
        <v>1.084</v>
      </c>
      <c r="D124" s="6">
        <v>67.0</v>
      </c>
      <c r="E124" s="7" t="s">
        <v>7</v>
      </c>
      <c r="F124" s="7" t="s">
        <v>8</v>
      </c>
      <c r="G124" s="8"/>
    </row>
    <row r="125">
      <c r="A125" s="4">
        <v>43521.794368738425</v>
      </c>
      <c r="B125" s="5">
        <v>43522.1273950115</v>
      </c>
      <c r="C125" s="6">
        <v>1.084</v>
      </c>
      <c r="D125" s="6">
        <v>67.0</v>
      </c>
      <c r="E125" s="7" t="s">
        <v>7</v>
      </c>
      <c r="F125" s="7" t="s">
        <v>8</v>
      </c>
      <c r="G125" s="8"/>
    </row>
    <row r="126">
      <c r="A126" s="4">
        <v>43521.81531763889</v>
      </c>
      <c r="B126" s="5">
        <v>43522.1482395254</v>
      </c>
      <c r="C126" s="6">
        <v>1.084</v>
      </c>
      <c r="D126" s="6">
        <v>67.0</v>
      </c>
      <c r="E126" s="7" t="s">
        <v>7</v>
      </c>
      <c r="F126" s="7" t="s">
        <v>8</v>
      </c>
      <c r="G126" s="8"/>
    </row>
    <row r="127">
      <c r="A127" s="4">
        <v>43521.85712233796</v>
      </c>
      <c r="B127" s="5">
        <v>43522.1899521412</v>
      </c>
      <c r="C127" s="6">
        <v>1.084</v>
      </c>
      <c r="D127" s="6">
        <v>67.0</v>
      </c>
      <c r="E127" s="7" t="s">
        <v>7</v>
      </c>
      <c r="F127" s="7" t="s">
        <v>8</v>
      </c>
      <c r="G127" s="8"/>
    </row>
    <row r="128">
      <c r="A128" s="4">
        <v>43521.867716759254</v>
      </c>
      <c r="B128" s="5">
        <v>43522.2003708217</v>
      </c>
      <c r="C128" s="6">
        <v>1.084</v>
      </c>
      <c r="D128" s="6">
        <v>67.0</v>
      </c>
      <c r="E128" s="7" t="s">
        <v>7</v>
      </c>
      <c r="F128" s="7" t="s">
        <v>8</v>
      </c>
      <c r="G128" s="8"/>
    </row>
    <row r="129">
      <c r="A129" s="4">
        <v>43521.9089553588</v>
      </c>
      <c r="B129" s="5">
        <v>43522.2420600462</v>
      </c>
      <c r="C129" s="6">
        <v>1.083</v>
      </c>
      <c r="D129" s="6">
        <v>67.0</v>
      </c>
      <c r="E129" s="7" t="s">
        <v>7</v>
      </c>
      <c r="F129" s="7" t="s">
        <v>8</v>
      </c>
      <c r="G129" s="8"/>
    </row>
    <row r="130">
      <c r="A130" s="4">
        <v>43521.91945758102</v>
      </c>
      <c r="B130" s="5">
        <v>43522.2524807523</v>
      </c>
      <c r="C130" s="6">
        <v>1.083</v>
      </c>
      <c r="D130" s="6">
        <v>67.0</v>
      </c>
      <c r="E130" s="7" t="s">
        <v>7</v>
      </c>
      <c r="F130" s="7" t="s">
        <v>8</v>
      </c>
      <c r="G130" s="8"/>
    </row>
    <row r="131">
      <c r="A131" s="4">
        <v>43521.940508125</v>
      </c>
      <c r="B131" s="5">
        <v>43522.273345081</v>
      </c>
      <c r="C131" s="6">
        <v>1.083</v>
      </c>
      <c r="D131" s="6">
        <v>67.0</v>
      </c>
      <c r="E131" s="7" t="s">
        <v>7</v>
      </c>
      <c r="F131" s="7" t="s">
        <v>8</v>
      </c>
      <c r="G131" s="8"/>
    </row>
    <row r="132">
      <c r="A132" s="4">
        <v>43521.95063222222</v>
      </c>
      <c r="B132" s="5">
        <v>43522.283765787</v>
      </c>
      <c r="C132" s="6">
        <v>1.083</v>
      </c>
      <c r="D132" s="6">
        <v>67.0</v>
      </c>
      <c r="E132" s="7" t="s">
        <v>7</v>
      </c>
      <c r="F132" s="7" t="s">
        <v>8</v>
      </c>
      <c r="G132" s="8"/>
    </row>
    <row r="133">
      <c r="A133" s="4">
        <v>43521.96099021991</v>
      </c>
      <c r="B133" s="5">
        <v>43522.2941983101</v>
      </c>
      <c r="C133" s="6">
        <v>1.083</v>
      </c>
      <c r="D133" s="6">
        <v>67.0</v>
      </c>
      <c r="E133" s="7" t="s">
        <v>7</v>
      </c>
      <c r="F133" s="7" t="s">
        <v>8</v>
      </c>
      <c r="G133" s="8"/>
    </row>
    <row r="134">
      <c r="A134" s="4">
        <v>43521.97150767361</v>
      </c>
      <c r="B134" s="5">
        <v>43522.3046199652</v>
      </c>
      <c r="C134" s="6">
        <v>1.083</v>
      </c>
      <c r="D134" s="6">
        <v>67.0</v>
      </c>
      <c r="E134" s="7" t="s">
        <v>7</v>
      </c>
      <c r="F134" s="7" t="s">
        <v>8</v>
      </c>
      <c r="G134" s="8"/>
    </row>
    <row r="135">
      <c r="A135" s="4">
        <v>43521.992626273146</v>
      </c>
      <c r="B135" s="5">
        <v>43522.32546375</v>
      </c>
      <c r="C135" s="6">
        <v>1.083</v>
      </c>
      <c r="D135" s="6">
        <v>67.0</v>
      </c>
      <c r="E135" s="7" t="s">
        <v>7</v>
      </c>
      <c r="F135" s="7" t="s">
        <v>8</v>
      </c>
      <c r="G135" s="8"/>
    </row>
    <row r="136">
      <c r="A136" s="4">
        <v>43522.01321482639</v>
      </c>
      <c r="B136" s="5">
        <v>43522.3463293171</v>
      </c>
      <c r="C136" s="6">
        <v>1.082</v>
      </c>
      <c r="D136" s="6">
        <v>66.0</v>
      </c>
      <c r="E136" s="7" t="s">
        <v>7</v>
      </c>
      <c r="F136" s="7" t="s">
        <v>8</v>
      </c>
      <c r="G136" s="8"/>
    </row>
    <row r="137">
      <c r="A137" s="4">
        <v>43522.034154548615</v>
      </c>
      <c r="B137" s="5">
        <v>43522.3671826041</v>
      </c>
      <c r="C137" s="6">
        <v>1.083</v>
      </c>
      <c r="D137" s="6">
        <v>66.0</v>
      </c>
      <c r="E137" s="7" t="s">
        <v>7</v>
      </c>
      <c r="F137" s="7" t="s">
        <v>8</v>
      </c>
      <c r="G137" s="8"/>
    </row>
    <row r="138">
      <c r="A138" s="4">
        <v>43522.065420370374</v>
      </c>
      <c r="B138" s="5">
        <v>43522.3984467708</v>
      </c>
      <c r="C138" s="6">
        <v>1.082</v>
      </c>
      <c r="D138" s="6">
        <v>66.0</v>
      </c>
      <c r="E138" s="7" t="s">
        <v>7</v>
      </c>
      <c r="F138" s="7" t="s">
        <v>8</v>
      </c>
      <c r="G138" s="8"/>
    </row>
    <row r="139">
      <c r="A139" s="4">
        <v>43522.07576363426</v>
      </c>
      <c r="B139" s="5">
        <v>43522.4088789467</v>
      </c>
      <c r="C139" s="6">
        <v>1.082</v>
      </c>
      <c r="D139" s="6">
        <v>66.0</v>
      </c>
      <c r="E139" s="7" t="s">
        <v>7</v>
      </c>
      <c r="F139" s="7" t="s">
        <v>8</v>
      </c>
      <c r="G139" s="8"/>
    </row>
    <row r="140">
      <c r="A140" s="4">
        <v>43522.106960370365</v>
      </c>
      <c r="B140" s="5">
        <v>43522.4401677083</v>
      </c>
      <c r="C140" s="6">
        <v>1.082</v>
      </c>
      <c r="D140" s="6">
        <v>66.0</v>
      </c>
      <c r="E140" s="7" t="s">
        <v>7</v>
      </c>
      <c r="F140" s="7" t="s">
        <v>8</v>
      </c>
      <c r="G140" s="8"/>
    </row>
    <row r="141">
      <c r="A141" s="4">
        <v>43522.12827090277</v>
      </c>
      <c r="B141" s="5">
        <v>43522.4610088773</v>
      </c>
      <c r="C141" s="6">
        <v>1.082</v>
      </c>
      <c r="D141" s="6">
        <v>66.0</v>
      </c>
      <c r="E141" s="7" t="s">
        <v>7</v>
      </c>
      <c r="F141" s="7" t="s">
        <v>8</v>
      </c>
      <c r="G141" s="8"/>
    </row>
    <row r="142">
      <c r="A142" s="4">
        <v>43522.14882476852</v>
      </c>
      <c r="B142" s="5">
        <v>43522.4818490509</v>
      </c>
      <c r="C142" s="6">
        <v>1.082</v>
      </c>
      <c r="D142" s="6">
        <v>66.0</v>
      </c>
      <c r="E142" s="7" t="s">
        <v>7</v>
      </c>
      <c r="F142" s="7" t="s">
        <v>8</v>
      </c>
      <c r="G142" s="8"/>
    </row>
    <row r="143">
      <c r="A143" s="4">
        <v>43522.159470011575</v>
      </c>
      <c r="B143" s="5">
        <v>43522.4922718055</v>
      </c>
      <c r="C143" s="6">
        <v>1.082</v>
      </c>
      <c r="D143" s="6">
        <v>66.0</v>
      </c>
      <c r="E143" s="7" t="s">
        <v>7</v>
      </c>
      <c r="F143" s="7" t="s">
        <v>8</v>
      </c>
      <c r="G143" s="8"/>
    </row>
    <row r="144">
      <c r="A144" s="4">
        <v>43522.16966694444</v>
      </c>
      <c r="B144" s="5">
        <v>43522.5026918634</v>
      </c>
      <c r="C144" s="6">
        <v>1.082</v>
      </c>
      <c r="D144" s="6">
        <v>66.0</v>
      </c>
      <c r="E144" s="7" t="s">
        <v>7</v>
      </c>
      <c r="F144" s="7" t="s">
        <v>8</v>
      </c>
      <c r="G144" s="8"/>
    </row>
    <row r="145">
      <c r="A145" s="4">
        <v>43522.180093738425</v>
      </c>
      <c r="B145" s="5">
        <v>43522.5131133912</v>
      </c>
      <c r="C145" s="6">
        <v>1.082</v>
      </c>
      <c r="D145" s="6">
        <v>66.0</v>
      </c>
      <c r="E145" s="7" t="s">
        <v>7</v>
      </c>
      <c r="F145" s="7" t="s">
        <v>8</v>
      </c>
      <c r="G145" s="8"/>
    </row>
    <row r="146">
      <c r="A146" s="4">
        <v>43522.190327476856</v>
      </c>
      <c r="B146" s="5">
        <v>43522.5235353703</v>
      </c>
      <c r="C146" s="6">
        <v>1.082</v>
      </c>
      <c r="D146" s="6">
        <v>66.0</v>
      </c>
      <c r="E146" s="7" t="s">
        <v>7</v>
      </c>
      <c r="F146" s="7" t="s">
        <v>8</v>
      </c>
      <c r="G146" s="8"/>
    </row>
    <row r="147">
      <c r="A147" s="4">
        <v>43522.211347453704</v>
      </c>
      <c r="B147" s="5">
        <v>43522.5443779976</v>
      </c>
      <c r="C147" s="6">
        <v>1.082</v>
      </c>
      <c r="D147" s="6">
        <v>66.0</v>
      </c>
      <c r="E147" s="7" t="s">
        <v>7</v>
      </c>
      <c r="F147" s="7" t="s">
        <v>8</v>
      </c>
      <c r="G147" s="8"/>
    </row>
    <row r="148">
      <c r="A148" s="4">
        <v>43522.23249098379</v>
      </c>
      <c r="B148" s="5">
        <v>43522.5652206018</v>
      </c>
      <c r="C148" s="6">
        <v>1.082</v>
      </c>
      <c r="D148" s="6">
        <v>66.0</v>
      </c>
      <c r="E148" s="7" t="s">
        <v>7</v>
      </c>
      <c r="F148" s="7" t="s">
        <v>8</v>
      </c>
      <c r="G148" s="8"/>
    </row>
    <row r="149">
      <c r="A149" s="4">
        <v>43522.284129189815</v>
      </c>
      <c r="B149" s="5">
        <v>43522.6173384606</v>
      </c>
      <c r="C149" s="6">
        <v>1.081</v>
      </c>
      <c r="D149" s="6">
        <v>66.0</v>
      </c>
      <c r="E149" s="7" t="s">
        <v>7</v>
      </c>
      <c r="F149" s="7" t="s">
        <v>8</v>
      </c>
      <c r="G149" s="8"/>
    </row>
    <row r="150">
      <c r="A150" s="4">
        <v>43522.29453784722</v>
      </c>
      <c r="B150" s="5">
        <v>43522.6277587963</v>
      </c>
      <c r="C150" s="6">
        <v>1.081</v>
      </c>
      <c r="D150" s="6">
        <v>66.0</v>
      </c>
      <c r="E150" s="7" t="s">
        <v>7</v>
      </c>
      <c r="F150" s="7" t="s">
        <v>8</v>
      </c>
      <c r="G150" s="8"/>
    </row>
    <row r="151">
      <c r="A151" s="4">
        <v>43522.31540465278</v>
      </c>
      <c r="B151" s="5">
        <v>43522.648610949</v>
      </c>
      <c r="C151" s="6">
        <v>1.081</v>
      </c>
      <c r="D151" s="6">
        <v>66.0</v>
      </c>
      <c r="E151" s="7" t="s">
        <v>7</v>
      </c>
      <c r="F151" s="7" t="s">
        <v>8</v>
      </c>
      <c r="G151" s="8"/>
    </row>
    <row r="152">
      <c r="A152" s="4">
        <v>43522.326009780096</v>
      </c>
      <c r="B152" s="5">
        <v>43522.6590329861</v>
      </c>
      <c r="C152" s="6">
        <v>1.081</v>
      </c>
      <c r="D152" s="6">
        <v>66.0</v>
      </c>
      <c r="E152" s="7" t="s">
        <v>7</v>
      </c>
      <c r="F152" s="7" t="s">
        <v>8</v>
      </c>
      <c r="G152" s="8"/>
    </row>
    <row r="153">
      <c r="A153" s="4">
        <v>43522.336258634256</v>
      </c>
      <c r="B153" s="5">
        <v>43522.6694768865</v>
      </c>
      <c r="C153" s="6">
        <v>1.081</v>
      </c>
      <c r="D153" s="6">
        <v>66.0</v>
      </c>
      <c r="E153" s="7" t="s">
        <v>7</v>
      </c>
      <c r="F153" s="7" t="s">
        <v>8</v>
      </c>
      <c r="G153" s="8"/>
    </row>
    <row r="154">
      <c r="A154" s="4">
        <v>43522.346697500005</v>
      </c>
      <c r="B154" s="5">
        <v>43522.6798998495</v>
      </c>
      <c r="C154" s="6">
        <v>1.081</v>
      </c>
      <c r="D154" s="6">
        <v>66.0</v>
      </c>
      <c r="E154" s="7" t="s">
        <v>7</v>
      </c>
      <c r="F154" s="7" t="s">
        <v>8</v>
      </c>
      <c r="G154" s="8"/>
    </row>
    <row r="155">
      <c r="A155" s="4">
        <v>43522.35751145834</v>
      </c>
      <c r="B155" s="5">
        <v>43522.6903218749</v>
      </c>
      <c r="C155" s="6">
        <v>1.081</v>
      </c>
      <c r="D155" s="6">
        <v>66.0</v>
      </c>
      <c r="E155" s="7" t="s">
        <v>7</v>
      </c>
      <c r="F155" s="7" t="s">
        <v>8</v>
      </c>
      <c r="G155" s="8"/>
    </row>
    <row r="156">
      <c r="A156" s="4">
        <v>43522.377967106484</v>
      </c>
      <c r="B156" s="5">
        <v>43522.7111680902</v>
      </c>
      <c r="C156" s="6">
        <v>1.081</v>
      </c>
      <c r="D156" s="6">
        <v>66.0</v>
      </c>
      <c r="E156" s="7" t="s">
        <v>7</v>
      </c>
      <c r="F156" s="7" t="s">
        <v>8</v>
      </c>
      <c r="G156" s="8"/>
    </row>
    <row r="157">
      <c r="A157" s="4">
        <v>43522.409315937504</v>
      </c>
      <c r="B157" s="5">
        <v>43522.7424309606</v>
      </c>
      <c r="C157" s="6">
        <v>1.081</v>
      </c>
      <c r="D157" s="6">
        <v>66.0</v>
      </c>
      <c r="E157" s="7" t="s">
        <v>7</v>
      </c>
      <c r="F157" s="7" t="s">
        <v>8</v>
      </c>
      <c r="G157" s="8"/>
    </row>
    <row r="158">
      <c r="A158" s="4">
        <v>43522.41983050926</v>
      </c>
      <c r="B158" s="5">
        <v>43522.7528513541</v>
      </c>
      <c r="C158" s="6">
        <v>1.081</v>
      </c>
      <c r="D158" s="6">
        <v>66.0</v>
      </c>
      <c r="E158" s="7" t="s">
        <v>7</v>
      </c>
      <c r="F158" s="7" t="s">
        <v>8</v>
      </c>
      <c r="G158" s="8"/>
    </row>
    <row r="159">
      <c r="A159" s="4">
        <v>43522.47232076389</v>
      </c>
      <c r="B159" s="5">
        <v>43522.8049641898</v>
      </c>
      <c r="C159" s="6">
        <v>1.08</v>
      </c>
      <c r="D159" s="6">
        <v>66.0</v>
      </c>
      <c r="E159" s="7" t="s">
        <v>7</v>
      </c>
      <c r="F159" s="7" t="s">
        <v>8</v>
      </c>
      <c r="G159" s="8"/>
    </row>
    <row r="160">
      <c r="A160" s="4">
        <v>43522.49261693287</v>
      </c>
      <c r="B160" s="5">
        <v>43522.8258216666</v>
      </c>
      <c r="C160" s="6">
        <v>1.08</v>
      </c>
      <c r="D160" s="6">
        <v>66.0</v>
      </c>
      <c r="E160" s="7" t="s">
        <v>7</v>
      </c>
      <c r="F160" s="7" t="s">
        <v>8</v>
      </c>
      <c r="G160" s="8"/>
    </row>
    <row r="161">
      <c r="A161" s="4">
        <v>43522.5135696875</v>
      </c>
      <c r="B161" s="5">
        <v>43522.8466761689</v>
      </c>
      <c r="C161" s="6">
        <v>1.08</v>
      </c>
      <c r="D161" s="6">
        <v>66.0</v>
      </c>
      <c r="E161" s="7" t="s">
        <v>7</v>
      </c>
      <c r="F161" s="7" t="s">
        <v>8</v>
      </c>
      <c r="G161" s="8"/>
    </row>
    <row r="162">
      <c r="A162" s="4">
        <v>43522.52389534722</v>
      </c>
      <c r="B162" s="5">
        <v>43522.8570961921</v>
      </c>
      <c r="C162" s="6">
        <v>1.08</v>
      </c>
      <c r="D162" s="6">
        <v>66.0</v>
      </c>
      <c r="E162" s="7" t="s">
        <v>7</v>
      </c>
      <c r="F162" s="7" t="s">
        <v>8</v>
      </c>
      <c r="G162" s="8"/>
    </row>
    <row r="163">
      <c r="A163" s="4">
        <v>43522.53449689815</v>
      </c>
      <c r="B163" s="5">
        <v>43522.8675170254</v>
      </c>
      <c r="C163" s="6">
        <v>1.08</v>
      </c>
      <c r="D163" s="6">
        <v>66.0</v>
      </c>
      <c r="E163" s="7" t="s">
        <v>7</v>
      </c>
      <c r="F163" s="7" t="s">
        <v>8</v>
      </c>
      <c r="G163" s="8"/>
    </row>
    <row r="164">
      <c r="A164" s="4">
        <v>43522.545010243055</v>
      </c>
      <c r="B164" s="5">
        <v>43522.8779390162</v>
      </c>
      <c r="C164" s="6">
        <v>1.08</v>
      </c>
      <c r="D164" s="6">
        <v>66.0</v>
      </c>
      <c r="E164" s="7" t="s">
        <v>7</v>
      </c>
      <c r="F164" s="7" t="s">
        <v>8</v>
      </c>
      <c r="G164" s="8"/>
    </row>
    <row r="165">
      <c r="A165" s="4">
        <v>43522.56605868056</v>
      </c>
      <c r="B165" s="5">
        <v>43522.8987922685</v>
      </c>
      <c r="C165" s="6">
        <v>1.08</v>
      </c>
      <c r="D165" s="6">
        <v>66.0</v>
      </c>
      <c r="E165" s="7" t="s">
        <v>7</v>
      </c>
      <c r="F165" s="7" t="s">
        <v>8</v>
      </c>
      <c r="G165" s="8"/>
    </row>
    <row r="166">
      <c r="A166" s="4">
        <v>43522.576463854166</v>
      </c>
      <c r="B166" s="5">
        <v>43522.9092128703</v>
      </c>
      <c r="C166" s="6">
        <v>1.08</v>
      </c>
      <c r="D166" s="6">
        <v>66.0</v>
      </c>
      <c r="E166" s="7" t="s">
        <v>7</v>
      </c>
      <c r="F166" s="7" t="s">
        <v>8</v>
      </c>
      <c r="G166" s="8"/>
    </row>
    <row r="167">
      <c r="A167" s="4">
        <v>43522.607459363426</v>
      </c>
      <c r="B167" s="5">
        <v>43522.9404781944</v>
      </c>
      <c r="C167" s="6">
        <v>1.079</v>
      </c>
      <c r="D167" s="6">
        <v>66.0</v>
      </c>
      <c r="E167" s="7" t="s">
        <v>7</v>
      </c>
      <c r="F167" s="7" t="s">
        <v>8</v>
      </c>
      <c r="G167" s="8"/>
    </row>
    <row r="168">
      <c r="A168" s="4">
        <v>43522.638721967596</v>
      </c>
      <c r="B168" s="5">
        <v>43522.9717446759</v>
      </c>
      <c r="C168" s="6">
        <v>1.08</v>
      </c>
      <c r="D168" s="6">
        <v>66.0</v>
      </c>
      <c r="E168" s="7" t="s">
        <v>7</v>
      </c>
      <c r="F168" s="7" t="s">
        <v>8</v>
      </c>
      <c r="G168" s="8"/>
    </row>
    <row r="169">
      <c r="A169" s="4">
        <v>43522.670180497684</v>
      </c>
      <c r="B169" s="5">
        <v>43523.0030201967</v>
      </c>
      <c r="C169" s="6">
        <v>1.079</v>
      </c>
      <c r="D169" s="6">
        <v>66.0</v>
      </c>
      <c r="E169" s="7" t="s">
        <v>7</v>
      </c>
      <c r="F169" s="7" t="s">
        <v>8</v>
      </c>
      <c r="G169" s="8"/>
    </row>
    <row r="170">
      <c r="A170" s="4">
        <v>43522.680416469906</v>
      </c>
      <c r="B170" s="5">
        <v>43523.013440405</v>
      </c>
      <c r="C170" s="6">
        <v>1.079</v>
      </c>
      <c r="D170" s="6">
        <v>66.0</v>
      </c>
      <c r="E170" s="7" t="s">
        <v>7</v>
      </c>
      <c r="F170" s="7" t="s">
        <v>8</v>
      </c>
      <c r="G170" s="8"/>
    </row>
    <row r="171">
      <c r="A171" s="4">
        <v>43522.69065392361</v>
      </c>
      <c r="B171" s="5">
        <v>43523.0238603935</v>
      </c>
      <c r="C171" s="6">
        <v>1.079</v>
      </c>
      <c r="D171" s="6">
        <v>66.0</v>
      </c>
      <c r="E171" s="7" t="s">
        <v>7</v>
      </c>
      <c r="F171" s="7" t="s">
        <v>8</v>
      </c>
      <c r="G171" s="8"/>
    </row>
    <row r="172">
      <c r="A172" s="4">
        <v>43522.701672650466</v>
      </c>
      <c r="B172" s="5">
        <v>43523.0342929051</v>
      </c>
      <c r="C172" s="6">
        <v>1.079</v>
      </c>
      <c r="D172" s="6">
        <v>66.0</v>
      </c>
      <c r="E172" s="7" t="s">
        <v>7</v>
      </c>
      <c r="F172" s="7" t="s">
        <v>8</v>
      </c>
      <c r="G172" s="8"/>
    </row>
    <row r="173">
      <c r="A173" s="4">
        <v>43522.722205046295</v>
      </c>
      <c r="B173" s="5">
        <v>43523.0551338541</v>
      </c>
      <c r="C173" s="6">
        <v>1.079</v>
      </c>
      <c r="D173" s="6">
        <v>66.0</v>
      </c>
      <c r="E173" s="7" t="s">
        <v>7</v>
      </c>
      <c r="F173" s="7" t="s">
        <v>8</v>
      </c>
      <c r="G173" s="8"/>
    </row>
    <row r="174">
      <c r="A174" s="4">
        <v>43522.74295674769</v>
      </c>
      <c r="B174" s="5">
        <v>43523.0759760185</v>
      </c>
      <c r="C174" s="6">
        <v>1.079</v>
      </c>
      <c r="D174" s="6">
        <v>66.0</v>
      </c>
      <c r="E174" s="7" t="s">
        <v>7</v>
      </c>
      <c r="F174" s="7" t="s">
        <v>8</v>
      </c>
      <c r="G174" s="8"/>
    </row>
    <row r="175">
      <c r="A175" s="4">
        <v>43522.75337416667</v>
      </c>
      <c r="B175" s="5">
        <v>43523.0863984375</v>
      </c>
      <c r="C175" s="6">
        <v>1.079</v>
      </c>
      <c r="D175" s="6">
        <v>66.0</v>
      </c>
      <c r="E175" s="7" t="s">
        <v>7</v>
      </c>
      <c r="F175" s="7" t="s">
        <v>8</v>
      </c>
      <c r="G175" s="8"/>
    </row>
    <row r="176">
      <c r="A176" s="4">
        <v>43522.7640749537</v>
      </c>
      <c r="B176" s="5">
        <v>43523.0968193287</v>
      </c>
      <c r="C176" s="6">
        <v>1.079</v>
      </c>
      <c r="D176" s="6">
        <v>66.0</v>
      </c>
      <c r="E176" s="7" t="s">
        <v>7</v>
      </c>
      <c r="F176" s="7" t="s">
        <v>8</v>
      </c>
      <c r="G176" s="8"/>
    </row>
    <row r="177">
      <c r="A177" s="4">
        <v>43522.77420770834</v>
      </c>
      <c r="B177" s="5">
        <v>43523.1072415972</v>
      </c>
      <c r="C177" s="6">
        <v>1.079</v>
      </c>
      <c r="D177" s="6">
        <v>66.0</v>
      </c>
      <c r="E177" s="7" t="s">
        <v>7</v>
      </c>
      <c r="F177" s="7" t="s">
        <v>8</v>
      </c>
      <c r="G177" s="8"/>
    </row>
    <row r="178">
      <c r="A178" s="4">
        <v>43522.784446770835</v>
      </c>
      <c r="B178" s="5">
        <v>43523.1176638078</v>
      </c>
      <c r="C178" s="6">
        <v>1.079</v>
      </c>
      <c r="D178" s="6">
        <v>67.0</v>
      </c>
      <c r="E178" s="7" t="s">
        <v>7</v>
      </c>
      <c r="F178" s="7" t="s">
        <v>8</v>
      </c>
      <c r="G178" s="8"/>
    </row>
    <row r="179">
      <c r="A179" s="4">
        <v>43522.79487604166</v>
      </c>
      <c r="B179" s="5">
        <v>43523.1280844097</v>
      </c>
      <c r="C179" s="6">
        <v>1.078</v>
      </c>
      <c r="D179" s="6">
        <v>67.0</v>
      </c>
      <c r="E179" s="7" t="s">
        <v>7</v>
      </c>
      <c r="F179" s="7" t="s">
        <v>8</v>
      </c>
      <c r="G179" s="8"/>
    </row>
    <row r="180">
      <c r="A180" s="4">
        <v>43522.81571358796</v>
      </c>
      <c r="B180" s="5">
        <v>43523.1489270138</v>
      </c>
      <c r="C180" s="6">
        <v>1.078</v>
      </c>
      <c r="D180" s="6">
        <v>67.0</v>
      </c>
      <c r="E180" s="7" t="s">
        <v>7</v>
      </c>
      <c r="F180" s="7" t="s">
        <v>8</v>
      </c>
      <c r="G180" s="8"/>
    </row>
    <row r="181">
      <c r="A181" s="4">
        <v>43522.826235381945</v>
      </c>
      <c r="B181" s="5">
        <v>43523.1593489583</v>
      </c>
      <c r="C181" s="6">
        <v>1.078</v>
      </c>
      <c r="D181" s="6">
        <v>67.0</v>
      </c>
      <c r="E181" s="7" t="s">
        <v>7</v>
      </c>
      <c r="F181" s="7" t="s">
        <v>8</v>
      </c>
      <c r="G181" s="8"/>
    </row>
    <row r="182">
      <c r="A182" s="4">
        <v>43522.83684408564</v>
      </c>
      <c r="B182" s="5">
        <v>43523.1697706018</v>
      </c>
      <c r="C182" s="6">
        <v>1.079</v>
      </c>
      <c r="D182" s="6">
        <v>67.0</v>
      </c>
      <c r="E182" s="7" t="s">
        <v>7</v>
      </c>
      <c r="F182" s="7" t="s">
        <v>8</v>
      </c>
      <c r="G182" s="8"/>
    </row>
    <row r="183">
      <c r="A183" s="4">
        <v>43522.868022870374</v>
      </c>
      <c r="B183" s="5">
        <v>43523.2010460416</v>
      </c>
      <c r="C183" s="6">
        <v>1.078</v>
      </c>
      <c r="D183" s="6">
        <v>67.0</v>
      </c>
      <c r="E183" s="7" t="s">
        <v>7</v>
      </c>
      <c r="F183" s="7" t="s">
        <v>8</v>
      </c>
      <c r="G183" s="8"/>
    </row>
    <row r="184">
      <c r="A184" s="4">
        <v>43522.88869144676</v>
      </c>
      <c r="B184" s="5">
        <v>43523.2218899652</v>
      </c>
      <c r="C184" s="6">
        <v>1.078</v>
      </c>
      <c r="D184" s="6">
        <v>67.0</v>
      </c>
      <c r="E184" s="7" t="s">
        <v>7</v>
      </c>
      <c r="F184" s="7" t="s">
        <v>8</v>
      </c>
      <c r="G184" s="8"/>
    </row>
    <row r="185">
      <c r="A185" s="4">
        <v>43522.899104421296</v>
      </c>
      <c r="B185" s="5">
        <v>43523.23231125</v>
      </c>
      <c r="C185" s="6">
        <v>1.078</v>
      </c>
      <c r="D185" s="6">
        <v>67.0</v>
      </c>
      <c r="E185" s="7" t="s">
        <v>7</v>
      </c>
      <c r="F185" s="7" t="s">
        <v>8</v>
      </c>
      <c r="G185" s="8"/>
    </row>
    <row r="186">
      <c r="A186" s="4">
        <v>43522.90988511574</v>
      </c>
      <c r="B186" s="5">
        <v>43523.2427313078</v>
      </c>
      <c r="C186" s="6">
        <v>1.078</v>
      </c>
      <c r="D186" s="6">
        <v>67.0</v>
      </c>
      <c r="E186" s="7" t="s">
        <v>7</v>
      </c>
      <c r="F186" s="7" t="s">
        <v>8</v>
      </c>
      <c r="G186" s="8"/>
    </row>
    <row r="187">
      <c r="A187" s="4">
        <v>43522.93045914352</v>
      </c>
      <c r="B187" s="5">
        <v>43523.2635723842</v>
      </c>
      <c r="C187" s="6">
        <v>1.078</v>
      </c>
      <c r="D187" s="6">
        <v>67.0</v>
      </c>
      <c r="E187" s="7" t="s">
        <v>7</v>
      </c>
      <c r="F187" s="7" t="s">
        <v>8</v>
      </c>
      <c r="G187" s="8"/>
    </row>
    <row r="188">
      <c r="A188" s="4">
        <v>43522.96173905092</v>
      </c>
      <c r="B188" s="5">
        <v>43523.2948576504</v>
      </c>
      <c r="C188" s="6">
        <v>1.078</v>
      </c>
      <c r="D188" s="6">
        <v>67.0</v>
      </c>
      <c r="E188" s="7" t="s">
        <v>7</v>
      </c>
      <c r="F188" s="7" t="s">
        <v>8</v>
      </c>
      <c r="G188" s="8"/>
    </row>
    <row r="189">
      <c r="A189" s="4">
        <v>43522.972258587964</v>
      </c>
      <c r="B189" s="5">
        <v>43523.3052795138</v>
      </c>
      <c r="C189" s="6">
        <v>1.078</v>
      </c>
      <c r="D189" s="6">
        <v>67.0</v>
      </c>
      <c r="E189" s="7" t="s">
        <v>7</v>
      </c>
      <c r="F189" s="7" t="s">
        <v>8</v>
      </c>
      <c r="G189" s="8"/>
    </row>
    <row r="190">
      <c r="A190" s="4">
        <v>43522.982570266206</v>
      </c>
      <c r="B190" s="5">
        <v>43523.3157009722</v>
      </c>
      <c r="C190" s="6">
        <v>1.078</v>
      </c>
      <c r="D190" s="6">
        <v>67.0</v>
      </c>
      <c r="E190" s="7" t="s">
        <v>7</v>
      </c>
      <c r="F190" s="7" t="s">
        <v>8</v>
      </c>
      <c r="G190" s="8"/>
    </row>
    <row r="191">
      <c r="A191" s="4">
        <v>43523.014145821755</v>
      </c>
      <c r="B191" s="5">
        <v>43523.3469741203</v>
      </c>
      <c r="C191" s="6">
        <v>1.078</v>
      </c>
      <c r="D191" s="6">
        <v>66.0</v>
      </c>
      <c r="E191" s="7" t="s">
        <v>7</v>
      </c>
      <c r="F191" s="7" t="s">
        <v>8</v>
      </c>
      <c r="G191" s="8"/>
    </row>
    <row r="192">
      <c r="A192" s="4">
        <v>43523.02456721065</v>
      </c>
      <c r="B192" s="5">
        <v>43523.3573970601</v>
      </c>
      <c r="C192" s="6">
        <v>1.078</v>
      </c>
      <c r="D192" s="6">
        <v>66.0</v>
      </c>
      <c r="E192" s="7" t="s">
        <v>7</v>
      </c>
      <c r="F192" s="7" t="s">
        <v>8</v>
      </c>
      <c r="G192" s="8"/>
    </row>
    <row r="193">
      <c r="A193" s="4">
        <v>43523.03460738426</v>
      </c>
      <c r="B193" s="5">
        <v>43523.3678171643</v>
      </c>
      <c r="C193" s="6">
        <v>1.078</v>
      </c>
      <c r="D193" s="6">
        <v>66.0</v>
      </c>
      <c r="E193" s="7" t="s">
        <v>7</v>
      </c>
      <c r="F193" s="7" t="s">
        <v>8</v>
      </c>
      <c r="G193" s="8"/>
    </row>
    <row r="194">
      <c r="A194" s="4">
        <v>43523.045419016205</v>
      </c>
      <c r="B194" s="5">
        <v>43523.3782509606</v>
      </c>
      <c r="C194" s="6">
        <v>1.078</v>
      </c>
      <c r="D194" s="6">
        <v>66.0</v>
      </c>
      <c r="E194" s="7" t="s">
        <v>7</v>
      </c>
      <c r="F194" s="7" t="s">
        <v>8</v>
      </c>
      <c r="G194" s="8"/>
    </row>
    <row r="195">
      <c r="A195" s="4">
        <v>43523.05582461806</v>
      </c>
      <c r="B195" s="5">
        <v>43523.3886738773</v>
      </c>
      <c r="C195" s="6">
        <v>1.078</v>
      </c>
      <c r="D195" s="6">
        <v>66.0</v>
      </c>
      <c r="E195" s="7" t="s">
        <v>7</v>
      </c>
      <c r="F195" s="7" t="s">
        <v>8</v>
      </c>
      <c r="G195" s="8"/>
    </row>
    <row r="196">
      <c r="A196" s="4">
        <v>43523.0977315625</v>
      </c>
      <c r="B196" s="5">
        <v>43523.4303677777</v>
      </c>
      <c r="C196" s="6">
        <v>1.077</v>
      </c>
      <c r="D196" s="6">
        <v>66.0</v>
      </c>
      <c r="E196" s="7" t="s">
        <v>7</v>
      </c>
      <c r="F196" s="7" t="s">
        <v>8</v>
      </c>
      <c r="G196" s="8"/>
    </row>
    <row r="197">
      <c r="A197" s="4">
        <v>43523.139230162036</v>
      </c>
      <c r="B197" s="5">
        <v>43523.472062581</v>
      </c>
      <c r="C197" s="6">
        <v>1.077</v>
      </c>
      <c r="D197" s="6">
        <v>66.0</v>
      </c>
      <c r="E197" s="7" t="s">
        <v>7</v>
      </c>
      <c r="F197" s="7" t="s">
        <v>8</v>
      </c>
      <c r="G197" s="8"/>
    </row>
    <row r="198">
      <c r="A198" s="4">
        <v>43523.14956650463</v>
      </c>
      <c r="B198" s="5">
        <v>43523.4824951967</v>
      </c>
      <c r="C198" s="6">
        <v>1.077</v>
      </c>
      <c r="D198" s="6">
        <v>66.0</v>
      </c>
      <c r="E198" s="7" t="s">
        <v>7</v>
      </c>
      <c r="F198" s="7" t="s">
        <v>8</v>
      </c>
      <c r="G198" s="8"/>
    </row>
    <row r="199">
      <c r="A199" s="4">
        <v>43523.16008972222</v>
      </c>
      <c r="B199" s="5">
        <v>43523.4929182176</v>
      </c>
      <c r="C199" s="6">
        <v>1.077</v>
      </c>
      <c r="D199" s="6">
        <v>66.0</v>
      </c>
      <c r="E199" s="7" t="s">
        <v>7</v>
      </c>
      <c r="F199" s="7" t="s">
        <v>8</v>
      </c>
      <c r="G199" s="8"/>
    </row>
    <row r="200">
      <c r="A200" s="4">
        <v>43523.17022571759</v>
      </c>
      <c r="B200" s="5">
        <v>43523.5033390393</v>
      </c>
      <c r="C200" s="6">
        <v>1.077</v>
      </c>
      <c r="D200" s="6">
        <v>66.0</v>
      </c>
      <c r="E200" s="7" t="s">
        <v>7</v>
      </c>
      <c r="F200" s="7" t="s">
        <v>8</v>
      </c>
      <c r="G200" s="8"/>
    </row>
    <row r="201">
      <c r="A201" s="4">
        <v>43523.18084390047</v>
      </c>
      <c r="B201" s="5">
        <v>43523.5137591666</v>
      </c>
      <c r="C201" s="6">
        <v>1.077</v>
      </c>
      <c r="D201" s="6">
        <v>66.0</v>
      </c>
      <c r="E201" s="7" t="s">
        <v>7</v>
      </c>
      <c r="F201" s="7" t="s">
        <v>8</v>
      </c>
      <c r="G201" s="8"/>
    </row>
    <row r="202">
      <c r="A202" s="4">
        <v>43523.201503449076</v>
      </c>
      <c r="B202" s="5">
        <v>43523.5346019212</v>
      </c>
      <c r="C202" s="6">
        <v>1.077</v>
      </c>
      <c r="D202" s="6">
        <v>66.0</v>
      </c>
      <c r="E202" s="7" t="s">
        <v>7</v>
      </c>
      <c r="F202" s="7" t="s">
        <v>8</v>
      </c>
      <c r="G202" s="8"/>
    </row>
    <row r="203">
      <c r="A203" s="4">
        <v>43523.21196642361</v>
      </c>
      <c r="B203" s="5">
        <v>43523.545057905</v>
      </c>
      <c r="C203" s="6">
        <v>1.077</v>
      </c>
      <c r="D203" s="6">
        <v>66.0</v>
      </c>
      <c r="E203" s="7" t="s">
        <v>7</v>
      </c>
      <c r="F203" s="7" t="s">
        <v>8</v>
      </c>
      <c r="G203" s="8"/>
    </row>
    <row r="204">
      <c r="A204" s="4">
        <v>43523.22247288194</v>
      </c>
      <c r="B204" s="5">
        <v>43523.5554898958</v>
      </c>
      <c r="C204" s="6">
        <v>1.077</v>
      </c>
      <c r="D204" s="6">
        <v>66.0</v>
      </c>
      <c r="E204" s="7" t="s">
        <v>7</v>
      </c>
      <c r="F204" s="7" t="s">
        <v>8</v>
      </c>
      <c r="G204" s="8"/>
    </row>
    <row r="205">
      <c r="A205" s="4">
        <v>43523.2327084375</v>
      </c>
      <c r="B205" s="5">
        <v>43523.565923287</v>
      </c>
      <c r="C205" s="6">
        <v>1.076</v>
      </c>
      <c r="D205" s="6">
        <v>66.0</v>
      </c>
      <c r="E205" s="7" t="s">
        <v>7</v>
      </c>
      <c r="F205" s="7" t="s">
        <v>8</v>
      </c>
      <c r="G205" s="8"/>
    </row>
    <row r="206">
      <c r="A206" s="4">
        <v>43523.254162893514</v>
      </c>
      <c r="B206" s="5">
        <v>43523.586812824</v>
      </c>
      <c r="C206" s="6">
        <v>1.076</v>
      </c>
      <c r="D206" s="6">
        <v>66.0</v>
      </c>
      <c r="E206" s="7" t="s">
        <v>7</v>
      </c>
      <c r="F206" s="7" t="s">
        <v>8</v>
      </c>
      <c r="G206" s="8"/>
    </row>
    <row r="207">
      <c r="A207" s="4">
        <v>43523.264035949076</v>
      </c>
      <c r="B207" s="5">
        <v>43523.59724603</v>
      </c>
      <c r="C207" s="6">
        <v>1.076</v>
      </c>
      <c r="D207" s="6">
        <v>66.0</v>
      </c>
      <c r="E207" s="7" t="s">
        <v>7</v>
      </c>
      <c r="F207" s="7" t="s">
        <v>8</v>
      </c>
      <c r="G207" s="8"/>
    </row>
    <row r="208">
      <c r="A208" s="4">
        <v>43523.274658159724</v>
      </c>
      <c r="B208" s="5">
        <v>43523.6076666088</v>
      </c>
      <c r="C208" s="6">
        <v>1.076</v>
      </c>
      <c r="D208" s="6">
        <v>66.0</v>
      </c>
      <c r="E208" s="7" t="s">
        <v>7</v>
      </c>
      <c r="F208" s="7" t="s">
        <v>8</v>
      </c>
      <c r="G208" s="8"/>
    </row>
    <row r="209">
      <c r="A209" s="4">
        <v>43523.28508011574</v>
      </c>
      <c r="B209" s="5">
        <v>43523.6181001736</v>
      </c>
      <c r="C209" s="6">
        <v>1.076</v>
      </c>
      <c r="D209" s="6">
        <v>66.0</v>
      </c>
      <c r="E209" s="7" t="s">
        <v>7</v>
      </c>
      <c r="F209" s="7" t="s">
        <v>8</v>
      </c>
      <c r="G209" s="8"/>
    </row>
    <row r="210">
      <c r="A210" s="4">
        <v>43523.306114444444</v>
      </c>
      <c r="B210" s="5">
        <v>43523.6389451041</v>
      </c>
      <c r="C210" s="6">
        <v>1.076</v>
      </c>
      <c r="D210" s="6">
        <v>66.0</v>
      </c>
      <c r="E210" s="7" t="s">
        <v>7</v>
      </c>
      <c r="F210" s="7" t="s">
        <v>8</v>
      </c>
      <c r="G210" s="8"/>
    </row>
    <row r="211">
      <c r="A211" s="4">
        <v>43523.31615667824</v>
      </c>
      <c r="B211" s="5">
        <v>43523.6493670023</v>
      </c>
      <c r="C211" s="6">
        <v>1.076</v>
      </c>
      <c r="D211" s="6">
        <v>66.0</v>
      </c>
      <c r="E211" s="7" t="s">
        <v>7</v>
      </c>
      <c r="F211" s="7" t="s">
        <v>8</v>
      </c>
      <c r="G211" s="8"/>
    </row>
    <row r="212">
      <c r="A212" s="4">
        <v>43523.326590173616</v>
      </c>
      <c r="B212" s="5">
        <v>43523.6597889467</v>
      </c>
      <c r="C212" s="6">
        <v>1.076</v>
      </c>
      <c r="D212" s="6">
        <v>66.0</v>
      </c>
      <c r="E212" s="7" t="s">
        <v>7</v>
      </c>
      <c r="F212" s="7" t="s">
        <v>8</v>
      </c>
      <c r="G212" s="8"/>
    </row>
    <row r="213">
      <c r="A213" s="4">
        <v>43523.34780055555</v>
      </c>
      <c r="B213" s="5">
        <v>43523.6806302546</v>
      </c>
      <c r="C213" s="6">
        <v>1.076</v>
      </c>
      <c r="D213" s="6">
        <v>66.0</v>
      </c>
      <c r="E213" s="7" t="s">
        <v>7</v>
      </c>
      <c r="F213" s="7" t="s">
        <v>8</v>
      </c>
      <c r="G213" s="8"/>
    </row>
    <row r="214">
      <c r="A214" s="4">
        <v>43523.35793092592</v>
      </c>
      <c r="B214" s="5">
        <v>43523.6910537499</v>
      </c>
      <c r="C214" s="6">
        <v>1.076</v>
      </c>
      <c r="D214" s="6">
        <v>66.0</v>
      </c>
      <c r="E214" s="7" t="s">
        <v>7</v>
      </c>
      <c r="F214" s="7" t="s">
        <v>8</v>
      </c>
      <c r="G214" s="8"/>
    </row>
    <row r="215">
      <c r="A215" s="4">
        <v>43523.368732303235</v>
      </c>
      <c r="B215" s="5">
        <v>43523.7014759606</v>
      </c>
      <c r="C215" s="6">
        <v>1.076</v>
      </c>
      <c r="D215" s="6">
        <v>66.0</v>
      </c>
      <c r="E215" s="7" t="s">
        <v>7</v>
      </c>
      <c r="F215" s="7" t="s">
        <v>8</v>
      </c>
      <c r="G215" s="8"/>
    </row>
    <row r="216">
      <c r="A216" s="4">
        <v>43523.389612847226</v>
      </c>
      <c r="B216" s="5">
        <v>43523.7223453472</v>
      </c>
      <c r="C216" s="6">
        <v>1.076</v>
      </c>
      <c r="D216" s="6">
        <v>66.0</v>
      </c>
      <c r="E216" s="7" t="s">
        <v>7</v>
      </c>
      <c r="F216" s="7" t="s">
        <v>8</v>
      </c>
      <c r="G216" s="8"/>
    </row>
    <row r="217">
      <c r="A217" s="4">
        <v>43523.420609189816</v>
      </c>
      <c r="B217" s="5">
        <v>43523.7536192245</v>
      </c>
      <c r="C217" s="6">
        <v>1.076</v>
      </c>
      <c r="D217" s="6">
        <v>66.0</v>
      </c>
      <c r="E217" s="7" t="s">
        <v>7</v>
      </c>
      <c r="F217" s="7" t="s">
        <v>8</v>
      </c>
      <c r="G217" s="8"/>
    </row>
    <row r="218">
      <c r="A218" s="4">
        <v>43523.43101392361</v>
      </c>
      <c r="B218" s="5">
        <v>43523.7640380324</v>
      </c>
      <c r="C218" s="6">
        <v>1.075</v>
      </c>
      <c r="D218" s="6">
        <v>66.0</v>
      </c>
      <c r="E218" s="7" t="s">
        <v>7</v>
      </c>
      <c r="F218" s="7" t="s">
        <v>8</v>
      </c>
      <c r="G218" s="8"/>
    </row>
    <row r="219">
      <c r="A219" s="4">
        <v>43523.441254363424</v>
      </c>
      <c r="B219" s="5">
        <v>43523.7744604513</v>
      </c>
      <c r="C219" s="6">
        <v>1.075</v>
      </c>
      <c r="D219" s="6">
        <v>66.0</v>
      </c>
      <c r="E219" s="7" t="s">
        <v>7</v>
      </c>
      <c r="F219" s="7" t="s">
        <v>8</v>
      </c>
      <c r="G219" s="8"/>
    </row>
    <row r="220">
      <c r="A220" s="4">
        <v>43523.473074016205</v>
      </c>
      <c r="B220" s="5">
        <v>43523.8057679282</v>
      </c>
      <c r="C220" s="6">
        <v>1.076</v>
      </c>
      <c r="D220" s="6">
        <v>66.0</v>
      </c>
      <c r="E220" s="7" t="s">
        <v>7</v>
      </c>
      <c r="F220" s="7" t="s">
        <v>8</v>
      </c>
      <c r="G220" s="8"/>
    </row>
    <row r="221">
      <c r="A221" s="4">
        <v>43523.4829784375</v>
      </c>
      <c r="B221" s="5">
        <v>43523.8161896874</v>
      </c>
      <c r="C221" s="6">
        <v>1.075</v>
      </c>
      <c r="D221" s="6">
        <v>66.0</v>
      </c>
      <c r="E221" s="7" t="s">
        <v>7</v>
      </c>
      <c r="F221" s="7" t="s">
        <v>8</v>
      </c>
      <c r="G221" s="8"/>
    </row>
    <row r="222">
      <c r="A222" s="4">
        <v>43523.493591527775</v>
      </c>
      <c r="B222" s="5">
        <v>43523.8266113541</v>
      </c>
      <c r="C222" s="6">
        <v>1.075</v>
      </c>
      <c r="D222" s="6">
        <v>66.0</v>
      </c>
      <c r="E222" s="7" t="s">
        <v>7</v>
      </c>
      <c r="F222" s="7" t="s">
        <v>8</v>
      </c>
      <c r="G222" s="8"/>
    </row>
    <row r="223">
      <c r="A223" s="4">
        <v>43523.503918472226</v>
      </c>
      <c r="B223" s="5">
        <v>43523.8370323495</v>
      </c>
      <c r="C223" s="6">
        <v>1.075</v>
      </c>
      <c r="D223" s="6">
        <v>66.0</v>
      </c>
      <c r="E223" s="7" t="s">
        <v>7</v>
      </c>
      <c r="F223" s="7" t="s">
        <v>8</v>
      </c>
      <c r="G223" s="8"/>
    </row>
    <row r="224">
      <c r="A224" s="4">
        <v>43523.51467767361</v>
      </c>
      <c r="B224" s="5">
        <v>43523.8474532638</v>
      </c>
      <c r="C224" s="6">
        <v>1.075</v>
      </c>
      <c r="D224" s="6">
        <v>66.0</v>
      </c>
      <c r="E224" s="7" t="s">
        <v>7</v>
      </c>
      <c r="F224" s="7" t="s">
        <v>8</v>
      </c>
      <c r="G224" s="8"/>
    </row>
    <row r="225">
      <c r="A225" s="4">
        <v>43523.52514732639</v>
      </c>
      <c r="B225" s="5">
        <v>43523.8578749189</v>
      </c>
      <c r="C225" s="6">
        <v>1.075</v>
      </c>
      <c r="D225" s="6">
        <v>66.0</v>
      </c>
      <c r="E225" s="7" t="s">
        <v>7</v>
      </c>
      <c r="F225" s="7" t="s">
        <v>8</v>
      </c>
      <c r="G225" s="8"/>
    </row>
    <row r="226">
      <c r="A226" s="4">
        <v>43523.53528574074</v>
      </c>
      <c r="B226" s="5">
        <v>43523.8682978703</v>
      </c>
      <c r="C226" s="6">
        <v>1.075</v>
      </c>
      <c r="D226" s="6">
        <v>66.0</v>
      </c>
      <c r="E226" s="7" t="s">
        <v>7</v>
      </c>
      <c r="F226" s="7" t="s">
        <v>8</v>
      </c>
      <c r="G226" s="8"/>
    </row>
    <row r="227">
      <c r="A227" s="4">
        <v>43523.57706603009</v>
      </c>
      <c r="B227" s="5">
        <v>43523.9099956828</v>
      </c>
      <c r="C227" s="6">
        <v>1.075</v>
      </c>
      <c r="D227" s="6">
        <v>66.0</v>
      </c>
      <c r="E227" s="7" t="s">
        <v>7</v>
      </c>
      <c r="F227" s="7" t="s">
        <v>8</v>
      </c>
      <c r="G227" s="8"/>
    </row>
    <row r="228">
      <c r="A228" s="4">
        <v>43523.58749332176</v>
      </c>
      <c r="B228" s="5">
        <v>43523.920416956</v>
      </c>
      <c r="C228" s="6">
        <v>1.075</v>
      </c>
      <c r="D228" s="6">
        <v>66.0</v>
      </c>
      <c r="E228" s="7" t="s">
        <v>7</v>
      </c>
      <c r="F228" s="7" t="s">
        <v>8</v>
      </c>
      <c r="G228" s="8"/>
    </row>
    <row r="229">
      <c r="A229" s="4">
        <v>43523.597924120375</v>
      </c>
      <c r="B229" s="5">
        <v>43523.930850243</v>
      </c>
      <c r="C229" s="6">
        <v>1.075</v>
      </c>
      <c r="D229" s="6">
        <v>66.0</v>
      </c>
      <c r="E229" s="7" t="s">
        <v>7</v>
      </c>
      <c r="F229" s="7" t="s">
        <v>8</v>
      </c>
      <c r="G229" s="8"/>
    </row>
    <row r="230">
      <c r="A230" s="4">
        <v>43523.628997499996</v>
      </c>
      <c r="B230" s="5">
        <v>43523.9621119444</v>
      </c>
      <c r="C230" s="6">
        <v>1.075</v>
      </c>
      <c r="D230" s="6">
        <v>66.0</v>
      </c>
      <c r="E230" s="7" t="s">
        <v>7</v>
      </c>
      <c r="F230" s="7" t="s">
        <v>8</v>
      </c>
      <c r="G230" s="8"/>
    </row>
    <row r="231">
      <c r="A231" s="4">
        <v>43523.64984252315</v>
      </c>
      <c r="B231" s="5">
        <v>43523.9829568287</v>
      </c>
      <c r="C231" s="6">
        <v>1.075</v>
      </c>
      <c r="D231" s="6">
        <v>66.0</v>
      </c>
      <c r="E231" s="7" t="s">
        <v>7</v>
      </c>
      <c r="F231" s="7" t="s">
        <v>8</v>
      </c>
      <c r="G231" s="8"/>
    </row>
    <row r="232">
      <c r="A232" s="4">
        <v>43523.660534375</v>
      </c>
      <c r="B232" s="5">
        <v>43523.9933775347</v>
      </c>
      <c r="C232" s="6">
        <v>1.075</v>
      </c>
      <c r="D232" s="6">
        <v>66.0</v>
      </c>
      <c r="E232" s="7" t="s">
        <v>7</v>
      </c>
      <c r="F232" s="7" t="s">
        <v>8</v>
      </c>
      <c r="G232" s="8"/>
    </row>
    <row r="233">
      <c r="A233" s="4">
        <v>43523.67060304398</v>
      </c>
      <c r="B233" s="5">
        <v>43524.0038224652</v>
      </c>
      <c r="C233" s="6">
        <v>1.075</v>
      </c>
      <c r="D233" s="6">
        <v>66.0</v>
      </c>
      <c r="E233" s="7" t="s">
        <v>7</v>
      </c>
      <c r="F233" s="7" t="s">
        <v>8</v>
      </c>
      <c r="G233" s="8"/>
    </row>
    <row r="234">
      <c r="A234" s="4">
        <v>43523.681322476856</v>
      </c>
      <c r="B234" s="5">
        <v>43524.0142437962</v>
      </c>
      <c r="C234" s="6">
        <v>1.074</v>
      </c>
      <c r="D234" s="6">
        <v>66.0</v>
      </c>
      <c r="E234" s="7" t="s">
        <v>7</v>
      </c>
      <c r="F234" s="7" t="s">
        <v>8</v>
      </c>
      <c r="G234" s="8"/>
    </row>
    <row r="235">
      <c r="A235" s="4">
        <v>43523.70226983796</v>
      </c>
      <c r="B235" s="5">
        <v>43524.0350984722</v>
      </c>
      <c r="C235" s="6">
        <v>1.074</v>
      </c>
      <c r="D235" s="6">
        <v>66.0</v>
      </c>
      <c r="E235" s="7" t="s">
        <v>7</v>
      </c>
      <c r="F235" s="7" t="s">
        <v>8</v>
      </c>
      <c r="G235" s="8"/>
    </row>
    <row r="236">
      <c r="A236" s="4">
        <v>43523.71277104167</v>
      </c>
      <c r="B236" s="5">
        <v>43524.0455192476</v>
      </c>
      <c r="C236" s="6">
        <v>1.075</v>
      </c>
      <c r="D236" s="6">
        <v>66.0</v>
      </c>
      <c r="E236" s="7" t="s">
        <v>7</v>
      </c>
      <c r="F236" s="7" t="s">
        <v>8</v>
      </c>
      <c r="G236" s="8"/>
    </row>
    <row r="237">
      <c r="A237" s="4">
        <v>43523.78554480324</v>
      </c>
      <c r="B237" s="5">
        <v>43524.1184934953</v>
      </c>
      <c r="C237" s="6">
        <v>1.074</v>
      </c>
      <c r="D237" s="6">
        <v>66.0</v>
      </c>
      <c r="E237" s="7" t="s">
        <v>7</v>
      </c>
      <c r="F237" s="7" t="s">
        <v>8</v>
      </c>
      <c r="G237" s="8"/>
    </row>
    <row r="238">
      <c r="A238" s="4">
        <v>43523.80648114583</v>
      </c>
      <c r="B238" s="5">
        <v>43524.1393346643</v>
      </c>
      <c r="C238" s="6">
        <v>1.074</v>
      </c>
      <c r="D238" s="6">
        <v>66.0</v>
      </c>
      <c r="E238" s="7" t="s">
        <v>7</v>
      </c>
      <c r="F238" s="7" t="s">
        <v>8</v>
      </c>
      <c r="G238" s="8"/>
    </row>
    <row r="239">
      <c r="A239" s="4">
        <v>43523.816748530095</v>
      </c>
      <c r="B239" s="5">
        <v>43524.1497656712</v>
      </c>
      <c r="C239" s="6">
        <v>1.074</v>
      </c>
      <c r="D239" s="6">
        <v>66.0</v>
      </c>
      <c r="E239" s="7" t="s">
        <v>7</v>
      </c>
      <c r="F239" s="7" t="s">
        <v>8</v>
      </c>
      <c r="G239" s="8"/>
    </row>
    <row r="240">
      <c r="A240" s="4">
        <v>43523.82715483796</v>
      </c>
      <c r="B240" s="5">
        <v>43524.160187037</v>
      </c>
      <c r="C240" s="6">
        <v>1.074</v>
      </c>
      <c r="D240" s="6">
        <v>66.0</v>
      </c>
      <c r="E240" s="7" t="s">
        <v>7</v>
      </c>
      <c r="F240" s="7" t="s">
        <v>8</v>
      </c>
      <c r="G240" s="8"/>
    </row>
    <row r="241">
      <c r="A241" s="4">
        <v>43523.83739486111</v>
      </c>
      <c r="B241" s="5">
        <v>43524.1706084143</v>
      </c>
      <c r="C241" s="6">
        <v>1.074</v>
      </c>
      <c r="D241" s="6">
        <v>66.0</v>
      </c>
      <c r="E241" s="7" t="s">
        <v>7</v>
      </c>
      <c r="F241" s="7" t="s">
        <v>8</v>
      </c>
      <c r="G241" s="8"/>
    </row>
    <row r="242">
      <c r="A242" s="4">
        <v>43523.8483890625</v>
      </c>
      <c r="B242" s="5">
        <v>43524.1810290972</v>
      </c>
      <c r="C242" s="6">
        <v>1.074</v>
      </c>
      <c r="D242" s="6">
        <v>66.0</v>
      </c>
      <c r="E242" s="7" t="s">
        <v>7</v>
      </c>
      <c r="F242" s="7" t="s">
        <v>8</v>
      </c>
      <c r="G242" s="8"/>
    </row>
    <row r="243">
      <c r="A243" s="4">
        <v>43523.8587134375</v>
      </c>
      <c r="B243" s="5">
        <v>43524.1914510995</v>
      </c>
      <c r="C243" s="6">
        <v>1.074</v>
      </c>
      <c r="D243" s="6">
        <v>66.0</v>
      </c>
      <c r="E243" s="7" t="s">
        <v>7</v>
      </c>
      <c r="F243" s="7" t="s">
        <v>8</v>
      </c>
      <c r="G243" s="8"/>
    </row>
    <row r="244">
      <c r="A244" s="4">
        <v>43523.86895282408</v>
      </c>
      <c r="B244" s="5">
        <v>43524.2018846759</v>
      </c>
      <c r="C244" s="6">
        <v>1.074</v>
      </c>
      <c r="D244" s="6">
        <v>66.0</v>
      </c>
      <c r="E244" s="7" t="s">
        <v>7</v>
      </c>
      <c r="F244" s="7" t="s">
        <v>8</v>
      </c>
      <c r="G244" s="8"/>
    </row>
    <row r="245">
      <c r="A245" s="4">
        <v>43523.88953033565</v>
      </c>
      <c r="B245" s="5">
        <v>43524.2227373842</v>
      </c>
      <c r="C245" s="6">
        <v>1.074</v>
      </c>
      <c r="D245" s="6">
        <v>67.0</v>
      </c>
      <c r="E245" s="7" t="s">
        <v>7</v>
      </c>
      <c r="F245" s="7" t="s">
        <v>8</v>
      </c>
      <c r="G245" s="8"/>
    </row>
    <row r="246">
      <c r="A246" s="4">
        <v>43523.9003202662</v>
      </c>
      <c r="B246" s="5">
        <v>43524.2331585648</v>
      </c>
      <c r="C246" s="6">
        <v>1.073</v>
      </c>
      <c r="D246" s="6">
        <v>66.0</v>
      </c>
      <c r="E246" s="7" t="s">
        <v>7</v>
      </c>
      <c r="F246" s="7" t="s">
        <v>8</v>
      </c>
      <c r="G246" s="8"/>
    </row>
    <row r="247">
      <c r="A247" s="4">
        <v>43523.96295170139</v>
      </c>
      <c r="B247" s="5">
        <v>43524.29568728</v>
      </c>
      <c r="C247" s="6">
        <v>1.073</v>
      </c>
      <c r="D247" s="6">
        <v>66.0</v>
      </c>
      <c r="E247" s="7" t="s">
        <v>7</v>
      </c>
      <c r="F247" s="7" t="s">
        <v>8</v>
      </c>
      <c r="G247" s="8"/>
    </row>
    <row r="248">
      <c r="A248" s="4">
        <v>43523.97299369213</v>
      </c>
      <c r="B248" s="5">
        <v>43524.3061101504</v>
      </c>
      <c r="C248" s="6">
        <v>1.073</v>
      </c>
      <c r="D248" s="6">
        <v>66.0</v>
      </c>
      <c r="E248" s="7" t="s">
        <v>7</v>
      </c>
      <c r="F248" s="7" t="s">
        <v>8</v>
      </c>
      <c r="G248" s="8"/>
    </row>
    <row r="249">
      <c r="A249" s="4">
        <v>43524.00444554398</v>
      </c>
      <c r="B249" s="5">
        <v>43524.3373750115</v>
      </c>
      <c r="C249" s="6">
        <v>1.073</v>
      </c>
      <c r="D249" s="6">
        <v>66.0</v>
      </c>
      <c r="E249" s="7" t="s">
        <v>7</v>
      </c>
      <c r="F249" s="7" t="s">
        <v>8</v>
      </c>
      <c r="G249" s="8"/>
    </row>
    <row r="250">
      <c r="A250" s="4">
        <v>43524.01496003472</v>
      </c>
      <c r="B250" s="5">
        <v>43524.3477984027</v>
      </c>
      <c r="C250" s="6">
        <v>1.073</v>
      </c>
      <c r="D250" s="6">
        <v>66.0</v>
      </c>
      <c r="E250" s="7" t="s">
        <v>7</v>
      </c>
      <c r="F250" s="7" t="s">
        <v>8</v>
      </c>
      <c r="G250" s="8"/>
    </row>
    <row r="251">
      <c r="A251" s="4">
        <v>43524.03542487268</v>
      </c>
      <c r="B251" s="5">
        <v>43524.3686384722</v>
      </c>
      <c r="C251" s="6">
        <v>1.073</v>
      </c>
      <c r="D251" s="6">
        <v>66.0</v>
      </c>
      <c r="E251" s="7" t="s">
        <v>7</v>
      </c>
      <c r="F251" s="7" t="s">
        <v>8</v>
      </c>
      <c r="G251" s="8"/>
    </row>
    <row r="252">
      <c r="A252" s="4">
        <v>43524.0461130787</v>
      </c>
      <c r="B252" s="5">
        <v>43524.3790594907</v>
      </c>
      <c r="C252" s="6">
        <v>1.073</v>
      </c>
      <c r="D252" s="6">
        <v>66.0</v>
      </c>
      <c r="E252" s="7" t="s">
        <v>7</v>
      </c>
      <c r="F252" s="7" t="s">
        <v>8</v>
      </c>
      <c r="G252" s="8"/>
    </row>
    <row r="253">
      <c r="A253" s="4">
        <v>43524.05655753472</v>
      </c>
      <c r="B253" s="5">
        <v>43524.3894808333</v>
      </c>
      <c r="C253" s="6">
        <v>1.073</v>
      </c>
      <c r="D253" s="6">
        <v>66.0</v>
      </c>
      <c r="E253" s="7" t="s">
        <v>7</v>
      </c>
      <c r="F253" s="7" t="s">
        <v>8</v>
      </c>
      <c r="G253" s="8"/>
    </row>
    <row r="254">
      <c r="A254" s="4">
        <v>43524.14001479167</v>
      </c>
      <c r="B254" s="5">
        <v>43524.4728514814</v>
      </c>
      <c r="C254" s="6">
        <v>1.073</v>
      </c>
      <c r="D254" s="6">
        <v>66.0</v>
      </c>
      <c r="E254" s="7" t="s">
        <v>7</v>
      </c>
      <c r="F254" s="7" t="s">
        <v>8</v>
      </c>
      <c r="G254" s="8"/>
    </row>
    <row r="255">
      <c r="A255" s="4">
        <v>43524.15006295139</v>
      </c>
      <c r="B255" s="5">
        <v>43524.4832736458</v>
      </c>
      <c r="C255" s="6">
        <v>1.073</v>
      </c>
      <c r="D255" s="6">
        <v>66.0</v>
      </c>
      <c r="E255" s="7" t="s">
        <v>7</v>
      </c>
      <c r="F255" s="7" t="s">
        <v>8</v>
      </c>
      <c r="G255" s="8"/>
    </row>
    <row r="256">
      <c r="A256" s="4">
        <v>43524.16049394676</v>
      </c>
      <c r="B256" s="5">
        <v>43524.4936938888</v>
      </c>
      <c r="C256" s="6">
        <v>1.072</v>
      </c>
      <c r="D256" s="6">
        <v>66.0</v>
      </c>
      <c r="E256" s="7" t="s">
        <v>7</v>
      </c>
      <c r="F256" s="7" t="s">
        <v>8</v>
      </c>
      <c r="G256" s="8"/>
    </row>
    <row r="257">
      <c r="A257" s="4">
        <v>43524.18132394676</v>
      </c>
      <c r="B257" s="5">
        <v>43524.5145375</v>
      </c>
      <c r="C257" s="6">
        <v>1.073</v>
      </c>
      <c r="D257" s="6">
        <v>66.0</v>
      </c>
      <c r="E257" s="7" t="s">
        <v>7</v>
      </c>
      <c r="F257" s="7" t="s">
        <v>8</v>
      </c>
      <c r="G257" s="8"/>
    </row>
    <row r="258">
      <c r="A258" s="4">
        <v>43524.191749502315</v>
      </c>
      <c r="B258" s="5">
        <v>43524.5249588657</v>
      </c>
      <c r="C258" s="6">
        <v>1.073</v>
      </c>
      <c r="D258" s="6">
        <v>66.0</v>
      </c>
      <c r="E258" s="7" t="s">
        <v>7</v>
      </c>
      <c r="F258" s="7" t="s">
        <v>8</v>
      </c>
      <c r="G258" s="8"/>
    </row>
    <row r="259">
      <c r="A259" s="4">
        <v>43524.21268841435</v>
      </c>
      <c r="B259" s="5">
        <v>43524.5458014814</v>
      </c>
      <c r="C259" s="6">
        <v>1.073</v>
      </c>
      <c r="D259" s="6">
        <v>66.0</v>
      </c>
      <c r="E259" s="7" t="s">
        <v>7</v>
      </c>
      <c r="F259" s="7" t="s">
        <v>8</v>
      </c>
      <c r="G259" s="8"/>
    </row>
    <row r="260">
      <c r="A260" s="4">
        <v>43524.233524525465</v>
      </c>
      <c r="B260" s="5">
        <v>43524.5666441435</v>
      </c>
      <c r="C260" s="6">
        <v>1.073</v>
      </c>
      <c r="D260" s="6">
        <v>66.0</v>
      </c>
      <c r="E260" s="7" t="s">
        <v>7</v>
      </c>
      <c r="F260" s="7" t="s">
        <v>8</v>
      </c>
      <c r="G260" s="8"/>
    </row>
    <row r="261">
      <c r="A261" s="4">
        <v>43524.243846412035</v>
      </c>
      <c r="B261" s="5">
        <v>43524.5770647222</v>
      </c>
      <c r="C261" s="6">
        <v>1.072</v>
      </c>
      <c r="D261" s="6">
        <v>66.0</v>
      </c>
      <c r="E261" s="7" t="s">
        <v>7</v>
      </c>
      <c r="F261" s="7" t="s">
        <v>8</v>
      </c>
      <c r="G261" s="8"/>
    </row>
    <row r="262">
      <c r="A262" s="4">
        <v>43524.286130740744</v>
      </c>
      <c r="B262" s="5">
        <v>43524.6187746412</v>
      </c>
      <c r="C262" s="6">
        <v>1.072</v>
      </c>
      <c r="D262" s="6">
        <v>66.0</v>
      </c>
      <c r="E262" s="7" t="s">
        <v>7</v>
      </c>
      <c r="F262" s="7" t="s">
        <v>8</v>
      </c>
      <c r="G262" s="8"/>
    </row>
    <row r="263">
      <c r="A263" s="4">
        <v>43524.29597697916</v>
      </c>
      <c r="B263" s="5">
        <v>43524.6291969328</v>
      </c>
      <c r="C263" s="6">
        <v>1.072</v>
      </c>
      <c r="D263" s="6">
        <v>66.0</v>
      </c>
      <c r="E263" s="7" t="s">
        <v>7</v>
      </c>
      <c r="F263" s="7" t="s">
        <v>8</v>
      </c>
      <c r="G263" s="8"/>
    </row>
    <row r="264">
      <c r="A264" s="4">
        <v>43524.31683438657</v>
      </c>
      <c r="B264" s="5">
        <v>43524.6500492013</v>
      </c>
      <c r="C264" s="6">
        <v>1.072</v>
      </c>
      <c r="D264" s="6">
        <v>66.0</v>
      </c>
      <c r="E264" s="7" t="s">
        <v>7</v>
      </c>
      <c r="F264" s="7" t="s">
        <v>8</v>
      </c>
      <c r="G264" s="8"/>
    </row>
    <row r="265">
      <c r="A265" s="4">
        <v>43524.32764177083</v>
      </c>
      <c r="B265" s="5">
        <v>43524.6604724189</v>
      </c>
      <c r="C265" s="6">
        <v>1.072</v>
      </c>
      <c r="D265" s="6">
        <v>66.0</v>
      </c>
      <c r="E265" s="7" t="s">
        <v>7</v>
      </c>
      <c r="F265" s="7" t="s">
        <v>8</v>
      </c>
      <c r="G265" s="8"/>
    </row>
    <row r="266">
      <c r="A266" s="4">
        <v>43524.34837925926</v>
      </c>
      <c r="B266" s="5">
        <v>43524.6813164467</v>
      </c>
      <c r="C266" s="6">
        <v>1.072</v>
      </c>
      <c r="D266" s="6">
        <v>66.0</v>
      </c>
      <c r="E266" s="7" t="s">
        <v>7</v>
      </c>
      <c r="F266" s="7" t="s">
        <v>8</v>
      </c>
      <c r="G266" s="8"/>
    </row>
    <row r="267">
      <c r="A267" s="4">
        <v>43524.3588106713</v>
      </c>
      <c r="B267" s="5">
        <v>43524.691737743</v>
      </c>
      <c r="C267" s="6">
        <v>1.072</v>
      </c>
      <c r="D267" s="6">
        <v>66.0</v>
      </c>
      <c r="E267" s="7" t="s">
        <v>7</v>
      </c>
      <c r="F267" s="7" t="s">
        <v>8</v>
      </c>
      <c r="G267" s="8"/>
    </row>
    <row r="268">
      <c r="A268" s="4">
        <v>43524.36895002315</v>
      </c>
      <c r="B268" s="5">
        <v>43524.702160081</v>
      </c>
      <c r="C268" s="6">
        <v>1.072</v>
      </c>
      <c r="D268" s="6">
        <v>66.0</v>
      </c>
      <c r="E268" s="7" t="s">
        <v>7</v>
      </c>
      <c r="F268" s="7" t="s">
        <v>8</v>
      </c>
      <c r="G268" s="8"/>
    </row>
    <row r="269">
      <c r="A269" s="4">
        <v>43524.379477152776</v>
      </c>
      <c r="B269" s="5">
        <v>43524.7125809143</v>
      </c>
      <c r="C269" s="6">
        <v>1.072</v>
      </c>
      <c r="D269" s="6">
        <v>66.0</v>
      </c>
      <c r="E269" s="7" t="s">
        <v>7</v>
      </c>
      <c r="F269" s="7" t="s">
        <v>8</v>
      </c>
      <c r="G269" s="8"/>
    </row>
    <row r="270">
      <c r="A270" s="4">
        <v>43524.41074649306</v>
      </c>
      <c r="B270" s="5">
        <v>43524.7438572338</v>
      </c>
      <c r="C270" s="6">
        <v>1.072</v>
      </c>
      <c r="D270" s="6">
        <v>66.0</v>
      </c>
      <c r="E270" s="7" t="s">
        <v>7</v>
      </c>
      <c r="F270" s="7" t="s">
        <v>8</v>
      </c>
      <c r="G270" s="8"/>
    </row>
    <row r="271">
      <c r="A271" s="4">
        <v>43524.442284108794</v>
      </c>
      <c r="B271" s="5">
        <v>43524.7751283912</v>
      </c>
      <c r="C271" s="6">
        <v>1.072</v>
      </c>
      <c r="D271" s="6">
        <v>66.0</v>
      </c>
      <c r="E271" s="7" t="s">
        <v>7</v>
      </c>
      <c r="F271" s="7" t="s">
        <v>8</v>
      </c>
      <c r="G271" s="8"/>
    </row>
    <row r="272">
      <c r="A272" s="4">
        <v>43524.45234193287</v>
      </c>
      <c r="B272" s="5">
        <v>43524.7855473495</v>
      </c>
      <c r="C272" s="6">
        <v>1.072</v>
      </c>
      <c r="D272" s="6">
        <v>66.0</v>
      </c>
      <c r="E272" s="7" t="s">
        <v>7</v>
      </c>
      <c r="F272" s="7" t="s">
        <v>8</v>
      </c>
      <c r="G272" s="8"/>
    </row>
    <row r="273">
      <c r="A273" s="4">
        <v>43524.46303035879</v>
      </c>
      <c r="B273" s="5">
        <v>43524.7959669675</v>
      </c>
      <c r="C273" s="6">
        <v>1.072</v>
      </c>
      <c r="D273" s="6">
        <v>66.0</v>
      </c>
      <c r="E273" s="7" t="s">
        <v>7</v>
      </c>
      <c r="F273" s="7" t="s">
        <v>8</v>
      </c>
      <c r="G273" s="8"/>
    </row>
    <row r="274">
      <c r="A274" s="4">
        <v>43524.47317133102</v>
      </c>
      <c r="B274" s="5">
        <v>43524.8063895138</v>
      </c>
      <c r="C274" s="6">
        <v>1.072</v>
      </c>
      <c r="D274" s="6">
        <v>66.0</v>
      </c>
      <c r="E274" s="7" t="s">
        <v>7</v>
      </c>
      <c r="F274" s="7" t="s">
        <v>8</v>
      </c>
      <c r="G274" s="8"/>
    </row>
    <row r="275">
      <c r="A275" s="4">
        <v>43524.49411925926</v>
      </c>
      <c r="B275" s="5">
        <v>43524.8272320486</v>
      </c>
      <c r="C275" s="6">
        <v>1.071</v>
      </c>
      <c r="D275" s="6">
        <v>66.0</v>
      </c>
      <c r="E275" s="7" t="s">
        <v>7</v>
      </c>
      <c r="F275" s="7" t="s">
        <v>8</v>
      </c>
      <c r="G275" s="8"/>
    </row>
    <row r="276">
      <c r="A276" s="4">
        <v>43524.525686458335</v>
      </c>
      <c r="B276" s="5">
        <v>43524.8585198611</v>
      </c>
      <c r="C276" s="6">
        <v>1.071</v>
      </c>
      <c r="D276" s="6">
        <v>65.0</v>
      </c>
      <c r="E276" s="7" t="s">
        <v>7</v>
      </c>
      <c r="F276" s="7" t="s">
        <v>8</v>
      </c>
      <c r="G276" s="8"/>
    </row>
    <row r="277">
      <c r="A277" s="4">
        <v>43524.55675719907</v>
      </c>
      <c r="B277" s="5">
        <v>43524.8897869212</v>
      </c>
      <c r="C277" s="6">
        <v>1.072</v>
      </c>
      <c r="D277" s="6">
        <v>66.0</v>
      </c>
      <c r="E277" s="7" t="s">
        <v>7</v>
      </c>
      <c r="F277" s="7" t="s">
        <v>8</v>
      </c>
      <c r="G277" s="8"/>
    </row>
    <row r="278">
      <c r="A278" s="4">
        <v>43524.57780079861</v>
      </c>
      <c r="B278" s="5">
        <v>43524.9106431944</v>
      </c>
      <c r="C278" s="6">
        <v>1.071</v>
      </c>
      <c r="D278" s="6">
        <v>66.0</v>
      </c>
      <c r="E278" s="7" t="s">
        <v>7</v>
      </c>
      <c r="F278" s="7" t="s">
        <v>8</v>
      </c>
      <c r="G278" s="8"/>
    </row>
    <row r="279">
      <c r="A279" s="4">
        <v>43524.598834641205</v>
      </c>
      <c r="B279" s="5">
        <v>43524.931486574</v>
      </c>
      <c r="C279" s="6">
        <v>1.071</v>
      </c>
      <c r="D279" s="6">
        <v>66.0</v>
      </c>
      <c r="E279" s="7" t="s">
        <v>7</v>
      </c>
      <c r="F279" s="7" t="s">
        <v>8</v>
      </c>
      <c r="G279" s="8"/>
    </row>
    <row r="280">
      <c r="A280" s="4">
        <v>43524.60914082176</v>
      </c>
      <c r="B280" s="5">
        <v>43524.9419065509</v>
      </c>
      <c r="C280" s="6">
        <v>1.071</v>
      </c>
      <c r="D280" s="6">
        <v>66.0</v>
      </c>
      <c r="E280" s="7" t="s">
        <v>7</v>
      </c>
      <c r="F280" s="7" t="s">
        <v>8</v>
      </c>
      <c r="G280" s="8"/>
    </row>
    <row r="281">
      <c r="A281" s="4">
        <v>43524.62997214121</v>
      </c>
      <c r="B281" s="5">
        <v>43524.9627475115</v>
      </c>
      <c r="C281" s="6">
        <v>1.071</v>
      </c>
      <c r="D281" s="6">
        <v>66.0</v>
      </c>
      <c r="E281" s="7" t="s">
        <v>7</v>
      </c>
      <c r="F281" s="7" t="s">
        <v>8</v>
      </c>
      <c r="G281" s="8"/>
    </row>
    <row r="282">
      <c r="A282" s="4">
        <v>43524.63995748843</v>
      </c>
      <c r="B282" s="5">
        <v>43524.9731700694</v>
      </c>
      <c r="C282" s="6">
        <v>1.071</v>
      </c>
      <c r="D282" s="6">
        <v>66.0</v>
      </c>
      <c r="E282" s="7" t="s">
        <v>7</v>
      </c>
      <c r="F282" s="7" t="s">
        <v>8</v>
      </c>
      <c r="G282" s="8"/>
    </row>
    <row r="283">
      <c r="A283" s="4">
        <v>43524.650482129626</v>
      </c>
      <c r="B283" s="5">
        <v>43524.9836042476</v>
      </c>
      <c r="C283" s="6">
        <v>1.071</v>
      </c>
      <c r="D283" s="6">
        <v>66.0</v>
      </c>
      <c r="E283" s="7" t="s">
        <v>7</v>
      </c>
      <c r="F283" s="7" t="s">
        <v>8</v>
      </c>
      <c r="G283" s="8"/>
    </row>
    <row r="284">
      <c r="A284" s="4">
        <v>43524.67160998842</v>
      </c>
      <c r="B284" s="5">
        <v>43525.0044578124</v>
      </c>
      <c r="C284" s="6">
        <v>1.071</v>
      </c>
      <c r="D284" s="6">
        <v>66.0</v>
      </c>
      <c r="E284" s="7" t="s">
        <v>7</v>
      </c>
      <c r="F284" s="7" t="s">
        <v>8</v>
      </c>
      <c r="G284" s="8"/>
    </row>
    <row r="285">
      <c r="A285" s="4">
        <v>43524.681943240736</v>
      </c>
      <c r="B285" s="5">
        <v>43525.0148788541</v>
      </c>
      <c r="C285" s="6">
        <v>1.071</v>
      </c>
      <c r="D285" s="6">
        <v>66.0</v>
      </c>
      <c r="E285" s="7" t="s">
        <v>7</v>
      </c>
      <c r="F285" s="7" t="s">
        <v>8</v>
      </c>
      <c r="G285" s="8"/>
    </row>
    <row r="286">
      <c r="A286" s="4">
        <v>43524.71321479167</v>
      </c>
      <c r="B286" s="5">
        <v>43525.0461436342</v>
      </c>
      <c r="C286" s="6">
        <v>1.071</v>
      </c>
      <c r="D286" s="6">
        <v>66.0</v>
      </c>
      <c r="E286" s="7" t="s">
        <v>7</v>
      </c>
      <c r="F286" s="7" t="s">
        <v>8</v>
      </c>
      <c r="G286" s="8"/>
    </row>
    <row r="287">
      <c r="A287" s="4">
        <v>43524.72345668981</v>
      </c>
      <c r="B287" s="5">
        <v>43525.0565647801</v>
      </c>
      <c r="C287" s="6">
        <v>1.071</v>
      </c>
      <c r="D287" s="6">
        <v>66.0</v>
      </c>
      <c r="E287" s="7" t="s">
        <v>7</v>
      </c>
      <c r="F287" s="7" t="s">
        <v>8</v>
      </c>
      <c r="G287" s="8"/>
    </row>
    <row r="288">
      <c r="A288" s="4">
        <v>43524.73412984954</v>
      </c>
      <c r="B288" s="5">
        <v>43525.0669857638</v>
      </c>
      <c r="C288" s="6">
        <v>1.071</v>
      </c>
      <c r="D288" s="6">
        <v>66.0</v>
      </c>
      <c r="E288" s="7" t="s">
        <v>7</v>
      </c>
      <c r="F288" s="7" t="s">
        <v>8</v>
      </c>
      <c r="G288" s="8"/>
    </row>
    <row r="289">
      <c r="A289" s="4">
        <v>43524.74457056713</v>
      </c>
      <c r="B289" s="5">
        <v>43525.0774067824</v>
      </c>
      <c r="C289" s="6">
        <v>1.071</v>
      </c>
      <c r="D289" s="6">
        <v>66.0</v>
      </c>
      <c r="E289" s="7" t="s">
        <v>7</v>
      </c>
      <c r="F289" s="7" t="s">
        <v>8</v>
      </c>
      <c r="G289" s="8"/>
    </row>
    <row r="290">
      <c r="A290" s="4">
        <v>43524.75470990741</v>
      </c>
      <c r="B290" s="5">
        <v>43525.0878251967</v>
      </c>
      <c r="C290" s="6">
        <v>1.071</v>
      </c>
      <c r="D290" s="6">
        <v>66.0</v>
      </c>
      <c r="E290" s="7" t="s">
        <v>7</v>
      </c>
      <c r="F290" s="7" t="s">
        <v>8</v>
      </c>
      <c r="G290" s="8"/>
    </row>
    <row r="291">
      <c r="A291" s="4">
        <v>43524.765312118056</v>
      </c>
      <c r="B291" s="5">
        <v>43525.098248368</v>
      </c>
      <c r="C291" s="6">
        <v>1.07</v>
      </c>
      <c r="D291" s="6">
        <v>66.0</v>
      </c>
      <c r="E291" s="7" t="s">
        <v>7</v>
      </c>
      <c r="F291" s="7" t="s">
        <v>8</v>
      </c>
      <c r="G291" s="8"/>
    </row>
    <row r="292">
      <c r="A292" s="4">
        <v>43524.77605107639</v>
      </c>
      <c r="B292" s="5">
        <v>43525.1087028587</v>
      </c>
      <c r="C292" s="6">
        <v>1.07</v>
      </c>
      <c r="D292" s="6">
        <v>66.0</v>
      </c>
      <c r="E292" s="7" t="s">
        <v>7</v>
      </c>
      <c r="F292" s="7" t="s">
        <v>8</v>
      </c>
      <c r="G292" s="8"/>
    </row>
    <row r="293">
      <c r="A293" s="4">
        <v>43524.78596877315</v>
      </c>
      <c r="B293" s="5">
        <v>43525.1191239814</v>
      </c>
      <c r="C293" s="6">
        <v>1.07</v>
      </c>
      <c r="D293" s="6">
        <v>66.0</v>
      </c>
      <c r="E293" s="7" t="s">
        <v>7</v>
      </c>
      <c r="F293" s="7" t="s">
        <v>8</v>
      </c>
      <c r="G293" s="8"/>
    </row>
    <row r="294">
      <c r="A294" s="4">
        <v>43524.817208148146</v>
      </c>
      <c r="B294" s="5">
        <v>43525.1504141551</v>
      </c>
      <c r="C294" s="6">
        <v>1.07</v>
      </c>
      <c r="D294" s="6">
        <v>66.0</v>
      </c>
      <c r="E294" s="7" t="s">
        <v>7</v>
      </c>
      <c r="F294" s="7" t="s">
        <v>8</v>
      </c>
      <c r="G294" s="8"/>
    </row>
    <row r="295">
      <c r="A295" s="4">
        <v>43524.82818991898</v>
      </c>
      <c r="B295" s="5">
        <v>43525.1608368518</v>
      </c>
      <c r="C295" s="6">
        <v>1.07</v>
      </c>
      <c r="D295" s="6">
        <v>66.0</v>
      </c>
      <c r="E295" s="7" t="s">
        <v>7</v>
      </c>
      <c r="F295" s="7" t="s">
        <v>8</v>
      </c>
      <c r="G295" s="8"/>
    </row>
    <row r="296">
      <c r="A296" s="4">
        <v>43524.849044305556</v>
      </c>
      <c r="B296" s="5">
        <v>43525.1816898495</v>
      </c>
      <c r="C296" s="6">
        <v>1.07</v>
      </c>
      <c r="D296" s="6">
        <v>66.0</v>
      </c>
      <c r="E296" s="7" t="s">
        <v>7</v>
      </c>
      <c r="F296" s="7" t="s">
        <v>8</v>
      </c>
      <c r="G296" s="8"/>
    </row>
    <row r="297">
      <c r="A297" s="4">
        <v>43524.85946003472</v>
      </c>
      <c r="B297" s="5">
        <v>43525.1921223611</v>
      </c>
      <c r="C297" s="6">
        <v>1.07</v>
      </c>
      <c r="D297" s="6">
        <v>66.0</v>
      </c>
      <c r="E297" s="7" t="s">
        <v>7</v>
      </c>
      <c r="F297" s="7" t="s">
        <v>8</v>
      </c>
      <c r="G297" s="8"/>
    </row>
    <row r="298">
      <c r="A298" s="4">
        <v>43524.86951711806</v>
      </c>
      <c r="B298" s="5">
        <v>43525.2025436574</v>
      </c>
      <c r="C298" s="6">
        <v>1.07</v>
      </c>
      <c r="D298" s="6">
        <v>66.0</v>
      </c>
      <c r="E298" s="7" t="s">
        <v>7</v>
      </c>
      <c r="F298" s="7" t="s">
        <v>8</v>
      </c>
      <c r="G298" s="8"/>
    </row>
    <row r="299">
      <c r="A299" s="4">
        <v>43524.87990122685</v>
      </c>
      <c r="B299" s="5">
        <v>43525.2129658333</v>
      </c>
      <c r="C299" s="6">
        <v>1.07</v>
      </c>
      <c r="D299" s="6">
        <v>67.0</v>
      </c>
      <c r="E299" s="7" t="s">
        <v>7</v>
      </c>
      <c r="F299" s="7" t="s">
        <v>8</v>
      </c>
      <c r="G299" s="8"/>
    </row>
    <row r="300">
      <c r="A300" s="4">
        <v>43524.89055125</v>
      </c>
      <c r="B300" s="5">
        <v>43525.2233871412</v>
      </c>
      <c r="C300" s="6">
        <v>1.07</v>
      </c>
      <c r="D300" s="6">
        <v>67.0</v>
      </c>
      <c r="E300" s="7" t="s">
        <v>7</v>
      </c>
      <c r="F300" s="7" t="s">
        <v>8</v>
      </c>
      <c r="G300" s="8"/>
    </row>
    <row r="301">
      <c r="A301" s="4">
        <v>43524.90070475695</v>
      </c>
      <c r="B301" s="5">
        <v>43525.2338113425</v>
      </c>
      <c r="C301" s="6">
        <v>1.07</v>
      </c>
      <c r="D301" s="6">
        <v>67.0</v>
      </c>
      <c r="E301" s="7" t="s">
        <v>7</v>
      </c>
      <c r="F301" s="7" t="s">
        <v>8</v>
      </c>
      <c r="G301" s="8"/>
    </row>
    <row r="302">
      <c r="A302" s="4">
        <v>43524.91122126157</v>
      </c>
      <c r="B302" s="5">
        <v>43525.2442333333</v>
      </c>
      <c r="C302" s="6">
        <v>1.07</v>
      </c>
      <c r="D302" s="6">
        <v>66.0</v>
      </c>
      <c r="E302" s="7" t="s">
        <v>7</v>
      </c>
      <c r="F302" s="7" t="s">
        <v>8</v>
      </c>
      <c r="G302" s="8"/>
    </row>
    <row r="303">
      <c r="A303" s="4">
        <v>43524.92191961806</v>
      </c>
      <c r="B303" s="5">
        <v>43525.2546651736</v>
      </c>
      <c r="C303" s="6">
        <v>1.07</v>
      </c>
      <c r="D303" s="6">
        <v>67.0</v>
      </c>
      <c r="E303" s="7" t="s">
        <v>7</v>
      </c>
      <c r="F303" s="7" t="s">
        <v>8</v>
      </c>
      <c r="G303" s="8"/>
    </row>
    <row r="304">
      <c r="A304" s="4">
        <v>43524.931972743056</v>
      </c>
      <c r="B304" s="5">
        <v>43525.265085787</v>
      </c>
      <c r="C304" s="6">
        <v>1.07</v>
      </c>
      <c r="D304" s="6">
        <v>67.0</v>
      </c>
      <c r="E304" s="7" t="s">
        <v>7</v>
      </c>
      <c r="F304" s="7" t="s">
        <v>8</v>
      </c>
      <c r="G304" s="8"/>
    </row>
    <row r="305">
      <c r="A305" s="4">
        <v>43524.94247700232</v>
      </c>
      <c r="B305" s="5">
        <v>43525.2755080092</v>
      </c>
      <c r="C305" s="6">
        <v>1.07</v>
      </c>
      <c r="D305" s="6">
        <v>66.0</v>
      </c>
      <c r="E305" s="7" t="s">
        <v>7</v>
      </c>
      <c r="F305" s="7" t="s">
        <v>8</v>
      </c>
      <c r="G305" s="8"/>
    </row>
    <row r="306">
      <c r="A306" s="4">
        <v>43524.95291289352</v>
      </c>
      <c r="B306" s="5">
        <v>43525.2859313773</v>
      </c>
      <c r="C306" s="6">
        <v>1.07</v>
      </c>
      <c r="D306" s="6">
        <v>66.0</v>
      </c>
      <c r="E306" s="7" t="s">
        <v>7</v>
      </c>
      <c r="F306" s="7" t="s">
        <v>8</v>
      </c>
      <c r="G306" s="8"/>
    </row>
    <row r="307">
      <c r="A307" s="4">
        <v>43524.963343553245</v>
      </c>
      <c r="B307" s="5">
        <v>43525.296363993</v>
      </c>
      <c r="C307" s="6">
        <v>1.07</v>
      </c>
      <c r="D307" s="6">
        <v>66.0</v>
      </c>
      <c r="E307" s="7" t="s">
        <v>7</v>
      </c>
      <c r="F307" s="7" t="s">
        <v>8</v>
      </c>
      <c r="G307" s="8"/>
    </row>
    <row r="308">
      <c r="A308" s="4">
        <v>43525.00533506944</v>
      </c>
      <c r="B308" s="5">
        <v>43525.3380965856</v>
      </c>
      <c r="C308" s="6">
        <v>1.07</v>
      </c>
      <c r="D308" s="6">
        <v>66.0</v>
      </c>
      <c r="E308" s="7" t="s">
        <v>7</v>
      </c>
      <c r="F308" s="7" t="s">
        <v>8</v>
      </c>
      <c r="G308" s="8"/>
    </row>
    <row r="309">
      <c r="A309" s="4">
        <v>43525.015599861115</v>
      </c>
      <c r="B309" s="5">
        <v>43525.3485274305</v>
      </c>
      <c r="C309" s="6">
        <v>1.07</v>
      </c>
      <c r="D309" s="6">
        <v>66.0</v>
      </c>
      <c r="E309" s="7" t="s">
        <v>7</v>
      </c>
      <c r="F309" s="7" t="s">
        <v>8</v>
      </c>
      <c r="G309" s="8"/>
    </row>
    <row r="310">
      <c r="A310" s="4">
        <v>43525.02592850695</v>
      </c>
      <c r="B310" s="5">
        <v>43525.3589499189</v>
      </c>
      <c r="C310" s="6">
        <v>1.07</v>
      </c>
      <c r="D310" s="6">
        <v>66.0</v>
      </c>
      <c r="E310" s="7" t="s">
        <v>7</v>
      </c>
      <c r="F310" s="7" t="s">
        <v>8</v>
      </c>
      <c r="G310" s="8"/>
    </row>
    <row r="311">
      <c r="A311" s="4">
        <v>43525.03672758101</v>
      </c>
      <c r="B311" s="5">
        <v>43525.3693827662</v>
      </c>
      <c r="C311" s="6">
        <v>1.07</v>
      </c>
      <c r="D311" s="6">
        <v>66.0</v>
      </c>
      <c r="E311" s="7" t="s">
        <v>7</v>
      </c>
      <c r="F311" s="7" t="s">
        <v>8</v>
      </c>
      <c r="G311" s="8"/>
    </row>
    <row r="312">
      <c r="A312" s="4">
        <v>43525.04688206018</v>
      </c>
      <c r="B312" s="5">
        <v>43525.3798042476</v>
      </c>
      <c r="C312" s="6">
        <v>1.07</v>
      </c>
      <c r="D312" s="6">
        <v>66.0</v>
      </c>
      <c r="E312" s="7" t="s">
        <v>7</v>
      </c>
      <c r="F312" s="7" t="s">
        <v>8</v>
      </c>
      <c r="G312" s="8"/>
    </row>
    <row r="313">
      <c r="A313" s="4">
        <v>43525.057029131945</v>
      </c>
      <c r="B313" s="5">
        <v>43525.390235868</v>
      </c>
      <c r="C313" s="6">
        <v>1.069</v>
      </c>
      <c r="D313" s="6">
        <v>66.0</v>
      </c>
      <c r="E313" s="7" t="s">
        <v>7</v>
      </c>
      <c r="F313" s="7" t="s">
        <v>8</v>
      </c>
      <c r="G313" s="8"/>
    </row>
    <row r="314">
      <c r="A314" s="4">
        <v>43525.06754225695</v>
      </c>
      <c r="B314" s="5">
        <v>43525.4006556365</v>
      </c>
      <c r="C314" s="6">
        <v>1.07</v>
      </c>
      <c r="D314" s="6">
        <v>66.0</v>
      </c>
      <c r="E314" s="7" t="s">
        <v>7</v>
      </c>
      <c r="F314" s="7" t="s">
        <v>8</v>
      </c>
      <c r="G314" s="8"/>
    </row>
    <row r="315">
      <c r="A315" s="4">
        <v>43525.07805383102</v>
      </c>
      <c r="B315" s="5">
        <v>43525.4110762037</v>
      </c>
      <c r="C315" s="6">
        <v>1.069</v>
      </c>
      <c r="D315" s="6">
        <v>66.0</v>
      </c>
      <c r="E315" s="7" t="s">
        <v>7</v>
      </c>
      <c r="F315" s="7" t="s">
        <v>8</v>
      </c>
      <c r="G315" s="8"/>
    </row>
    <row r="316">
      <c r="A316" s="4">
        <v>43525.09919945602</v>
      </c>
      <c r="B316" s="5">
        <v>43525.4319317013</v>
      </c>
      <c r="C316" s="6">
        <v>1.07</v>
      </c>
      <c r="D316" s="6">
        <v>66.0</v>
      </c>
      <c r="E316" s="7" t="s">
        <v>7</v>
      </c>
      <c r="F316" s="7" t="s">
        <v>8</v>
      </c>
      <c r="G316" s="8"/>
    </row>
    <row r="317">
      <c r="A317" s="4">
        <v>43525.10914712963</v>
      </c>
      <c r="B317" s="5">
        <v>43525.4423528356</v>
      </c>
      <c r="C317" s="6">
        <v>1.069</v>
      </c>
      <c r="D317" s="6">
        <v>66.0</v>
      </c>
      <c r="E317" s="7" t="s">
        <v>7</v>
      </c>
      <c r="F317" s="7" t="s">
        <v>8</v>
      </c>
      <c r="G317" s="8"/>
    </row>
    <row r="318">
      <c r="A318" s="4">
        <v>43525.11993181713</v>
      </c>
      <c r="B318" s="5">
        <v>43525.4527741319</v>
      </c>
      <c r="C318" s="6">
        <v>1.069</v>
      </c>
      <c r="D318" s="6">
        <v>66.0</v>
      </c>
      <c r="E318" s="7" t="s">
        <v>7</v>
      </c>
      <c r="F318" s="7" t="s">
        <v>8</v>
      </c>
      <c r="G318" s="8"/>
    </row>
    <row r="319">
      <c r="A319" s="4">
        <v>43525.13007356481</v>
      </c>
      <c r="B319" s="5">
        <v>43525.463195949</v>
      </c>
      <c r="C319" s="6">
        <v>1.069</v>
      </c>
      <c r="D319" s="6">
        <v>66.0</v>
      </c>
      <c r="E319" s="7" t="s">
        <v>7</v>
      </c>
      <c r="F319" s="7" t="s">
        <v>8</v>
      </c>
      <c r="G319" s="8"/>
    </row>
    <row r="320">
      <c r="A320" s="4">
        <v>43525.14050365741</v>
      </c>
      <c r="B320" s="5">
        <v>43525.473616412</v>
      </c>
      <c r="C320" s="6">
        <v>1.069</v>
      </c>
      <c r="D320" s="6">
        <v>66.0</v>
      </c>
      <c r="E320" s="7" t="s">
        <v>7</v>
      </c>
      <c r="F320" s="7" t="s">
        <v>8</v>
      </c>
      <c r="G320" s="8"/>
    </row>
    <row r="321">
      <c r="A321" s="4">
        <v>43525.16153033565</v>
      </c>
      <c r="B321" s="5">
        <v>43525.4944827777</v>
      </c>
      <c r="C321" s="6">
        <v>1.069</v>
      </c>
      <c r="D321" s="6">
        <v>66.0</v>
      </c>
      <c r="E321" s="7" t="s">
        <v>7</v>
      </c>
      <c r="F321" s="7" t="s">
        <v>8</v>
      </c>
      <c r="G321" s="8"/>
    </row>
    <row r="322">
      <c r="A322" s="4">
        <v>43525.17183337963</v>
      </c>
      <c r="B322" s="5">
        <v>43525.5049511574</v>
      </c>
      <c r="C322" s="6">
        <v>1.069</v>
      </c>
      <c r="D322" s="6">
        <v>66.0</v>
      </c>
      <c r="E322" s="7" t="s">
        <v>7</v>
      </c>
      <c r="F322" s="7" t="s">
        <v>8</v>
      </c>
      <c r="G322" s="8"/>
    </row>
    <row r="323">
      <c r="A323" s="4">
        <v>43525.18235284722</v>
      </c>
      <c r="B323" s="5">
        <v>43525.5153719097</v>
      </c>
      <c r="C323" s="6">
        <v>1.069</v>
      </c>
      <c r="D323" s="6">
        <v>66.0</v>
      </c>
      <c r="E323" s="7" t="s">
        <v>7</v>
      </c>
      <c r="F323" s="7" t="s">
        <v>8</v>
      </c>
      <c r="G323" s="8"/>
    </row>
    <row r="324">
      <c r="A324" s="4">
        <v>43525.19287020834</v>
      </c>
      <c r="B324" s="5">
        <v>43525.5258049305</v>
      </c>
      <c r="C324" s="6">
        <v>1.069</v>
      </c>
      <c r="D324" s="6">
        <v>66.0</v>
      </c>
      <c r="E324" s="7" t="s">
        <v>7</v>
      </c>
      <c r="F324" s="7" t="s">
        <v>8</v>
      </c>
      <c r="G324" s="8"/>
    </row>
    <row r="325">
      <c r="A325" s="4">
        <v>43525.22416090278</v>
      </c>
      <c r="B325" s="5">
        <v>43525.5571856944</v>
      </c>
      <c r="C325" s="6">
        <v>1.069</v>
      </c>
      <c r="D325" s="6">
        <v>66.0</v>
      </c>
      <c r="E325" s="7" t="s">
        <v>7</v>
      </c>
      <c r="F325" s="7" t="s">
        <v>8</v>
      </c>
      <c r="G325" s="8"/>
    </row>
    <row r="326">
      <c r="A326" s="4">
        <v>43525.23467706019</v>
      </c>
      <c r="B326" s="5">
        <v>43525.5676059838</v>
      </c>
      <c r="C326" s="6">
        <v>1.069</v>
      </c>
      <c r="D326" s="6">
        <v>66.0</v>
      </c>
      <c r="E326" s="7" t="s">
        <v>7</v>
      </c>
      <c r="F326" s="7" t="s">
        <v>8</v>
      </c>
      <c r="G326" s="8"/>
    </row>
    <row r="327">
      <c r="A327" s="4">
        <v>43525.24502061342</v>
      </c>
      <c r="B327" s="5">
        <v>43525.5780499768</v>
      </c>
      <c r="C327" s="6">
        <v>1.069</v>
      </c>
      <c r="D327" s="6">
        <v>66.0</v>
      </c>
      <c r="E327" s="7" t="s">
        <v>7</v>
      </c>
      <c r="F327" s="7" t="s">
        <v>8</v>
      </c>
      <c r="G327" s="8"/>
    </row>
    <row r="328">
      <c r="A328" s="4">
        <v>43525.25525862268</v>
      </c>
      <c r="B328" s="5">
        <v>43525.5884701736</v>
      </c>
      <c r="C328" s="6">
        <v>1.069</v>
      </c>
      <c r="D328" s="6">
        <v>66.0</v>
      </c>
      <c r="E328" s="7" t="s">
        <v>7</v>
      </c>
      <c r="F328" s="7" t="s">
        <v>8</v>
      </c>
      <c r="G328" s="8"/>
    </row>
    <row r="329">
      <c r="A329" s="4">
        <v>43525.26569310185</v>
      </c>
      <c r="B329" s="5">
        <v>43525.5989150925</v>
      </c>
      <c r="C329" s="6">
        <v>1.069</v>
      </c>
      <c r="D329" s="6">
        <v>66.0</v>
      </c>
      <c r="E329" s="7" t="s">
        <v>7</v>
      </c>
      <c r="F329" s="7" t="s">
        <v>8</v>
      </c>
      <c r="G329" s="8"/>
    </row>
    <row r="330">
      <c r="A330" s="4">
        <v>43525.276215694445</v>
      </c>
      <c r="B330" s="5">
        <v>43525.6093356828</v>
      </c>
      <c r="C330" s="6">
        <v>1.069</v>
      </c>
      <c r="D330" s="6">
        <v>66.0</v>
      </c>
      <c r="E330" s="7" t="s">
        <v>7</v>
      </c>
      <c r="F330" s="7" t="s">
        <v>8</v>
      </c>
      <c r="G330" s="8"/>
    </row>
    <row r="331">
      <c r="A331" s="4">
        <v>43525.29699811342</v>
      </c>
      <c r="B331" s="5">
        <v>43525.6302043518</v>
      </c>
      <c r="C331" s="6">
        <v>1.069</v>
      </c>
      <c r="D331" s="6">
        <v>66.0</v>
      </c>
      <c r="E331" s="7" t="s">
        <v>7</v>
      </c>
      <c r="F331" s="7" t="s">
        <v>8</v>
      </c>
      <c r="G331" s="8"/>
    </row>
    <row r="332">
      <c r="A332" s="4">
        <v>43525.31821612269</v>
      </c>
      <c r="B332" s="5">
        <v>43525.6510472222</v>
      </c>
      <c r="C332" s="6">
        <v>1.069</v>
      </c>
      <c r="D332" s="6">
        <v>66.0</v>
      </c>
      <c r="E332" s="7" t="s">
        <v>7</v>
      </c>
      <c r="F332" s="7" t="s">
        <v>8</v>
      </c>
      <c r="G332" s="8"/>
    </row>
    <row r="333">
      <c r="A333" s="4">
        <v>43525.34947019676</v>
      </c>
      <c r="B333" s="5">
        <v>43525.682310949</v>
      </c>
      <c r="C333" s="6">
        <v>1.069</v>
      </c>
      <c r="D333" s="6">
        <v>66.0</v>
      </c>
      <c r="E333" s="7" t="s">
        <v>7</v>
      </c>
      <c r="F333" s="7" t="s">
        <v>8</v>
      </c>
      <c r="G333" s="8"/>
    </row>
    <row r="334">
      <c r="A334" s="4">
        <v>43525.359679733796</v>
      </c>
      <c r="B334" s="5">
        <v>43525.6927894675</v>
      </c>
      <c r="C334" s="6">
        <v>1.069</v>
      </c>
      <c r="D334" s="6">
        <v>67.0</v>
      </c>
      <c r="E334" s="7" t="s">
        <v>7</v>
      </c>
      <c r="F334" s="7" t="s">
        <v>8</v>
      </c>
      <c r="G334" s="8"/>
    </row>
    <row r="335">
      <c r="A335" s="4">
        <v>43525.37017850694</v>
      </c>
      <c r="B335" s="5">
        <v>43525.703209699</v>
      </c>
      <c r="C335" s="6">
        <v>1.069</v>
      </c>
      <c r="D335" s="6">
        <v>67.0</v>
      </c>
      <c r="E335" s="7" t="s">
        <v>7</v>
      </c>
      <c r="F335" s="7" t="s">
        <v>8</v>
      </c>
      <c r="G335" s="8"/>
    </row>
    <row r="336">
      <c r="A336" s="4">
        <v>43525.38099046296</v>
      </c>
      <c r="B336" s="5">
        <v>43525.7136293055</v>
      </c>
      <c r="C336" s="6">
        <v>1.068</v>
      </c>
      <c r="D336" s="6">
        <v>67.0</v>
      </c>
      <c r="E336" s="7" t="s">
        <v>7</v>
      </c>
      <c r="F336" s="7" t="s">
        <v>8</v>
      </c>
      <c r="G336" s="8"/>
    </row>
    <row r="337">
      <c r="A337" s="4">
        <v>43525.391034942135</v>
      </c>
      <c r="B337" s="5">
        <v>43525.7240613541</v>
      </c>
      <c r="C337" s="6">
        <v>1.069</v>
      </c>
      <c r="D337" s="6">
        <v>67.0</v>
      </c>
      <c r="E337" s="7" t="s">
        <v>7</v>
      </c>
      <c r="F337" s="7" t="s">
        <v>8</v>
      </c>
      <c r="G337" s="8"/>
    </row>
    <row r="338">
      <c r="A338" s="4">
        <v>43525.40131351852</v>
      </c>
      <c r="B338" s="5">
        <v>43525.7345173611</v>
      </c>
      <c r="C338" s="6">
        <v>1.068</v>
      </c>
      <c r="D338" s="6">
        <v>67.0</v>
      </c>
      <c r="E338" s="7" t="s">
        <v>7</v>
      </c>
      <c r="F338" s="7" t="s">
        <v>8</v>
      </c>
      <c r="G338" s="8"/>
    </row>
    <row r="339">
      <c r="A339" s="4">
        <v>43525.42215493055</v>
      </c>
      <c r="B339" s="5">
        <v>43525.7553592245</v>
      </c>
      <c r="C339" s="6">
        <v>1.068</v>
      </c>
      <c r="D339" s="6">
        <v>67.0</v>
      </c>
      <c r="E339" s="7" t="s">
        <v>7</v>
      </c>
      <c r="F339" s="7" t="s">
        <v>8</v>
      </c>
      <c r="G339" s="8"/>
    </row>
    <row r="340">
      <c r="A340" s="4">
        <v>43525.47468436343</v>
      </c>
      <c r="B340" s="5">
        <v>43525.8075266435</v>
      </c>
      <c r="C340" s="6">
        <v>1.068</v>
      </c>
      <c r="D340" s="6">
        <v>67.0</v>
      </c>
      <c r="E340" s="7" t="s">
        <v>7</v>
      </c>
      <c r="F340" s="7" t="s">
        <v>8</v>
      </c>
      <c r="G340" s="8"/>
    </row>
    <row r="341">
      <c r="A341" s="4">
        <v>43525.49540800926</v>
      </c>
      <c r="B341" s="5">
        <v>43525.8284275926</v>
      </c>
      <c r="C341" s="6">
        <v>1.068</v>
      </c>
      <c r="D341" s="6">
        <v>67.0</v>
      </c>
      <c r="E341" s="7" t="s">
        <v>7</v>
      </c>
      <c r="F341" s="7" t="s">
        <v>8</v>
      </c>
      <c r="G341" s="8"/>
    </row>
    <row r="342">
      <c r="A342" s="4">
        <v>43525.51608747685</v>
      </c>
      <c r="B342" s="5">
        <v>43525.849362905</v>
      </c>
      <c r="C342" s="6">
        <v>1.068</v>
      </c>
      <c r="D342" s="6">
        <v>67.0</v>
      </c>
      <c r="E342" s="7" t="s">
        <v>7</v>
      </c>
      <c r="F342" s="7" t="s">
        <v>8</v>
      </c>
      <c r="G342" s="8"/>
    </row>
    <row r="343">
      <c r="A343" s="4">
        <v>43525.526865011576</v>
      </c>
      <c r="B343" s="5">
        <v>43525.8597838657</v>
      </c>
      <c r="C343" s="6">
        <v>1.068</v>
      </c>
      <c r="D343" s="6">
        <v>67.0</v>
      </c>
      <c r="E343" s="7" t="s">
        <v>7</v>
      </c>
      <c r="F343" s="7" t="s">
        <v>8</v>
      </c>
      <c r="G343" s="8"/>
    </row>
    <row r="344">
      <c r="A344" s="4">
        <v>43525.537110335645</v>
      </c>
      <c r="B344" s="5">
        <v>43525.870216956</v>
      </c>
      <c r="C344" s="6">
        <v>1.068</v>
      </c>
      <c r="D344" s="6">
        <v>67.0</v>
      </c>
      <c r="E344" s="7" t="s">
        <v>7</v>
      </c>
      <c r="F344" s="7" t="s">
        <v>8</v>
      </c>
      <c r="G344" s="8"/>
    </row>
    <row r="345">
      <c r="A345" s="4">
        <v>43525.547768020835</v>
      </c>
      <c r="B345" s="5">
        <v>43525.8806405439</v>
      </c>
      <c r="C345" s="6">
        <v>1.068</v>
      </c>
      <c r="D345" s="6">
        <v>67.0</v>
      </c>
      <c r="E345" s="7" t="s">
        <v>7</v>
      </c>
      <c r="F345" s="7" t="s">
        <v>8</v>
      </c>
      <c r="G345" s="8"/>
    </row>
    <row r="346">
      <c r="A346" s="4">
        <v>43525.55842539352</v>
      </c>
      <c r="B346" s="5">
        <v>43525.8910717361</v>
      </c>
      <c r="C346" s="6">
        <v>1.068</v>
      </c>
      <c r="D346" s="6">
        <v>67.0</v>
      </c>
      <c r="E346" s="7" t="s">
        <v>7</v>
      </c>
      <c r="F346" s="7" t="s">
        <v>8</v>
      </c>
      <c r="G346" s="8"/>
    </row>
    <row r="347">
      <c r="A347" s="4">
        <v>43525.56851146991</v>
      </c>
      <c r="B347" s="5">
        <v>43525.9015280092</v>
      </c>
      <c r="C347" s="6">
        <v>1.068</v>
      </c>
      <c r="D347" s="6">
        <v>67.0</v>
      </c>
      <c r="E347" s="7" t="s">
        <v>7</v>
      </c>
      <c r="F347" s="7" t="s">
        <v>8</v>
      </c>
      <c r="G347" s="8"/>
    </row>
    <row r="348">
      <c r="A348" s="4">
        <v>43525.578934062505</v>
      </c>
      <c r="B348" s="5">
        <v>43525.9119479861</v>
      </c>
      <c r="C348" s="6">
        <v>1.068</v>
      </c>
      <c r="D348" s="6">
        <v>67.0</v>
      </c>
      <c r="E348" s="7" t="s">
        <v>7</v>
      </c>
      <c r="F348" s="7" t="s">
        <v>8</v>
      </c>
      <c r="G348" s="8"/>
    </row>
    <row r="349">
      <c r="A349" s="4">
        <v>43525.59961159722</v>
      </c>
      <c r="B349" s="5">
        <v>43525.9328256481</v>
      </c>
      <c r="C349" s="6">
        <v>1.068</v>
      </c>
      <c r="D349" s="6">
        <v>67.0</v>
      </c>
      <c r="E349" s="7" t="s">
        <v>7</v>
      </c>
      <c r="F349" s="7" t="s">
        <v>8</v>
      </c>
      <c r="G349" s="8"/>
    </row>
    <row r="350">
      <c r="A350" s="4">
        <v>43525.62083804398</v>
      </c>
      <c r="B350" s="5">
        <v>43525.95368</v>
      </c>
      <c r="C350" s="6">
        <v>1.067</v>
      </c>
      <c r="D350" s="6">
        <v>67.0</v>
      </c>
      <c r="E350" s="7" t="s">
        <v>7</v>
      </c>
      <c r="F350" s="7" t="s">
        <v>8</v>
      </c>
      <c r="G350" s="8"/>
    </row>
    <row r="351">
      <c r="A351" s="4">
        <v>43525.652344375005</v>
      </c>
      <c r="B351" s="5">
        <v>43525.9849782986</v>
      </c>
      <c r="C351" s="6">
        <v>1.068</v>
      </c>
      <c r="D351" s="6">
        <v>68.0</v>
      </c>
      <c r="E351" s="7" t="s">
        <v>7</v>
      </c>
      <c r="F351" s="7" t="s">
        <v>8</v>
      </c>
      <c r="G351" s="8"/>
    </row>
    <row r="352">
      <c r="A352" s="4">
        <v>43525.662187407404</v>
      </c>
      <c r="B352" s="5">
        <v>43525.9953991782</v>
      </c>
      <c r="C352" s="6">
        <v>1.068</v>
      </c>
      <c r="D352" s="6">
        <v>67.0</v>
      </c>
      <c r="E352" s="7" t="s">
        <v>7</v>
      </c>
      <c r="F352" s="7" t="s">
        <v>8</v>
      </c>
      <c r="G352" s="8"/>
    </row>
    <row r="353">
      <c r="A353" s="4">
        <v>43525.67289545139</v>
      </c>
      <c r="B353" s="5">
        <v>43526.005819618</v>
      </c>
      <c r="C353" s="6">
        <v>1.067</v>
      </c>
      <c r="D353" s="6">
        <v>67.0</v>
      </c>
      <c r="E353" s="7" t="s">
        <v>7</v>
      </c>
      <c r="F353" s="7" t="s">
        <v>8</v>
      </c>
      <c r="G353" s="8"/>
    </row>
    <row r="354">
      <c r="A354" s="4">
        <v>43525.69393314815</v>
      </c>
      <c r="B354" s="5">
        <v>43526.026663125</v>
      </c>
      <c r="C354" s="6">
        <v>1.068</v>
      </c>
      <c r="D354" s="6">
        <v>68.0</v>
      </c>
      <c r="E354" s="7" t="s">
        <v>7</v>
      </c>
      <c r="F354" s="7" t="s">
        <v>8</v>
      </c>
      <c r="G354" s="8"/>
    </row>
    <row r="355">
      <c r="A355" s="4">
        <v>43525.70386717592</v>
      </c>
      <c r="B355" s="5">
        <v>43526.0370840856</v>
      </c>
      <c r="C355" s="6">
        <v>1.067</v>
      </c>
      <c r="D355" s="6">
        <v>68.0</v>
      </c>
      <c r="E355" s="7" t="s">
        <v>7</v>
      </c>
      <c r="F355" s="7" t="s">
        <v>8</v>
      </c>
      <c r="G355" s="8"/>
    </row>
    <row r="356">
      <c r="A356" s="4">
        <v>43525.7143784375</v>
      </c>
      <c r="B356" s="5">
        <v>43526.0475054166</v>
      </c>
      <c r="C356" s="6">
        <v>1.067</v>
      </c>
      <c r="D356" s="6">
        <v>68.0</v>
      </c>
      <c r="E356" s="7" t="s">
        <v>7</v>
      </c>
      <c r="F356" s="7" t="s">
        <v>8</v>
      </c>
      <c r="G356" s="8"/>
    </row>
    <row r="357">
      <c r="A357" s="4">
        <v>43525.725056192125</v>
      </c>
      <c r="B357" s="5">
        <v>43526.0579255324</v>
      </c>
      <c r="C357" s="6">
        <v>1.067</v>
      </c>
      <c r="D357" s="6">
        <v>68.0</v>
      </c>
      <c r="E357" s="7" t="s">
        <v>7</v>
      </c>
      <c r="F357" s="7" t="s">
        <v>8</v>
      </c>
      <c r="G357" s="8"/>
    </row>
    <row r="358">
      <c r="A358" s="4">
        <v>43525.74555179398</v>
      </c>
      <c r="B358" s="5">
        <v>43526.0787658101</v>
      </c>
      <c r="C358" s="6">
        <v>1.067</v>
      </c>
      <c r="D358" s="6">
        <v>68.0</v>
      </c>
      <c r="E358" s="7" t="s">
        <v>7</v>
      </c>
      <c r="F358" s="7" t="s">
        <v>8</v>
      </c>
      <c r="G358" s="8"/>
    </row>
    <row r="359">
      <c r="A359" s="4">
        <v>43525.766412638885</v>
      </c>
      <c r="B359" s="5">
        <v>43526.0996204166</v>
      </c>
      <c r="C359" s="6">
        <v>1.067</v>
      </c>
      <c r="D359" s="6">
        <v>68.0</v>
      </c>
      <c r="E359" s="7" t="s">
        <v>7</v>
      </c>
      <c r="F359" s="7" t="s">
        <v>8</v>
      </c>
      <c r="G359" s="8"/>
    </row>
    <row r="360">
      <c r="A360" s="4">
        <v>43525.77690390046</v>
      </c>
      <c r="B360" s="5">
        <v>43526.1100415972</v>
      </c>
      <c r="C360" s="6">
        <v>1.067</v>
      </c>
      <c r="D360" s="6">
        <v>68.0</v>
      </c>
      <c r="E360" s="7" t="s">
        <v>7</v>
      </c>
      <c r="F360" s="7" t="s">
        <v>8</v>
      </c>
      <c r="G360" s="8"/>
    </row>
    <row r="361">
      <c r="A361" s="4">
        <v>43525.78725811343</v>
      </c>
      <c r="B361" s="5">
        <v>43526.1204620601</v>
      </c>
      <c r="C361" s="6">
        <v>1.067</v>
      </c>
      <c r="D361" s="6">
        <v>68.0</v>
      </c>
      <c r="E361" s="7" t="s">
        <v>7</v>
      </c>
      <c r="F361" s="7" t="s">
        <v>8</v>
      </c>
      <c r="G361" s="8"/>
    </row>
    <row r="362">
      <c r="A362" s="4">
        <v>43525.79796885417</v>
      </c>
      <c r="B362" s="5">
        <v>43526.1308945601</v>
      </c>
      <c r="C362" s="6">
        <v>1.067</v>
      </c>
      <c r="D362" s="6">
        <v>68.0</v>
      </c>
      <c r="E362" s="7" t="s">
        <v>7</v>
      </c>
      <c r="F362" s="7" t="s">
        <v>8</v>
      </c>
      <c r="G362" s="8"/>
    </row>
    <row r="363">
      <c r="A363" s="4">
        <v>43525.808304606486</v>
      </c>
      <c r="B363" s="5">
        <v>43526.1413167939</v>
      </c>
      <c r="C363" s="6">
        <v>1.067</v>
      </c>
      <c r="D363" s="6">
        <v>68.0</v>
      </c>
      <c r="E363" s="7" t="s">
        <v>7</v>
      </c>
      <c r="F363" s="7" t="s">
        <v>8</v>
      </c>
      <c r="G363" s="8"/>
    </row>
    <row r="364">
      <c r="A364" s="4">
        <v>43525.8189053588</v>
      </c>
      <c r="B364" s="5">
        <v>43526.1517379976</v>
      </c>
      <c r="C364" s="6">
        <v>1.067</v>
      </c>
      <c r="D364" s="6">
        <v>68.0</v>
      </c>
      <c r="E364" s="7" t="s">
        <v>7</v>
      </c>
      <c r="F364" s="7" t="s">
        <v>8</v>
      </c>
      <c r="G364" s="8"/>
    </row>
    <row r="365">
      <c r="A365" s="4">
        <v>43525.82903770833</v>
      </c>
      <c r="B365" s="5">
        <v>43526.1621570486</v>
      </c>
      <c r="C365" s="6">
        <v>1.067</v>
      </c>
      <c r="D365" s="6">
        <v>68.0</v>
      </c>
      <c r="E365" s="7" t="s">
        <v>7</v>
      </c>
      <c r="F365" s="7" t="s">
        <v>8</v>
      </c>
      <c r="G365" s="8"/>
    </row>
    <row r="366">
      <c r="A366" s="4">
        <v>43525.84992636574</v>
      </c>
      <c r="B366" s="5">
        <v>43526.1830225347</v>
      </c>
      <c r="C366" s="6">
        <v>1.067</v>
      </c>
      <c r="D366" s="6">
        <v>68.0</v>
      </c>
      <c r="E366" s="7" t="s">
        <v>7</v>
      </c>
      <c r="F366" s="7" t="s">
        <v>8</v>
      </c>
      <c r="G366" s="8"/>
    </row>
    <row r="367">
      <c r="A367" s="4">
        <v>43525.881172696754</v>
      </c>
      <c r="B367" s="5">
        <v>43526.2142869675</v>
      </c>
      <c r="C367" s="6">
        <v>1.066</v>
      </c>
      <c r="D367" s="6">
        <v>68.0</v>
      </c>
      <c r="E367" s="7" t="s">
        <v>7</v>
      </c>
      <c r="F367" s="7" t="s">
        <v>8</v>
      </c>
      <c r="G367" s="8"/>
    </row>
    <row r="368">
      <c r="A368" s="4">
        <v>43525.91260539352</v>
      </c>
      <c r="B368" s="5">
        <v>43526.2455622569</v>
      </c>
      <c r="C368" s="6">
        <v>1.066</v>
      </c>
      <c r="D368" s="6">
        <v>68.0</v>
      </c>
      <c r="E368" s="7" t="s">
        <v>7</v>
      </c>
      <c r="F368" s="7" t="s">
        <v>8</v>
      </c>
      <c r="G368" s="8"/>
    </row>
    <row r="369">
      <c r="A369" s="4">
        <v>43525.94361902778</v>
      </c>
      <c r="B369" s="5">
        <v>43526.2768232291</v>
      </c>
      <c r="C369" s="6">
        <v>1.066</v>
      </c>
      <c r="D369" s="6">
        <v>68.0</v>
      </c>
      <c r="E369" s="7" t="s">
        <v>7</v>
      </c>
      <c r="F369" s="7" t="s">
        <v>8</v>
      </c>
      <c r="G369" s="8"/>
    </row>
    <row r="370">
      <c r="A370" s="4">
        <v>43525.95412918981</v>
      </c>
      <c r="B370" s="5">
        <v>43526.2872442939</v>
      </c>
      <c r="C370" s="6">
        <v>1.066</v>
      </c>
      <c r="D370" s="6">
        <v>68.0</v>
      </c>
      <c r="E370" s="7" t="s">
        <v>7</v>
      </c>
      <c r="F370" s="7" t="s">
        <v>8</v>
      </c>
      <c r="G370" s="8"/>
    </row>
    <row r="371">
      <c r="A371" s="4">
        <v>43525.964740324074</v>
      </c>
      <c r="B371" s="5">
        <v>43526.2976650347</v>
      </c>
      <c r="C371" s="6">
        <v>1.066</v>
      </c>
      <c r="D371" s="6">
        <v>68.0</v>
      </c>
      <c r="E371" s="7" t="s">
        <v>7</v>
      </c>
      <c r="F371" s="7" t="s">
        <v>8</v>
      </c>
      <c r="G371" s="8"/>
    </row>
    <row r="372">
      <c r="A372" s="4">
        <v>43525.97489011574</v>
      </c>
      <c r="B372" s="5">
        <v>43526.3081003472</v>
      </c>
      <c r="C372" s="6">
        <v>1.066</v>
      </c>
      <c r="D372" s="6">
        <v>68.0</v>
      </c>
      <c r="E372" s="7" t="s">
        <v>7</v>
      </c>
      <c r="F372" s="7" t="s">
        <v>8</v>
      </c>
      <c r="G372" s="8"/>
    </row>
    <row r="373">
      <c r="A373" s="4">
        <v>43525.98539959491</v>
      </c>
      <c r="B373" s="5">
        <v>43526.3185212037</v>
      </c>
      <c r="C373" s="6">
        <v>1.066</v>
      </c>
      <c r="D373" s="6">
        <v>68.0</v>
      </c>
      <c r="E373" s="7" t="s">
        <v>7</v>
      </c>
      <c r="F373" s="7" t="s">
        <v>8</v>
      </c>
      <c r="G373" s="8"/>
    </row>
    <row r="374">
      <c r="A374" s="4">
        <v>43525.99593907407</v>
      </c>
      <c r="B374" s="5">
        <v>43526.3289649189</v>
      </c>
      <c r="C374" s="6">
        <v>1.066</v>
      </c>
      <c r="D374" s="6">
        <v>68.0</v>
      </c>
      <c r="E374" s="7" t="s">
        <v>7</v>
      </c>
      <c r="F374" s="7" t="s">
        <v>8</v>
      </c>
      <c r="G374" s="8"/>
    </row>
    <row r="375">
      <c r="A375" s="4">
        <v>43526.01669138889</v>
      </c>
      <c r="B375" s="5">
        <v>43526.3498168749</v>
      </c>
      <c r="C375" s="6">
        <v>1.066</v>
      </c>
      <c r="D375" s="6">
        <v>68.0</v>
      </c>
      <c r="E375" s="7" t="s">
        <v>7</v>
      </c>
      <c r="F375" s="7" t="s">
        <v>8</v>
      </c>
      <c r="G375" s="8"/>
    </row>
    <row r="376">
      <c r="A376" s="4">
        <v>43526.04796704861</v>
      </c>
      <c r="B376" s="5">
        <v>43526.3810779745</v>
      </c>
      <c r="C376" s="6">
        <v>1.066</v>
      </c>
      <c r="D376" s="6">
        <v>68.0</v>
      </c>
      <c r="E376" s="7" t="s">
        <v>7</v>
      </c>
      <c r="F376" s="7" t="s">
        <v>8</v>
      </c>
      <c r="G376" s="8"/>
    </row>
    <row r="377">
      <c r="A377" s="4">
        <v>43526.058305115745</v>
      </c>
      <c r="B377" s="5">
        <v>43526.3915101157</v>
      </c>
      <c r="C377" s="6">
        <v>1.066</v>
      </c>
      <c r="D377" s="6">
        <v>68.0</v>
      </c>
      <c r="E377" s="7" t="s">
        <v>7</v>
      </c>
      <c r="F377" s="7" t="s">
        <v>8</v>
      </c>
      <c r="G377" s="8"/>
    </row>
    <row r="378">
      <c r="A378" s="4">
        <v>43526.06871666667</v>
      </c>
      <c r="B378" s="5">
        <v>43526.4019298032</v>
      </c>
      <c r="C378" s="6">
        <v>1.066</v>
      </c>
      <c r="D378" s="6">
        <v>68.0</v>
      </c>
      <c r="E378" s="7" t="s">
        <v>7</v>
      </c>
      <c r="F378" s="7" t="s">
        <v>8</v>
      </c>
      <c r="G378" s="8"/>
    </row>
    <row r="379">
      <c r="A379" s="4">
        <v>43526.079132638886</v>
      </c>
      <c r="B379" s="5">
        <v>43526.4123501851</v>
      </c>
      <c r="C379" s="6">
        <v>1.066</v>
      </c>
      <c r="D379" s="6">
        <v>68.0</v>
      </c>
      <c r="E379" s="7" t="s">
        <v>7</v>
      </c>
      <c r="F379" s="7" t="s">
        <v>8</v>
      </c>
      <c r="G379" s="8"/>
    </row>
    <row r="380">
      <c r="A380" s="4">
        <v>43526.08969252315</v>
      </c>
      <c r="B380" s="5">
        <v>43526.4228069328</v>
      </c>
      <c r="C380" s="6">
        <v>1.066</v>
      </c>
      <c r="D380" s="6">
        <v>68.0</v>
      </c>
      <c r="E380" s="7" t="s">
        <v>7</v>
      </c>
      <c r="F380" s="7" t="s">
        <v>8</v>
      </c>
      <c r="G380" s="8"/>
    </row>
    <row r="381">
      <c r="A381" s="4">
        <v>43526.100103310186</v>
      </c>
      <c r="B381" s="5">
        <v>43526.4332276388</v>
      </c>
      <c r="C381" s="6">
        <v>1.066</v>
      </c>
      <c r="D381" s="6">
        <v>68.0</v>
      </c>
      <c r="E381" s="7" t="s">
        <v>7</v>
      </c>
      <c r="F381" s="7" t="s">
        <v>8</v>
      </c>
      <c r="G381" s="8"/>
    </row>
    <row r="382">
      <c r="A382" s="4">
        <v>43526.110642025465</v>
      </c>
      <c r="B382" s="5">
        <v>43526.4436622453</v>
      </c>
      <c r="C382" s="6">
        <v>1.066</v>
      </c>
      <c r="D382" s="6">
        <v>68.0</v>
      </c>
      <c r="E382" s="7" t="s">
        <v>7</v>
      </c>
      <c r="F382" s="7" t="s">
        <v>8</v>
      </c>
      <c r="G382" s="8"/>
    </row>
    <row r="383">
      <c r="A383" s="4">
        <v>43526.1214106713</v>
      </c>
      <c r="B383" s="5">
        <v>43526.4540825463</v>
      </c>
      <c r="C383" s="6">
        <v>1.066</v>
      </c>
      <c r="D383" s="6">
        <v>68.0</v>
      </c>
      <c r="E383" s="7" t="s">
        <v>7</v>
      </c>
      <c r="F383" s="7" t="s">
        <v>8</v>
      </c>
      <c r="G383" s="8"/>
    </row>
    <row r="384">
      <c r="A384" s="4">
        <v>43526.131779675925</v>
      </c>
      <c r="B384" s="5">
        <v>43526.4645161574</v>
      </c>
      <c r="C384" s="6">
        <v>1.065</v>
      </c>
      <c r="D384" s="6">
        <v>68.0</v>
      </c>
      <c r="E384" s="7" t="s">
        <v>7</v>
      </c>
      <c r="F384" s="7" t="s">
        <v>8</v>
      </c>
      <c r="G384" s="8"/>
    </row>
    <row r="385">
      <c r="A385" s="4">
        <v>43526.14191101852</v>
      </c>
      <c r="B385" s="5">
        <v>43526.4749375347</v>
      </c>
      <c r="C385" s="6">
        <v>1.065</v>
      </c>
      <c r="D385" s="6">
        <v>68.0</v>
      </c>
      <c r="E385" s="7" t="s">
        <v>7</v>
      </c>
      <c r="F385" s="7" t="s">
        <v>8</v>
      </c>
      <c r="G385" s="8"/>
    </row>
    <row r="386">
      <c r="A386" s="4">
        <v>43526.152247997685</v>
      </c>
      <c r="B386" s="5">
        <v>43526.485359618</v>
      </c>
      <c r="C386" s="6">
        <v>1.066</v>
      </c>
      <c r="D386" s="6">
        <v>68.0</v>
      </c>
      <c r="E386" s="7" t="s">
        <v>7</v>
      </c>
      <c r="F386" s="7" t="s">
        <v>8</v>
      </c>
      <c r="G386" s="8"/>
    </row>
    <row r="387">
      <c r="A387" s="4">
        <v>43526.16276056713</v>
      </c>
      <c r="B387" s="5">
        <v>43526.4957799189</v>
      </c>
      <c r="C387" s="6">
        <v>1.066</v>
      </c>
      <c r="D387" s="6">
        <v>68.0</v>
      </c>
      <c r="E387" s="7" t="s">
        <v>7</v>
      </c>
      <c r="F387" s="7" t="s">
        <v>8</v>
      </c>
      <c r="G387" s="8"/>
    </row>
    <row r="388">
      <c r="A388" s="4">
        <v>43526.173366793984</v>
      </c>
      <c r="B388" s="5">
        <v>43526.5062009953</v>
      </c>
      <c r="C388" s="6">
        <v>1.065</v>
      </c>
      <c r="D388" s="6">
        <v>68.0</v>
      </c>
      <c r="E388" s="7" t="s">
        <v>7</v>
      </c>
      <c r="F388" s="7" t="s">
        <v>8</v>
      </c>
      <c r="G388" s="8"/>
    </row>
    <row r="389">
      <c r="A389" s="4">
        <v>43526.18387503472</v>
      </c>
      <c r="B389" s="5">
        <v>43526.5166220833</v>
      </c>
      <c r="C389" s="6">
        <v>1.065</v>
      </c>
      <c r="D389" s="6">
        <v>68.0</v>
      </c>
      <c r="E389" s="7" t="s">
        <v>7</v>
      </c>
      <c r="F389" s="7" t="s">
        <v>8</v>
      </c>
      <c r="G389" s="8"/>
    </row>
    <row r="390">
      <c r="A390" s="4">
        <v>43526.204264988424</v>
      </c>
      <c r="B390" s="5">
        <v>43526.537479155</v>
      </c>
      <c r="C390" s="6">
        <v>1.065</v>
      </c>
      <c r="D390" s="6">
        <v>68.0</v>
      </c>
      <c r="E390" s="7" t="s">
        <v>7</v>
      </c>
      <c r="F390" s="7" t="s">
        <v>8</v>
      </c>
      <c r="G390" s="8"/>
    </row>
    <row r="391">
      <c r="A391" s="4">
        <v>43526.2147121875</v>
      </c>
      <c r="B391" s="5">
        <v>43526.5479221527</v>
      </c>
      <c r="C391" s="6">
        <v>1.065</v>
      </c>
      <c r="D391" s="6">
        <v>68.0</v>
      </c>
      <c r="E391" s="7" t="s">
        <v>7</v>
      </c>
      <c r="F391" s="7" t="s">
        <v>8</v>
      </c>
      <c r="G391" s="8"/>
    </row>
    <row r="392">
      <c r="A392" s="4">
        <v>43526.22516135417</v>
      </c>
      <c r="B392" s="5">
        <v>43526.5583670717</v>
      </c>
      <c r="C392" s="6">
        <v>1.065</v>
      </c>
      <c r="D392" s="6">
        <v>68.0</v>
      </c>
      <c r="E392" s="7" t="s">
        <v>7</v>
      </c>
      <c r="F392" s="7" t="s">
        <v>8</v>
      </c>
      <c r="G392" s="8"/>
    </row>
    <row r="393">
      <c r="A393" s="4">
        <v>43526.235883807865</v>
      </c>
      <c r="B393" s="5">
        <v>43526.5688108333</v>
      </c>
      <c r="C393" s="6">
        <v>1.065</v>
      </c>
      <c r="D393" s="6">
        <v>68.0</v>
      </c>
      <c r="E393" s="7" t="s">
        <v>7</v>
      </c>
      <c r="F393" s="7" t="s">
        <v>8</v>
      </c>
      <c r="G393" s="8"/>
    </row>
    <row r="394">
      <c r="A394" s="4">
        <v>43526.24628533565</v>
      </c>
      <c r="B394" s="5">
        <v>43526.5792318981</v>
      </c>
      <c r="C394" s="6">
        <v>1.065</v>
      </c>
      <c r="D394" s="6">
        <v>68.0</v>
      </c>
      <c r="E394" s="7" t="s">
        <v>7</v>
      </c>
      <c r="F394" s="7" t="s">
        <v>8</v>
      </c>
      <c r="G394" s="8"/>
    </row>
    <row r="395">
      <c r="A395" s="4">
        <v>43526.25644565972</v>
      </c>
      <c r="B395" s="5">
        <v>43526.5896756365</v>
      </c>
      <c r="C395" s="6">
        <v>1.065</v>
      </c>
      <c r="D395" s="6">
        <v>68.0</v>
      </c>
      <c r="E395" s="7" t="s">
        <v>7</v>
      </c>
      <c r="F395" s="7" t="s">
        <v>8</v>
      </c>
      <c r="G395" s="8"/>
    </row>
    <row r="396">
      <c r="A396" s="4">
        <v>43526.26698702546</v>
      </c>
      <c r="B396" s="5">
        <v>43526.600095706</v>
      </c>
      <c r="C396" s="6">
        <v>1.065</v>
      </c>
      <c r="D396" s="6">
        <v>68.0</v>
      </c>
      <c r="E396" s="7" t="s">
        <v>7</v>
      </c>
      <c r="F396" s="7" t="s">
        <v>8</v>
      </c>
      <c r="G396" s="8"/>
    </row>
    <row r="397">
      <c r="A397" s="4">
        <v>43526.277310879625</v>
      </c>
      <c r="B397" s="5">
        <v>43526.6105157638</v>
      </c>
      <c r="C397" s="6">
        <v>1.065</v>
      </c>
      <c r="D397" s="6">
        <v>68.0</v>
      </c>
      <c r="E397" s="7" t="s">
        <v>7</v>
      </c>
      <c r="F397" s="7" t="s">
        <v>8</v>
      </c>
      <c r="G397" s="8"/>
    </row>
    <row r="398">
      <c r="A398" s="4">
        <v>43526.28776201389</v>
      </c>
      <c r="B398" s="5">
        <v>43526.6209726851</v>
      </c>
      <c r="C398" s="6">
        <v>1.065</v>
      </c>
      <c r="D398" s="6">
        <v>69.0</v>
      </c>
      <c r="E398" s="7" t="s">
        <v>7</v>
      </c>
      <c r="F398" s="7" t="s">
        <v>8</v>
      </c>
      <c r="G398" s="8"/>
    </row>
    <row r="399">
      <c r="A399" s="4">
        <v>43526.298187002314</v>
      </c>
      <c r="B399" s="5">
        <v>43526.631394618</v>
      </c>
      <c r="C399" s="6">
        <v>1.065</v>
      </c>
      <c r="D399" s="6">
        <v>69.0</v>
      </c>
      <c r="E399" s="7" t="s">
        <v>7</v>
      </c>
      <c r="F399" s="7" t="s">
        <v>8</v>
      </c>
      <c r="G399" s="8"/>
    </row>
    <row r="400">
      <c r="A400" s="4">
        <v>43526.308607326384</v>
      </c>
      <c r="B400" s="5">
        <v>43526.6418142708</v>
      </c>
      <c r="C400" s="6">
        <v>1.065</v>
      </c>
      <c r="D400" s="6">
        <v>69.0</v>
      </c>
      <c r="E400" s="7" t="s">
        <v>7</v>
      </c>
      <c r="F400" s="7" t="s">
        <v>8</v>
      </c>
      <c r="G400" s="8"/>
    </row>
    <row r="401">
      <c r="A401" s="4">
        <v>43526.31923096065</v>
      </c>
      <c r="B401" s="5">
        <v>43526.6522471527</v>
      </c>
      <c r="C401" s="6">
        <v>1.065</v>
      </c>
      <c r="D401" s="6">
        <v>69.0</v>
      </c>
      <c r="E401" s="7" t="s">
        <v>7</v>
      </c>
      <c r="F401" s="7" t="s">
        <v>8</v>
      </c>
      <c r="G401" s="8"/>
    </row>
    <row r="402">
      <c r="A402" s="4">
        <v>43526.33987847222</v>
      </c>
      <c r="B402" s="5">
        <v>43526.6730882986</v>
      </c>
      <c r="C402" s="6">
        <v>1.065</v>
      </c>
      <c r="D402" s="6">
        <v>69.0</v>
      </c>
      <c r="E402" s="7" t="s">
        <v>7</v>
      </c>
      <c r="F402" s="7" t="s">
        <v>8</v>
      </c>
      <c r="G402" s="8"/>
    </row>
    <row r="403">
      <c r="A403" s="4">
        <v>43526.35047618055</v>
      </c>
      <c r="B403" s="5">
        <v>43526.6835100347</v>
      </c>
      <c r="C403" s="6">
        <v>1.065</v>
      </c>
      <c r="D403" s="6">
        <v>69.0</v>
      </c>
      <c r="E403" s="7" t="s">
        <v>7</v>
      </c>
      <c r="F403" s="7" t="s">
        <v>8</v>
      </c>
      <c r="G403" s="8"/>
    </row>
    <row r="404">
      <c r="A404" s="4">
        <v>43526.371228715274</v>
      </c>
      <c r="B404" s="5">
        <v>43526.7043527662</v>
      </c>
      <c r="C404" s="6">
        <v>1.065</v>
      </c>
      <c r="D404" s="6">
        <v>69.0</v>
      </c>
      <c r="E404" s="7" t="s">
        <v>7</v>
      </c>
      <c r="F404" s="7" t="s">
        <v>8</v>
      </c>
      <c r="G404" s="8"/>
    </row>
    <row r="405">
      <c r="A405" s="4">
        <v>43526.38211791667</v>
      </c>
      <c r="B405" s="5">
        <v>43526.7147721759</v>
      </c>
      <c r="C405" s="6">
        <v>1.065</v>
      </c>
      <c r="D405" s="6">
        <v>69.0</v>
      </c>
      <c r="E405" s="7" t="s">
        <v>7</v>
      </c>
      <c r="F405" s="7" t="s">
        <v>8</v>
      </c>
      <c r="G405" s="8"/>
    </row>
    <row r="406">
      <c r="A406" s="4">
        <v>43526.413292337966</v>
      </c>
      <c r="B406" s="5">
        <v>43526.746048125</v>
      </c>
      <c r="C406" s="6">
        <v>1.065</v>
      </c>
      <c r="D406" s="6">
        <v>69.0</v>
      </c>
      <c r="E406" s="7" t="s">
        <v>7</v>
      </c>
      <c r="F406" s="7" t="s">
        <v>8</v>
      </c>
      <c r="G406" s="8"/>
    </row>
    <row r="407">
      <c r="A407" s="4">
        <v>43526.44413380787</v>
      </c>
      <c r="B407" s="5">
        <v>43526.7773464699</v>
      </c>
      <c r="C407" s="6">
        <v>1.065</v>
      </c>
      <c r="D407" s="6">
        <v>69.0</v>
      </c>
      <c r="E407" s="7" t="s">
        <v>7</v>
      </c>
      <c r="F407" s="7" t="s">
        <v>8</v>
      </c>
      <c r="G407" s="8"/>
    </row>
    <row r="408">
      <c r="A408" s="4">
        <v>43526.45499171296</v>
      </c>
      <c r="B408" s="5">
        <v>43526.7877675925</v>
      </c>
      <c r="C408" s="6">
        <v>1.065</v>
      </c>
      <c r="D408" s="6">
        <v>69.0</v>
      </c>
      <c r="E408" s="7" t="s">
        <v>7</v>
      </c>
      <c r="F408" s="7" t="s">
        <v>8</v>
      </c>
      <c r="G408" s="8"/>
    </row>
    <row r="409">
      <c r="A409" s="4">
        <v>43526.46525447917</v>
      </c>
      <c r="B409" s="5">
        <v>43526.7981880324</v>
      </c>
      <c r="C409" s="6">
        <v>1.065</v>
      </c>
      <c r="D409" s="6">
        <v>69.0</v>
      </c>
      <c r="E409" s="7" t="s">
        <v>7</v>
      </c>
      <c r="F409" s="7" t="s">
        <v>8</v>
      </c>
      <c r="G409" s="8"/>
    </row>
    <row r="410">
      <c r="A410" s="4">
        <v>43526.485823055555</v>
      </c>
      <c r="B410" s="5">
        <v>43526.8190530902</v>
      </c>
      <c r="C410" s="6">
        <v>1.064</v>
      </c>
      <c r="D410" s="6">
        <v>69.0</v>
      </c>
      <c r="E410" s="7" t="s">
        <v>7</v>
      </c>
      <c r="F410" s="7" t="s">
        <v>8</v>
      </c>
      <c r="G410" s="8"/>
    </row>
    <row r="411">
      <c r="A411" s="4">
        <v>43526.49643945602</v>
      </c>
      <c r="B411" s="5">
        <v>43526.8294745949</v>
      </c>
      <c r="C411" s="6">
        <v>1.064</v>
      </c>
      <c r="D411" s="6">
        <v>69.0</v>
      </c>
      <c r="E411" s="7" t="s">
        <v>7</v>
      </c>
      <c r="F411" s="7" t="s">
        <v>8</v>
      </c>
      <c r="G411" s="8"/>
    </row>
    <row r="412">
      <c r="A412" s="4">
        <v>43526.51715054398</v>
      </c>
      <c r="B412" s="5">
        <v>43526.8503635995</v>
      </c>
      <c r="C412" s="6">
        <v>1.064</v>
      </c>
      <c r="D412" s="6">
        <v>69.0</v>
      </c>
      <c r="E412" s="7" t="s">
        <v>7</v>
      </c>
      <c r="F412" s="7" t="s">
        <v>8</v>
      </c>
      <c r="G412" s="8"/>
    </row>
    <row r="413">
      <c r="A413" s="4">
        <v>43526.52759201389</v>
      </c>
      <c r="B413" s="5">
        <v>43526.8607963078</v>
      </c>
      <c r="C413" s="6">
        <v>1.064</v>
      </c>
      <c r="D413" s="6">
        <v>69.0</v>
      </c>
      <c r="E413" s="7" t="s">
        <v>7</v>
      </c>
      <c r="F413" s="7" t="s">
        <v>8</v>
      </c>
      <c r="G413" s="8"/>
    </row>
    <row r="414">
      <c r="A414" s="4">
        <v>43526.53839144676</v>
      </c>
      <c r="B414" s="5">
        <v>43526.8712403472</v>
      </c>
      <c r="C414" s="6">
        <v>1.064</v>
      </c>
      <c r="D414" s="6">
        <v>69.0</v>
      </c>
      <c r="E414" s="7" t="s">
        <v>7</v>
      </c>
      <c r="F414" s="7" t="s">
        <v>8</v>
      </c>
      <c r="G414" s="8"/>
    </row>
    <row r="415">
      <c r="A415" s="4">
        <v>43526.55888427084</v>
      </c>
      <c r="B415" s="5">
        <v>43526.8921056365</v>
      </c>
      <c r="C415" s="6">
        <v>1.064</v>
      </c>
      <c r="D415" s="6">
        <v>69.0</v>
      </c>
      <c r="E415" s="7" t="s">
        <v>7</v>
      </c>
      <c r="F415" s="7" t="s">
        <v>8</v>
      </c>
      <c r="G415" s="8"/>
    </row>
    <row r="416">
      <c r="A416" s="4">
        <v>43526.5797359375</v>
      </c>
      <c r="B416" s="5">
        <v>43526.9129601273</v>
      </c>
      <c r="C416" s="6">
        <v>1.064</v>
      </c>
      <c r="D416" s="6">
        <v>69.0</v>
      </c>
      <c r="E416" s="7" t="s">
        <v>7</v>
      </c>
      <c r="F416" s="7" t="s">
        <v>8</v>
      </c>
      <c r="G416" s="8"/>
    </row>
    <row r="417">
      <c r="A417" s="4">
        <v>43526.5903534838</v>
      </c>
      <c r="B417" s="5">
        <v>43526.9233826504</v>
      </c>
      <c r="C417" s="6">
        <v>1.064</v>
      </c>
      <c r="D417" s="6">
        <v>69.0</v>
      </c>
      <c r="E417" s="7" t="s">
        <v>7</v>
      </c>
      <c r="F417" s="7" t="s">
        <v>8</v>
      </c>
      <c r="G417" s="8"/>
    </row>
    <row r="418">
      <c r="A418" s="4">
        <v>43526.60077896991</v>
      </c>
      <c r="B418" s="5">
        <v>43526.9338041898</v>
      </c>
      <c r="C418" s="6">
        <v>1.064</v>
      </c>
      <c r="D418" s="6">
        <v>69.0</v>
      </c>
      <c r="E418" s="7" t="s">
        <v>7</v>
      </c>
      <c r="F418" s="7" t="s">
        <v>8</v>
      </c>
      <c r="G418" s="8"/>
    </row>
    <row r="419">
      <c r="A419" s="4">
        <v>43526.61110299769</v>
      </c>
      <c r="B419" s="5">
        <v>43526.9442251736</v>
      </c>
      <c r="C419" s="6">
        <v>1.064</v>
      </c>
      <c r="D419" s="6">
        <v>69.0</v>
      </c>
      <c r="E419" s="7" t="s">
        <v>7</v>
      </c>
      <c r="F419" s="7" t="s">
        <v>8</v>
      </c>
      <c r="G419" s="8"/>
    </row>
    <row r="420">
      <c r="A420" s="4">
        <v>43526.62179936343</v>
      </c>
      <c r="B420" s="5">
        <v>43526.9546486574</v>
      </c>
      <c r="C420" s="6">
        <v>1.064</v>
      </c>
      <c r="D420" s="6">
        <v>69.0</v>
      </c>
      <c r="E420" s="7" t="s">
        <v>7</v>
      </c>
      <c r="F420" s="7" t="s">
        <v>8</v>
      </c>
      <c r="G420" s="8"/>
    </row>
    <row r="421">
      <c r="A421" s="4">
        <v>43526.63196377315</v>
      </c>
      <c r="B421" s="5">
        <v>43526.9650805439</v>
      </c>
      <c r="C421" s="6">
        <v>1.064</v>
      </c>
      <c r="D421" s="6">
        <v>69.0</v>
      </c>
      <c r="E421" s="7" t="s">
        <v>7</v>
      </c>
      <c r="F421" s="7" t="s">
        <v>8</v>
      </c>
      <c r="G421" s="8"/>
    </row>
    <row r="422">
      <c r="A422" s="4">
        <v>43526.64228756944</v>
      </c>
      <c r="B422" s="5">
        <v>43526.9755010185</v>
      </c>
      <c r="C422" s="6">
        <v>1.064</v>
      </c>
      <c r="D422" s="6">
        <v>69.0</v>
      </c>
      <c r="E422" s="7" t="s">
        <v>7</v>
      </c>
      <c r="F422" s="7" t="s">
        <v>8</v>
      </c>
      <c r="G422" s="8"/>
    </row>
    <row r="423">
      <c r="A423" s="4">
        <v>43526.65280925926</v>
      </c>
      <c r="B423" s="5">
        <v>43526.9859442592</v>
      </c>
      <c r="C423" s="6">
        <v>1.064</v>
      </c>
      <c r="D423" s="6">
        <v>69.0</v>
      </c>
      <c r="E423" s="7" t="s">
        <v>7</v>
      </c>
      <c r="F423" s="7" t="s">
        <v>8</v>
      </c>
      <c r="G423" s="8"/>
    </row>
    <row r="424">
      <c r="A424" s="4">
        <v>43526.66313755787</v>
      </c>
      <c r="B424" s="5">
        <v>43526.9963660185</v>
      </c>
      <c r="C424" s="6">
        <v>1.064</v>
      </c>
      <c r="D424" s="6">
        <v>69.0</v>
      </c>
      <c r="E424" s="7" t="s">
        <v>7</v>
      </c>
      <c r="F424" s="7" t="s">
        <v>8</v>
      </c>
      <c r="G424" s="8"/>
    </row>
    <row r="425">
      <c r="A425" s="4">
        <v>43526.67367319444</v>
      </c>
      <c r="B425" s="5">
        <v>43527.0067879861</v>
      </c>
      <c r="C425" s="6">
        <v>1.064</v>
      </c>
      <c r="D425" s="6">
        <v>69.0</v>
      </c>
      <c r="E425" s="7" t="s">
        <v>7</v>
      </c>
      <c r="F425" s="7" t="s">
        <v>8</v>
      </c>
      <c r="G425" s="8"/>
    </row>
    <row r="426">
      <c r="A426" s="4">
        <v>43526.68414780093</v>
      </c>
      <c r="B426" s="5">
        <v>43527.017209537</v>
      </c>
      <c r="C426" s="6">
        <v>1.064</v>
      </c>
      <c r="D426" s="6">
        <v>69.0</v>
      </c>
      <c r="E426" s="7" t="s">
        <v>7</v>
      </c>
      <c r="F426" s="7" t="s">
        <v>8</v>
      </c>
      <c r="G426" s="8"/>
    </row>
    <row r="427">
      <c r="A427" s="4">
        <v>43526.69442417824</v>
      </c>
      <c r="B427" s="5">
        <v>43527.0276418287</v>
      </c>
      <c r="C427" s="6">
        <v>1.064</v>
      </c>
      <c r="D427" s="6">
        <v>69.0</v>
      </c>
      <c r="E427" s="7" t="s">
        <v>7</v>
      </c>
      <c r="F427" s="7" t="s">
        <v>8</v>
      </c>
      <c r="G427" s="8"/>
    </row>
    <row r="428">
      <c r="A428" s="4">
        <v>43526.704837233796</v>
      </c>
      <c r="B428" s="5">
        <v>43527.0380738888</v>
      </c>
      <c r="C428" s="6">
        <v>1.064</v>
      </c>
      <c r="D428" s="6">
        <v>69.0</v>
      </c>
      <c r="E428" s="7" t="s">
        <v>7</v>
      </c>
      <c r="F428" s="7" t="s">
        <v>8</v>
      </c>
      <c r="G428" s="8"/>
    </row>
    <row r="429">
      <c r="A429" s="4">
        <v>43526.71529771991</v>
      </c>
      <c r="B429" s="5">
        <v>43527.0485087731</v>
      </c>
      <c r="C429" s="6">
        <v>1.064</v>
      </c>
      <c r="D429" s="6">
        <v>69.0</v>
      </c>
      <c r="E429" s="7" t="s">
        <v>7</v>
      </c>
      <c r="F429" s="7" t="s">
        <v>8</v>
      </c>
      <c r="G429" s="8"/>
    </row>
    <row r="430">
      <c r="A430" s="4">
        <v>43526.725807106486</v>
      </c>
      <c r="B430" s="5">
        <v>43527.0589330092</v>
      </c>
      <c r="C430" s="6">
        <v>1.064</v>
      </c>
      <c r="D430" s="6">
        <v>69.0</v>
      </c>
      <c r="E430" s="7" t="s">
        <v>7</v>
      </c>
      <c r="F430" s="7" t="s">
        <v>8</v>
      </c>
      <c r="G430" s="8"/>
    </row>
    <row r="431">
      <c r="A431" s="4">
        <v>43526.736149398144</v>
      </c>
      <c r="B431" s="5">
        <v>43527.0693755439</v>
      </c>
      <c r="C431" s="6">
        <v>1.064</v>
      </c>
      <c r="D431" s="6">
        <v>69.0</v>
      </c>
      <c r="E431" s="7" t="s">
        <v>7</v>
      </c>
      <c r="F431" s="7" t="s">
        <v>8</v>
      </c>
      <c r="G431" s="8"/>
    </row>
    <row r="432">
      <c r="A432" s="4">
        <v>43526.74687769676</v>
      </c>
      <c r="B432" s="5">
        <v>43527.0798091087</v>
      </c>
      <c r="C432" s="6">
        <v>1.063</v>
      </c>
      <c r="D432" s="6">
        <v>69.0</v>
      </c>
      <c r="E432" s="7" t="s">
        <v>7</v>
      </c>
      <c r="F432" s="7" t="s">
        <v>8</v>
      </c>
      <c r="G432" s="8"/>
    </row>
    <row r="433">
      <c r="A433" s="4">
        <v>43526.75722987269</v>
      </c>
      <c r="B433" s="5">
        <v>43527.0902527199</v>
      </c>
      <c r="C433" s="6">
        <v>1.063</v>
      </c>
      <c r="D433" s="6">
        <v>69.0</v>
      </c>
      <c r="E433" s="7" t="s">
        <v>7</v>
      </c>
      <c r="F433" s="7" t="s">
        <v>8</v>
      </c>
      <c r="G433" s="8"/>
    </row>
    <row r="434">
      <c r="A434" s="4">
        <v>43526.7778778125</v>
      </c>
      <c r="B434" s="5">
        <v>43527.1111205671</v>
      </c>
      <c r="C434" s="6">
        <v>1.064</v>
      </c>
      <c r="D434" s="6">
        <v>69.0</v>
      </c>
      <c r="E434" s="7" t="s">
        <v>7</v>
      </c>
      <c r="F434" s="7" t="s">
        <v>8</v>
      </c>
      <c r="G434" s="8"/>
    </row>
    <row r="435">
      <c r="A435" s="4">
        <v>43526.78833055556</v>
      </c>
      <c r="B435" s="5">
        <v>43527.1215533449</v>
      </c>
      <c r="C435" s="6">
        <v>1.063</v>
      </c>
      <c r="D435" s="6">
        <v>69.0</v>
      </c>
      <c r="E435" s="7" t="s">
        <v>7</v>
      </c>
      <c r="F435" s="7" t="s">
        <v>8</v>
      </c>
      <c r="G435" s="8"/>
    </row>
    <row r="436">
      <c r="A436" s="4">
        <v>43526.79921518519</v>
      </c>
      <c r="B436" s="5">
        <v>43527.1319858217</v>
      </c>
      <c r="C436" s="6">
        <v>1.063</v>
      </c>
      <c r="D436" s="6">
        <v>69.0</v>
      </c>
      <c r="E436" s="7" t="s">
        <v>7</v>
      </c>
      <c r="F436" s="7" t="s">
        <v>8</v>
      </c>
      <c r="G436" s="8"/>
    </row>
    <row r="437">
      <c r="A437" s="4">
        <v>43526.81985086805</v>
      </c>
      <c r="B437" s="5">
        <v>43527.1528730092</v>
      </c>
      <c r="C437" s="6">
        <v>1.063</v>
      </c>
      <c r="D437" s="6">
        <v>69.0</v>
      </c>
      <c r="E437" s="7" t="s">
        <v>7</v>
      </c>
      <c r="F437" s="7" t="s">
        <v>8</v>
      </c>
      <c r="G437" s="8"/>
    </row>
    <row r="438">
      <c r="A438" s="4">
        <v>43526.830472974536</v>
      </c>
      <c r="B438" s="5">
        <v>43527.163316875</v>
      </c>
      <c r="C438" s="6">
        <v>1.063</v>
      </c>
      <c r="D438" s="6">
        <v>69.0</v>
      </c>
      <c r="E438" s="7" t="s">
        <v>7</v>
      </c>
      <c r="F438" s="7" t="s">
        <v>8</v>
      </c>
      <c r="G438" s="8"/>
    </row>
    <row r="439">
      <c r="A439" s="4">
        <v>43526.84052732639</v>
      </c>
      <c r="B439" s="5">
        <v>43527.1737392939</v>
      </c>
      <c r="C439" s="6">
        <v>1.063</v>
      </c>
      <c r="D439" s="6">
        <v>69.0</v>
      </c>
      <c r="E439" s="7" t="s">
        <v>7</v>
      </c>
      <c r="F439" s="7" t="s">
        <v>8</v>
      </c>
      <c r="G439" s="8"/>
    </row>
    <row r="440">
      <c r="A440" s="4">
        <v>43526.85094107639</v>
      </c>
      <c r="B440" s="5">
        <v>43527.1841596643</v>
      </c>
      <c r="C440" s="6">
        <v>1.063</v>
      </c>
      <c r="D440" s="6">
        <v>69.0</v>
      </c>
      <c r="E440" s="7" t="s">
        <v>7</v>
      </c>
      <c r="F440" s="7" t="s">
        <v>8</v>
      </c>
      <c r="G440" s="8"/>
    </row>
    <row r="441">
      <c r="A441" s="4">
        <v>43526.8616047338</v>
      </c>
      <c r="B441" s="5">
        <v>43527.1945803125</v>
      </c>
      <c r="C441" s="6">
        <v>1.063</v>
      </c>
      <c r="D441" s="6">
        <v>69.0</v>
      </c>
      <c r="E441" s="7" t="s">
        <v>7</v>
      </c>
      <c r="F441" s="7" t="s">
        <v>8</v>
      </c>
      <c r="G441" s="8"/>
    </row>
    <row r="442">
      <c r="A442" s="4">
        <v>43526.87176274306</v>
      </c>
      <c r="B442" s="5">
        <v>43527.2050027199</v>
      </c>
      <c r="C442" s="6">
        <v>1.063</v>
      </c>
      <c r="D442" s="6">
        <v>69.0</v>
      </c>
      <c r="E442" s="7" t="s">
        <v>7</v>
      </c>
      <c r="F442" s="7" t="s">
        <v>8</v>
      </c>
      <c r="G442" s="8"/>
    </row>
    <row r="443">
      <c r="A443" s="4">
        <v>43526.882487511575</v>
      </c>
      <c r="B443" s="5">
        <v>43527.2154250694</v>
      </c>
      <c r="C443" s="6">
        <v>1.063</v>
      </c>
      <c r="D443" s="6">
        <v>69.0</v>
      </c>
      <c r="E443" s="7" t="s">
        <v>7</v>
      </c>
      <c r="F443" s="7" t="s">
        <v>8</v>
      </c>
      <c r="G443" s="8"/>
    </row>
    <row r="444">
      <c r="A444" s="4">
        <v>43526.892622175925</v>
      </c>
      <c r="B444" s="5">
        <v>43527.2258476504</v>
      </c>
      <c r="C444" s="6">
        <v>1.063</v>
      </c>
      <c r="D444" s="6">
        <v>69.0</v>
      </c>
      <c r="E444" s="7" t="s">
        <v>7</v>
      </c>
      <c r="F444" s="7" t="s">
        <v>8</v>
      </c>
      <c r="G444" s="8"/>
    </row>
    <row r="445">
      <c r="A445" s="4">
        <v>43526.90314407407</v>
      </c>
      <c r="B445" s="5">
        <v>43527.2362788657</v>
      </c>
      <c r="C445" s="6">
        <v>1.063</v>
      </c>
      <c r="D445" s="6">
        <v>69.0</v>
      </c>
      <c r="E445" s="7" t="s">
        <v>7</v>
      </c>
      <c r="F445" s="7" t="s">
        <v>8</v>
      </c>
      <c r="G445" s="8"/>
    </row>
    <row r="446">
      <c r="A446" s="4">
        <v>43526.91348369213</v>
      </c>
      <c r="B446" s="5">
        <v>43527.246699375</v>
      </c>
      <c r="C446" s="6">
        <v>1.063</v>
      </c>
      <c r="D446" s="6">
        <v>69.0</v>
      </c>
      <c r="E446" s="7" t="s">
        <v>7</v>
      </c>
      <c r="F446" s="7" t="s">
        <v>8</v>
      </c>
      <c r="G446" s="8"/>
    </row>
    <row r="447">
      <c r="A447" s="4">
        <v>43526.92439136574</v>
      </c>
      <c r="B447" s="5">
        <v>43527.25713125</v>
      </c>
      <c r="C447" s="6">
        <v>1.063</v>
      </c>
      <c r="D447" s="6">
        <v>69.0</v>
      </c>
      <c r="E447" s="7" t="s">
        <v>7</v>
      </c>
      <c r="F447" s="7" t="s">
        <v>8</v>
      </c>
      <c r="G447" s="8"/>
    </row>
    <row r="448">
      <c r="A448" s="4">
        <v>43526.94478672453</v>
      </c>
      <c r="B448" s="5">
        <v>43527.2779981481</v>
      </c>
      <c r="C448" s="6">
        <v>1.063</v>
      </c>
      <c r="D448" s="6">
        <v>69.0</v>
      </c>
      <c r="E448" s="7" t="s">
        <v>7</v>
      </c>
      <c r="F448" s="7" t="s">
        <v>8</v>
      </c>
      <c r="G448" s="8"/>
    </row>
    <row r="449">
      <c r="A449" s="4">
        <v>43526.955487430554</v>
      </c>
      <c r="B449" s="5">
        <v>43527.28842125</v>
      </c>
      <c r="C449" s="6">
        <v>1.063</v>
      </c>
      <c r="D449" s="6">
        <v>69.0</v>
      </c>
      <c r="E449" s="7" t="s">
        <v>7</v>
      </c>
      <c r="F449" s="7" t="s">
        <v>8</v>
      </c>
      <c r="G449" s="8"/>
    </row>
    <row r="450">
      <c r="A450" s="4">
        <v>43526.96569002315</v>
      </c>
      <c r="B450" s="5">
        <v>43527.298840162</v>
      </c>
      <c r="C450" s="6">
        <v>1.063</v>
      </c>
      <c r="D450" s="6">
        <v>69.0</v>
      </c>
      <c r="E450" s="7" t="s">
        <v>7</v>
      </c>
      <c r="F450" s="7" t="s">
        <v>8</v>
      </c>
      <c r="G450" s="8"/>
    </row>
    <row r="451">
      <c r="A451" s="4">
        <v>43526.97604055556</v>
      </c>
      <c r="B451" s="5">
        <v>43527.3092616782</v>
      </c>
      <c r="C451" s="6">
        <v>1.063</v>
      </c>
      <c r="D451" s="6">
        <v>69.0</v>
      </c>
      <c r="E451" s="7" t="s">
        <v>7</v>
      </c>
      <c r="F451" s="7" t="s">
        <v>8</v>
      </c>
      <c r="G451" s="8"/>
    </row>
    <row r="452">
      <c r="A452" s="4">
        <v>43526.986421249996</v>
      </c>
      <c r="B452" s="5">
        <v>43527.3196843865</v>
      </c>
      <c r="C452" s="6">
        <v>1.063</v>
      </c>
      <c r="D452" s="6">
        <v>69.0</v>
      </c>
      <c r="E452" s="7" t="s">
        <v>7</v>
      </c>
      <c r="F452" s="7" t="s">
        <v>8</v>
      </c>
      <c r="G452" s="8"/>
    </row>
    <row r="453">
      <c r="A453" s="4">
        <v>43526.996874282406</v>
      </c>
      <c r="B453" s="5">
        <v>43527.3301053009</v>
      </c>
      <c r="C453" s="6">
        <v>1.062</v>
      </c>
      <c r="D453" s="6">
        <v>69.0</v>
      </c>
      <c r="E453" s="7" t="s">
        <v>7</v>
      </c>
      <c r="F453" s="7" t="s">
        <v>8</v>
      </c>
      <c r="G453" s="8"/>
    </row>
    <row r="454">
      <c r="A454" s="4">
        <v>43527.00758635417</v>
      </c>
      <c r="B454" s="5">
        <v>43527.3405275115</v>
      </c>
      <c r="C454" s="6">
        <v>1.063</v>
      </c>
      <c r="D454" s="6">
        <v>69.0</v>
      </c>
      <c r="E454" s="7" t="s">
        <v>7</v>
      </c>
      <c r="F454" s="7" t="s">
        <v>8</v>
      </c>
      <c r="G454" s="8"/>
    </row>
    <row r="455">
      <c r="A455" s="4">
        <v>43527.01773568287</v>
      </c>
      <c r="B455" s="5">
        <v>43527.3509474305</v>
      </c>
      <c r="C455" s="6">
        <v>1.062</v>
      </c>
      <c r="D455" s="6">
        <v>69.0</v>
      </c>
      <c r="E455" s="7" t="s">
        <v>7</v>
      </c>
      <c r="F455" s="7" t="s">
        <v>8</v>
      </c>
      <c r="G455" s="8"/>
    </row>
    <row r="456">
      <c r="A456" s="4">
        <v>43527.028150300925</v>
      </c>
      <c r="B456" s="5">
        <v>43527.3613686226</v>
      </c>
      <c r="C456" s="6">
        <v>1.062</v>
      </c>
      <c r="D456" s="6">
        <v>69.0</v>
      </c>
      <c r="E456" s="7" t="s">
        <v>7</v>
      </c>
      <c r="F456" s="7" t="s">
        <v>8</v>
      </c>
      <c r="G456" s="8"/>
    </row>
    <row r="457">
      <c r="A457" s="4">
        <v>43527.038849386576</v>
      </c>
      <c r="B457" s="5">
        <v>43527.3717886111</v>
      </c>
      <c r="C457" s="6">
        <v>1.062</v>
      </c>
      <c r="D457" s="6">
        <v>69.0</v>
      </c>
      <c r="E457" s="7" t="s">
        <v>7</v>
      </c>
      <c r="F457" s="7" t="s">
        <v>8</v>
      </c>
      <c r="G457" s="8"/>
    </row>
    <row r="458">
      <c r="A458" s="4">
        <v>43527.04897578704</v>
      </c>
      <c r="B458" s="5">
        <v>43527.3822098958</v>
      </c>
      <c r="C458" s="6">
        <v>1.063</v>
      </c>
      <c r="D458" s="6">
        <v>69.0</v>
      </c>
      <c r="E458" s="7" t="s">
        <v>7</v>
      </c>
      <c r="F458" s="7" t="s">
        <v>8</v>
      </c>
      <c r="G458" s="8"/>
    </row>
    <row r="459">
      <c r="A459" s="4">
        <v>43527.05941377315</v>
      </c>
      <c r="B459" s="5">
        <v>43527.3926314004</v>
      </c>
      <c r="C459" s="6">
        <v>1.063</v>
      </c>
      <c r="D459" s="6">
        <v>69.0</v>
      </c>
      <c r="E459" s="7" t="s">
        <v>7</v>
      </c>
      <c r="F459" s="7" t="s">
        <v>8</v>
      </c>
      <c r="G459" s="8"/>
    </row>
    <row r="460">
      <c r="A460" s="4">
        <v>43527.06985519676</v>
      </c>
      <c r="B460" s="5">
        <v>43527.4030639004</v>
      </c>
      <c r="C460" s="6">
        <v>1.062</v>
      </c>
      <c r="D460" s="6">
        <v>69.0</v>
      </c>
      <c r="E460" s="7" t="s">
        <v>7</v>
      </c>
      <c r="F460" s="7" t="s">
        <v>8</v>
      </c>
      <c r="G460" s="8"/>
    </row>
    <row r="461">
      <c r="A461" s="4">
        <v>43527.080357638886</v>
      </c>
      <c r="B461" s="5">
        <v>43527.413485162</v>
      </c>
      <c r="C461" s="6">
        <v>1.062</v>
      </c>
      <c r="D461" s="6">
        <v>69.0</v>
      </c>
      <c r="E461" s="7" t="s">
        <v>7</v>
      </c>
      <c r="F461" s="7" t="s">
        <v>8</v>
      </c>
      <c r="G461" s="8"/>
    </row>
    <row r="462">
      <c r="A462" s="4">
        <v>43527.090709375</v>
      </c>
      <c r="B462" s="5">
        <v>43527.4239176504</v>
      </c>
      <c r="C462" s="6">
        <v>1.062</v>
      </c>
      <c r="D462" s="6">
        <v>69.0</v>
      </c>
      <c r="E462" s="7" t="s">
        <v>7</v>
      </c>
      <c r="F462" s="7" t="s">
        <v>8</v>
      </c>
      <c r="G462" s="8"/>
    </row>
    <row r="463">
      <c r="A463" s="4">
        <v>43527.10111826389</v>
      </c>
      <c r="B463" s="5">
        <v>43527.4343393055</v>
      </c>
      <c r="C463" s="6">
        <v>1.062</v>
      </c>
      <c r="D463" s="6">
        <v>69.0</v>
      </c>
      <c r="E463" s="7" t="s">
        <v>7</v>
      </c>
      <c r="F463" s="7" t="s">
        <v>8</v>
      </c>
      <c r="G463" s="8"/>
    </row>
    <row r="464">
      <c r="A464" s="4">
        <v>43527.11210074074</v>
      </c>
      <c r="B464" s="5">
        <v>43527.4447593865</v>
      </c>
      <c r="C464" s="6">
        <v>1.062</v>
      </c>
      <c r="D464" s="6">
        <v>69.0</v>
      </c>
      <c r="E464" s="7" t="s">
        <v>7</v>
      </c>
      <c r="F464" s="7" t="s">
        <v>8</v>
      </c>
      <c r="G464" s="8"/>
    </row>
    <row r="465">
      <c r="A465" s="4">
        <v>43527.12196427083</v>
      </c>
      <c r="B465" s="5">
        <v>43527.4551799189</v>
      </c>
      <c r="C465" s="6">
        <v>1.062</v>
      </c>
      <c r="D465" s="6">
        <v>69.0</v>
      </c>
      <c r="E465" s="7" t="s">
        <v>7</v>
      </c>
      <c r="F465" s="7" t="s">
        <v>8</v>
      </c>
      <c r="G465" s="8"/>
    </row>
    <row r="466">
      <c r="A466" s="4">
        <v>43527.132362233795</v>
      </c>
      <c r="B466" s="5">
        <v>43527.4656001967</v>
      </c>
      <c r="C466" s="6">
        <v>1.062</v>
      </c>
      <c r="D466" s="6">
        <v>69.0</v>
      </c>
      <c r="E466" s="7" t="s">
        <v>7</v>
      </c>
      <c r="F466" s="7" t="s">
        <v>8</v>
      </c>
      <c r="G466" s="8"/>
    </row>
    <row r="467">
      <c r="A467" s="4">
        <v>43527.142804456016</v>
      </c>
      <c r="B467" s="5">
        <v>43527.4760234375</v>
      </c>
      <c r="C467" s="6">
        <v>1.062</v>
      </c>
      <c r="D467" s="6">
        <v>69.0</v>
      </c>
      <c r="E467" s="7" t="s">
        <v>7</v>
      </c>
      <c r="F467" s="7" t="s">
        <v>8</v>
      </c>
      <c r="G467" s="8"/>
    </row>
    <row r="468">
      <c r="A468" s="4">
        <v>43527.15323027778</v>
      </c>
      <c r="B468" s="5">
        <v>43527.4864448263</v>
      </c>
      <c r="C468" s="6">
        <v>1.062</v>
      </c>
      <c r="D468" s="6">
        <v>69.0</v>
      </c>
      <c r="E468" s="7" t="s">
        <v>7</v>
      </c>
      <c r="F468" s="7" t="s">
        <v>8</v>
      </c>
      <c r="G468" s="8"/>
    </row>
    <row r="469">
      <c r="A469" s="4">
        <v>43527.163829537036</v>
      </c>
      <c r="B469" s="5">
        <v>43527.496866493</v>
      </c>
      <c r="C469" s="6">
        <v>1.062</v>
      </c>
      <c r="D469" s="6">
        <v>69.0</v>
      </c>
      <c r="E469" s="7" t="s">
        <v>7</v>
      </c>
      <c r="F469" s="7" t="s">
        <v>8</v>
      </c>
      <c r="G469" s="8"/>
    </row>
    <row r="470">
      <c r="A470" s="4">
        <v>43527.17407143518</v>
      </c>
      <c r="B470" s="5">
        <v>43527.507287662</v>
      </c>
      <c r="C470" s="6">
        <v>1.062</v>
      </c>
      <c r="D470" s="6">
        <v>69.0</v>
      </c>
      <c r="E470" s="7" t="s">
        <v>7</v>
      </c>
      <c r="F470" s="7" t="s">
        <v>8</v>
      </c>
      <c r="G470" s="8"/>
    </row>
    <row r="471">
      <c r="A471" s="4">
        <v>43527.19502252315</v>
      </c>
      <c r="B471" s="5">
        <v>43527.5281410995</v>
      </c>
      <c r="C471" s="6">
        <v>1.062</v>
      </c>
      <c r="D471" s="6">
        <v>69.0</v>
      </c>
      <c r="E471" s="7" t="s">
        <v>7</v>
      </c>
      <c r="F471" s="7" t="s">
        <v>8</v>
      </c>
      <c r="G471" s="8"/>
    </row>
    <row r="472">
      <c r="A472" s="4">
        <v>43527.20561873843</v>
      </c>
      <c r="B472" s="5">
        <v>43527.538561574</v>
      </c>
      <c r="C472" s="6">
        <v>1.062</v>
      </c>
      <c r="D472" s="6">
        <v>69.0</v>
      </c>
      <c r="E472" s="7" t="s">
        <v>7</v>
      </c>
      <c r="F472" s="7" t="s">
        <v>8</v>
      </c>
      <c r="G472" s="8"/>
    </row>
    <row r="473">
      <c r="A473" s="4">
        <v>43527.2161337963</v>
      </c>
      <c r="B473" s="5">
        <v>43527.5489828935</v>
      </c>
      <c r="C473" s="6">
        <v>1.062</v>
      </c>
      <c r="D473" s="6">
        <v>69.0</v>
      </c>
      <c r="E473" s="7" t="s">
        <v>7</v>
      </c>
      <c r="F473" s="7" t="s">
        <v>8</v>
      </c>
      <c r="G473" s="8"/>
    </row>
    <row r="474">
      <c r="A474" s="4">
        <v>43527.22628585648</v>
      </c>
      <c r="B474" s="5">
        <v>43527.5594171412</v>
      </c>
      <c r="C474" s="6">
        <v>1.062</v>
      </c>
      <c r="D474" s="6">
        <v>69.0</v>
      </c>
      <c r="E474" s="7" t="s">
        <v>7</v>
      </c>
      <c r="F474" s="7" t="s">
        <v>8</v>
      </c>
      <c r="G474" s="8"/>
    </row>
    <row r="475">
      <c r="A475" s="4">
        <v>43527.23663121527</v>
      </c>
      <c r="B475" s="5">
        <v>43527.569840324</v>
      </c>
      <c r="C475" s="6">
        <v>1.062</v>
      </c>
      <c r="D475" s="6">
        <v>69.0</v>
      </c>
      <c r="E475" s="7" t="s">
        <v>7</v>
      </c>
      <c r="F475" s="7" t="s">
        <v>8</v>
      </c>
      <c r="G475" s="8"/>
    </row>
    <row r="476">
      <c r="A476" s="4">
        <v>43527.24715232639</v>
      </c>
      <c r="B476" s="5">
        <v>43527.5802615393</v>
      </c>
      <c r="C476" s="6">
        <v>1.062</v>
      </c>
      <c r="D476" s="6">
        <v>69.0</v>
      </c>
      <c r="E476" s="7" t="s">
        <v>7</v>
      </c>
      <c r="F476" s="7" t="s">
        <v>8</v>
      </c>
      <c r="G476" s="8"/>
    </row>
    <row r="477">
      <c r="A477" s="4">
        <v>43527.25763127315</v>
      </c>
      <c r="B477" s="5">
        <v>43527.590684155</v>
      </c>
      <c r="C477" s="6">
        <v>1.062</v>
      </c>
      <c r="D477" s="6">
        <v>69.0</v>
      </c>
      <c r="E477" s="7" t="s">
        <v>7</v>
      </c>
      <c r="F477" s="7" t="s">
        <v>8</v>
      </c>
      <c r="G477" s="8"/>
    </row>
    <row r="478">
      <c r="A478" s="4">
        <v>43527.26826427084</v>
      </c>
      <c r="B478" s="5">
        <v>43527.6011046643</v>
      </c>
      <c r="C478" s="6">
        <v>1.062</v>
      </c>
      <c r="D478" s="6">
        <v>69.0</v>
      </c>
      <c r="E478" s="7" t="s">
        <v>7</v>
      </c>
      <c r="F478" s="7" t="s">
        <v>8</v>
      </c>
      <c r="G478" s="8"/>
    </row>
    <row r="479">
      <c r="A479" s="4">
        <v>43527.27849427084</v>
      </c>
      <c r="B479" s="5">
        <v>43527.61152603</v>
      </c>
      <c r="C479" s="6">
        <v>1.061</v>
      </c>
      <c r="D479" s="6">
        <v>69.0</v>
      </c>
      <c r="E479" s="7" t="s">
        <v>7</v>
      </c>
      <c r="F479" s="7" t="s">
        <v>8</v>
      </c>
      <c r="G479" s="8"/>
    </row>
    <row r="480">
      <c r="A480" s="4">
        <v>43527.288764756944</v>
      </c>
      <c r="B480" s="5">
        <v>43527.6219839004</v>
      </c>
      <c r="C480" s="6">
        <v>1.061</v>
      </c>
      <c r="D480" s="6">
        <v>69.0</v>
      </c>
      <c r="E480" s="7" t="s">
        <v>7</v>
      </c>
      <c r="F480" s="7" t="s">
        <v>8</v>
      </c>
      <c r="G480" s="8"/>
    </row>
    <row r="481">
      <c r="A481" s="4">
        <v>43527.299469907404</v>
      </c>
      <c r="B481" s="5">
        <v>43527.6324048842</v>
      </c>
      <c r="C481" s="6">
        <v>1.061</v>
      </c>
      <c r="D481" s="6">
        <v>69.0</v>
      </c>
      <c r="E481" s="7" t="s">
        <v>7</v>
      </c>
      <c r="F481" s="7" t="s">
        <v>8</v>
      </c>
      <c r="G481" s="8"/>
    </row>
    <row r="482">
      <c r="A482" s="4">
        <v>43527.32048094907</v>
      </c>
      <c r="B482" s="5">
        <v>43527.6532464236</v>
      </c>
      <c r="C482" s="6">
        <v>1.062</v>
      </c>
      <c r="D482" s="6">
        <v>69.0</v>
      </c>
      <c r="E482" s="7" t="s">
        <v>7</v>
      </c>
      <c r="F482" s="7" t="s">
        <v>8</v>
      </c>
      <c r="G482" s="8"/>
    </row>
    <row r="483">
      <c r="A483" s="4">
        <v>43527.330543449076</v>
      </c>
      <c r="B483" s="5">
        <v>43527.66366728</v>
      </c>
      <c r="C483" s="6">
        <v>1.062</v>
      </c>
      <c r="D483" s="6">
        <v>69.0</v>
      </c>
      <c r="E483" s="7" t="s">
        <v>7</v>
      </c>
      <c r="F483" s="7" t="s">
        <v>8</v>
      </c>
      <c r="G483" s="8"/>
    </row>
    <row r="484">
      <c r="A484" s="4">
        <v>43527.341171886575</v>
      </c>
      <c r="B484" s="5">
        <v>43527.6741107638</v>
      </c>
      <c r="C484" s="6">
        <v>1.062</v>
      </c>
      <c r="D484" s="6">
        <v>69.0</v>
      </c>
      <c r="E484" s="7" t="s">
        <v>7</v>
      </c>
      <c r="F484" s="7" t="s">
        <v>8</v>
      </c>
      <c r="G484" s="8"/>
    </row>
    <row r="485">
      <c r="A485" s="4">
        <v>43527.35131915509</v>
      </c>
      <c r="B485" s="5">
        <v>43527.6845427662</v>
      </c>
      <c r="C485" s="6">
        <v>1.061</v>
      </c>
      <c r="D485" s="6">
        <v>69.0</v>
      </c>
      <c r="E485" s="7" t="s">
        <v>7</v>
      </c>
      <c r="F485" s="7" t="s">
        <v>8</v>
      </c>
      <c r="G485" s="8"/>
    </row>
    <row r="486">
      <c r="A486" s="4">
        <v>43527.36203001157</v>
      </c>
      <c r="B486" s="5">
        <v>43527.6949631944</v>
      </c>
      <c r="C486" s="6">
        <v>1.061</v>
      </c>
      <c r="D486" s="6">
        <v>69.0</v>
      </c>
      <c r="E486" s="7" t="s">
        <v>7</v>
      </c>
      <c r="F486" s="7" t="s">
        <v>8</v>
      </c>
      <c r="G486" s="8"/>
    </row>
    <row r="487">
      <c r="A487" s="4">
        <v>43527.372206203705</v>
      </c>
      <c r="B487" s="5">
        <v>43527.7054312037</v>
      </c>
      <c r="C487" s="6">
        <v>1.061</v>
      </c>
      <c r="D487" s="6">
        <v>69.0</v>
      </c>
      <c r="E487" s="7" t="s">
        <v>7</v>
      </c>
      <c r="F487" s="7" t="s">
        <v>8</v>
      </c>
      <c r="G487" s="8"/>
    </row>
    <row r="488">
      <c r="A488" s="4">
        <v>43527.382837303245</v>
      </c>
      <c r="B488" s="5">
        <v>43527.7158534143</v>
      </c>
      <c r="C488" s="6">
        <v>1.061</v>
      </c>
      <c r="D488" s="6">
        <v>69.0</v>
      </c>
      <c r="E488" s="7" t="s">
        <v>7</v>
      </c>
      <c r="F488" s="7" t="s">
        <v>8</v>
      </c>
      <c r="G488" s="8"/>
    </row>
    <row r="489">
      <c r="A489" s="4">
        <v>43527.403504745365</v>
      </c>
      <c r="B489" s="5">
        <v>43527.7367294791</v>
      </c>
      <c r="C489" s="6">
        <v>1.061</v>
      </c>
      <c r="D489" s="6">
        <v>69.0</v>
      </c>
      <c r="E489" s="7" t="s">
        <v>7</v>
      </c>
      <c r="F489" s="7" t="s">
        <v>8</v>
      </c>
      <c r="G489" s="8"/>
    </row>
    <row r="490">
      <c r="A490" s="4">
        <v>43527.41430989583</v>
      </c>
      <c r="B490" s="5">
        <v>43527.7471519097</v>
      </c>
      <c r="C490" s="6">
        <v>1.061</v>
      </c>
      <c r="D490" s="6">
        <v>69.0</v>
      </c>
      <c r="E490" s="7" t="s">
        <v>7</v>
      </c>
      <c r="F490" s="7" t="s">
        <v>8</v>
      </c>
      <c r="G490" s="8"/>
    </row>
    <row r="491">
      <c r="A491" s="4">
        <v>43527.43506395833</v>
      </c>
      <c r="B491" s="5">
        <v>43527.7680047106</v>
      </c>
      <c r="C491" s="6">
        <v>1.061</v>
      </c>
      <c r="D491" s="6">
        <v>69.0</v>
      </c>
      <c r="E491" s="7" t="s">
        <v>7</v>
      </c>
      <c r="F491" s="7" t="s">
        <v>8</v>
      </c>
      <c r="G491" s="8"/>
    </row>
    <row r="492">
      <c r="A492" s="4">
        <v>43527.445197974535</v>
      </c>
      <c r="B492" s="5">
        <v>43527.7784254745</v>
      </c>
      <c r="C492" s="6">
        <v>1.061</v>
      </c>
      <c r="D492" s="6">
        <v>69.0</v>
      </c>
      <c r="E492" s="7" t="s">
        <v>7</v>
      </c>
      <c r="F492" s="7" t="s">
        <v>8</v>
      </c>
      <c r="G492" s="8"/>
    </row>
    <row r="493">
      <c r="A493" s="4">
        <v>43527.456002754625</v>
      </c>
      <c r="B493" s="5">
        <v>43527.7888581481</v>
      </c>
      <c r="C493" s="6">
        <v>1.061</v>
      </c>
      <c r="D493" s="6">
        <v>69.0</v>
      </c>
      <c r="E493" s="7" t="s">
        <v>7</v>
      </c>
      <c r="F493" s="7" t="s">
        <v>8</v>
      </c>
      <c r="G493" s="8"/>
    </row>
    <row r="494">
      <c r="A494" s="4">
        <v>43527.46606803241</v>
      </c>
      <c r="B494" s="5">
        <v>43527.7992789583</v>
      </c>
      <c r="C494" s="6">
        <v>1.061</v>
      </c>
      <c r="D494" s="6">
        <v>69.0</v>
      </c>
      <c r="E494" s="7" t="s">
        <v>7</v>
      </c>
      <c r="F494" s="7" t="s">
        <v>8</v>
      </c>
      <c r="G494" s="8"/>
    </row>
    <row r="495">
      <c r="A495" s="4">
        <v>43527.476957060186</v>
      </c>
      <c r="B495" s="5">
        <v>43527.8096998148</v>
      </c>
      <c r="C495" s="6">
        <v>1.061</v>
      </c>
      <c r="D495" s="6">
        <v>69.0</v>
      </c>
      <c r="E495" s="7" t="s">
        <v>7</v>
      </c>
      <c r="F495" s="7" t="s">
        <v>8</v>
      </c>
      <c r="G495" s="8"/>
    </row>
    <row r="496">
      <c r="A496" s="4">
        <v>43527.49743751157</v>
      </c>
      <c r="B496" s="5">
        <v>43527.8305644907</v>
      </c>
      <c r="C496" s="6">
        <v>1.061</v>
      </c>
      <c r="D496" s="6">
        <v>69.0</v>
      </c>
      <c r="E496" s="7" t="s">
        <v>7</v>
      </c>
      <c r="F496" s="7" t="s">
        <v>8</v>
      </c>
      <c r="G496" s="8"/>
    </row>
    <row r="497">
      <c r="A497" s="4">
        <v>43527.50816046297</v>
      </c>
      <c r="B497" s="5">
        <v>43527.840998287</v>
      </c>
      <c r="C497" s="6">
        <v>1.061</v>
      </c>
      <c r="D497" s="6">
        <v>69.0</v>
      </c>
      <c r="E497" s="7" t="s">
        <v>7</v>
      </c>
      <c r="F497" s="7" t="s">
        <v>8</v>
      </c>
      <c r="G497" s="8"/>
    </row>
    <row r="498">
      <c r="A498" s="4">
        <v>43527.518499375</v>
      </c>
      <c r="B498" s="5">
        <v>43527.8514318287</v>
      </c>
      <c r="C498" s="6">
        <v>1.061</v>
      </c>
      <c r="D498" s="6">
        <v>69.0</v>
      </c>
      <c r="E498" s="7" t="s">
        <v>7</v>
      </c>
      <c r="F498" s="7" t="s">
        <v>8</v>
      </c>
      <c r="G498" s="8"/>
    </row>
    <row r="499">
      <c r="A499" s="4">
        <v>43527.52891814815</v>
      </c>
      <c r="B499" s="5">
        <v>43527.8618545601</v>
      </c>
      <c r="C499" s="6">
        <v>1.061</v>
      </c>
      <c r="D499" s="6">
        <v>69.0</v>
      </c>
      <c r="E499" s="7" t="s">
        <v>7</v>
      </c>
      <c r="F499" s="7" t="s">
        <v>8</v>
      </c>
      <c r="G499" s="8"/>
    </row>
    <row r="500">
      <c r="A500" s="4">
        <v>43527.539073761574</v>
      </c>
      <c r="B500" s="5">
        <v>43527.8722863657</v>
      </c>
      <c r="C500" s="6">
        <v>1.061</v>
      </c>
      <c r="D500" s="6">
        <v>69.0</v>
      </c>
      <c r="E500" s="7" t="s">
        <v>7</v>
      </c>
      <c r="F500" s="7" t="s">
        <v>8</v>
      </c>
      <c r="G500" s="8"/>
    </row>
    <row r="501">
      <c r="A501" s="4">
        <v>43527.54949131944</v>
      </c>
      <c r="B501" s="5">
        <v>43527.8827081944</v>
      </c>
      <c r="C501" s="6">
        <v>1.061</v>
      </c>
      <c r="D501" s="6">
        <v>69.0</v>
      </c>
      <c r="E501" s="7" t="s">
        <v>7</v>
      </c>
      <c r="F501" s="7" t="s">
        <v>8</v>
      </c>
      <c r="G501" s="8"/>
    </row>
    <row r="502">
      <c r="A502" s="4">
        <v>43527.56027960648</v>
      </c>
      <c r="B502" s="5">
        <v>43527.8931292129</v>
      </c>
      <c r="C502" s="6">
        <v>1.061</v>
      </c>
      <c r="D502" s="6">
        <v>69.0</v>
      </c>
      <c r="E502" s="7" t="s">
        <v>7</v>
      </c>
      <c r="F502" s="7" t="s">
        <v>8</v>
      </c>
      <c r="G502" s="8"/>
    </row>
    <row r="503">
      <c r="A503" s="4">
        <v>43527.58122289352</v>
      </c>
      <c r="B503" s="5">
        <v>43527.9139942939</v>
      </c>
      <c r="C503" s="6">
        <v>1.061</v>
      </c>
      <c r="D503" s="6">
        <v>69.0</v>
      </c>
      <c r="E503" s="7" t="s">
        <v>7</v>
      </c>
      <c r="F503" s="7" t="s">
        <v>8</v>
      </c>
      <c r="G503" s="8"/>
    </row>
    <row r="504">
      <c r="A504" s="4">
        <v>43527.59173950231</v>
      </c>
      <c r="B504" s="5">
        <v>43527.9244165046</v>
      </c>
      <c r="C504" s="6">
        <v>1.061</v>
      </c>
      <c r="D504" s="6">
        <v>69.0</v>
      </c>
      <c r="E504" s="7" t="s">
        <v>7</v>
      </c>
      <c r="F504" s="7" t="s">
        <v>8</v>
      </c>
      <c r="G504" s="8"/>
    </row>
    <row r="505">
      <c r="A505" s="4">
        <v>43527.60198533565</v>
      </c>
      <c r="B505" s="5">
        <v>43527.9348376388</v>
      </c>
      <c r="C505" s="6">
        <v>1.061</v>
      </c>
      <c r="D505" s="6">
        <v>69.0</v>
      </c>
      <c r="E505" s="7" t="s">
        <v>7</v>
      </c>
      <c r="F505" s="7" t="s">
        <v>8</v>
      </c>
      <c r="G505" s="8"/>
    </row>
    <row r="506">
      <c r="A506" s="4">
        <v>43527.61222969907</v>
      </c>
      <c r="B506" s="5">
        <v>43527.9452593055</v>
      </c>
      <c r="C506" s="6">
        <v>1.061</v>
      </c>
      <c r="D506" s="6">
        <v>69.0</v>
      </c>
      <c r="E506" s="7" t="s">
        <v>7</v>
      </c>
      <c r="F506" s="7" t="s">
        <v>8</v>
      </c>
      <c r="G506" s="8"/>
    </row>
    <row r="507">
      <c r="A507" s="4">
        <v>43527.62302914352</v>
      </c>
      <c r="B507" s="5">
        <v>43527.9556801967</v>
      </c>
      <c r="C507" s="6">
        <v>1.061</v>
      </c>
      <c r="D507" s="6">
        <v>69.0</v>
      </c>
      <c r="E507" s="7" t="s">
        <v>7</v>
      </c>
      <c r="F507" s="7" t="s">
        <v>8</v>
      </c>
      <c r="G507" s="8"/>
    </row>
    <row r="508">
      <c r="A508" s="4">
        <v>43527.63327496528</v>
      </c>
      <c r="B508" s="5">
        <v>43527.9661114583</v>
      </c>
      <c r="C508" s="6">
        <v>1.061</v>
      </c>
      <c r="D508" s="6">
        <v>69.0</v>
      </c>
      <c r="E508" s="7" t="s">
        <v>7</v>
      </c>
      <c r="F508" s="7" t="s">
        <v>8</v>
      </c>
      <c r="G508" s="8"/>
    </row>
    <row r="509">
      <c r="A509" s="4">
        <v>43527.643520219906</v>
      </c>
      <c r="B509" s="5">
        <v>43527.9765448726</v>
      </c>
      <c r="C509" s="6">
        <v>1.061</v>
      </c>
      <c r="D509" s="6">
        <v>69.0</v>
      </c>
      <c r="E509" s="7" t="s">
        <v>7</v>
      </c>
      <c r="F509" s="7" t="s">
        <v>8</v>
      </c>
      <c r="G509" s="8"/>
    </row>
    <row r="510">
      <c r="A510" s="4">
        <v>43527.65430810185</v>
      </c>
      <c r="B510" s="5">
        <v>43527.9869660532</v>
      </c>
      <c r="C510" s="6">
        <v>1.061</v>
      </c>
      <c r="D510" s="6">
        <v>69.0</v>
      </c>
      <c r="E510" s="7" t="s">
        <v>7</v>
      </c>
      <c r="F510" s="7" t="s">
        <v>8</v>
      </c>
      <c r="G510" s="8"/>
    </row>
    <row r="511">
      <c r="A511" s="4">
        <v>43527.67483166666</v>
      </c>
      <c r="B511" s="5">
        <v>43528.0078560995</v>
      </c>
      <c r="C511" s="6">
        <v>1.06</v>
      </c>
      <c r="D511" s="6">
        <v>69.0</v>
      </c>
      <c r="E511" s="7" t="s">
        <v>7</v>
      </c>
      <c r="F511" s="7" t="s">
        <v>8</v>
      </c>
      <c r="G511" s="8"/>
    </row>
    <row r="512">
      <c r="A512" s="4">
        <v>43527.68535784722</v>
      </c>
      <c r="B512" s="5">
        <v>43528.0182879513</v>
      </c>
      <c r="C512" s="6">
        <v>1.06</v>
      </c>
      <c r="D512" s="6">
        <v>69.0</v>
      </c>
      <c r="E512" s="7" t="s">
        <v>7</v>
      </c>
      <c r="F512" s="7" t="s">
        <v>8</v>
      </c>
      <c r="G512" s="8"/>
    </row>
    <row r="513">
      <c r="A513" s="4">
        <v>43527.70601268519</v>
      </c>
      <c r="B513" s="5">
        <v>43528.0391436921</v>
      </c>
      <c r="C513" s="6">
        <v>1.06</v>
      </c>
      <c r="D513" s="6">
        <v>69.0</v>
      </c>
      <c r="E513" s="7" t="s">
        <v>7</v>
      </c>
      <c r="F513" s="7" t="s">
        <v>8</v>
      </c>
      <c r="G513" s="8"/>
    </row>
    <row r="514">
      <c r="A514" s="4">
        <v>43527.716437800926</v>
      </c>
      <c r="B514" s="5">
        <v>43528.0495659953</v>
      </c>
      <c r="C514" s="6">
        <v>1.06</v>
      </c>
      <c r="D514" s="6">
        <v>69.0</v>
      </c>
      <c r="E514" s="7" t="s">
        <v>7</v>
      </c>
      <c r="F514" s="7" t="s">
        <v>8</v>
      </c>
      <c r="G514" s="8"/>
    </row>
    <row r="515">
      <c r="A515" s="4">
        <v>43527.72694328704</v>
      </c>
      <c r="B515" s="5">
        <v>43528.0599844213</v>
      </c>
      <c r="C515" s="6">
        <v>1.06</v>
      </c>
      <c r="D515" s="6">
        <v>69.0</v>
      </c>
      <c r="E515" s="7" t="s">
        <v>7</v>
      </c>
      <c r="F515" s="7" t="s">
        <v>8</v>
      </c>
      <c r="G515" s="8"/>
    </row>
    <row r="516">
      <c r="A516" s="4">
        <v>43527.74781335648</v>
      </c>
      <c r="B516" s="5">
        <v>43528.0808491666</v>
      </c>
      <c r="C516" s="6">
        <v>1.06</v>
      </c>
      <c r="D516" s="6">
        <v>69.0</v>
      </c>
      <c r="E516" s="7" t="s">
        <v>7</v>
      </c>
      <c r="F516" s="7" t="s">
        <v>8</v>
      </c>
      <c r="G516" s="8"/>
    </row>
    <row r="517">
      <c r="A517" s="4">
        <v>43527.77900070602</v>
      </c>
      <c r="B517" s="5">
        <v>43528.1121116088</v>
      </c>
      <c r="C517" s="6">
        <v>1.06</v>
      </c>
      <c r="D517" s="6">
        <v>69.0</v>
      </c>
      <c r="E517" s="7" t="s">
        <v>7</v>
      </c>
      <c r="F517" s="7" t="s">
        <v>8</v>
      </c>
      <c r="G517" s="8"/>
    </row>
    <row r="518">
      <c r="A518" s="4">
        <v>43527.78968821759</v>
      </c>
      <c r="B518" s="5">
        <v>43528.1225333449</v>
      </c>
      <c r="C518" s="6">
        <v>1.06</v>
      </c>
      <c r="D518" s="6">
        <v>69.0</v>
      </c>
      <c r="E518" s="7" t="s">
        <v>7</v>
      </c>
      <c r="F518" s="7" t="s">
        <v>8</v>
      </c>
      <c r="G518" s="8"/>
    </row>
    <row r="519">
      <c r="A519" s="4">
        <v>43527.82106016204</v>
      </c>
      <c r="B519" s="5">
        <v>43528.1537990856</v>
      </c>
      <c r="C519" s="6">
        <v>1.06</v>
      </c>
      <c r="D519" s="6">
        <v>69.0</v>
      </c>
      <c r="E519" s="7" t="s">
        <v>7</v>
      </c>
      <c r="F519" s="7" t="s">
        <v>8</v>
      </c>
      <c r="G519" s="8"/>
    </row>
    <row r="520">
      <c r="A520" s="4">
        <v>43527.83148142361</v>
      </c>
      <c r="B520" s="5">
        <v>43528.16423125</v>
      </c>
      <c r="C520" s="6">
        <v>1.06</v>
      </c>
      <c r="D520" s="6">
        <v>69.0</v>
      </c>
      <c r="E520" s="7" t="s">
        <v>7</v>
      </c>
      <c r="F520" s="7" t="s">
        <v>8</v>
      </c>
      <c r="G520" s="8"/>
    </row>
    <row r="521">
      <c r="A521" s="4">
        <v>43527.86277578704</v>
      </c>
      <c r="B521" s="5">
        <v>43528.1955181828</v>
      </c>
      <c r="C521" s="6">
        <v>1.06</v>
      </c>
      <c r="D521" s="6">
        <v>68.0</v>
      </c>
      <c r="E521" s="7" t="s">
        <v>7</v>
      </c>
      <c r="F521" s="7" t="s">
        <v>8</v>
      </c>
      <c r="G521" s="8"/>
    </row>
    <row r="522">
      <c r="A522" s="4">
        <v>43527.87300380787</v>
      </c>
      <c r="B522" s="5">
        <v>43528.2059396296</v>
      </c>
      <c r="C522" s="6">
        <v>1.06</v>
      </c>
      <c r="D522" s="6">
        <v>68.0</v>
      </c>
      <c r="E522" s="7" t="s">
        <v>7</v>
      </c>
      <c r="F522" s="7" t="s">
        <v>8</v>
      </c>
      <c r="G522" s="8"/>
    </row>
    <row r="523">
      <c r="A523" s="4">
        <v>43527.91441376157</v>
      </c>
      <c r="B523" s="5">
        <v>43528.2476376157</v>
      </c>
      <c r="C523" s="6">
        <v>1.06</v>
      </c>
      <c r="D523" s="6">
        <v>68.0</v>
      </c>
      <c r="E523" s="7" t="s">
        <v>7</v>
      </c>
      <c r="F523" s="7" t="s">
        <v>8</v>
      </c>
      <c r="G523" s="8"/>
    </row>
    <row r="524">
      <c r="A524" s="4">
        <v>43527.935269953705</v>
      </c>
      <c r="B524" s="5">
        <v>43528.2684798495</v>
      </c>
      <c r="C524" s="6">
        <v>1.06</v>
      </c>
      <c r="D524" s="6">
        <v>68.0</v>
      </c>
      <c r="E524" s="7" t="s">
        <v>7</v>
      </c>
      <c r="F524" s="7" t="s">
        <v>8</v>
      </c>
      <c r="G524" s="8"/>
    </row>
    <row r="525">
      <c r="A525" s="4">
        <v>43527.95612471065</v>
      </c>
      <c r="B525" s="5">
        <v>43528.289335405</v>
      </c>
      <c r="C525" s="6">
        <v>1.06</v>
      </c>
      <c r="D525" s="6">
        <v>68.0</v>
      </c>
      <c r="E525" s="7" t="s">
        <v>7</v>
      </c>
      <c r="F525" s="7" t="s">
        <v>8</v>
      </c>
      <c r="G525" s="8"/>
    </row>
    <row r="526">
      <c r="A526" s="4">
        <v>43527.966636736106</v>
      </c>
      <c r="B526" s="5">
        <v>43528.2997556712</v>
      </c>
      <c r="C526" s="6">
        <v>1.059</v>
      </c>
      <c r="D526" s="6">
        <v>68.0</v>
      </c>
      <c r="E526" s="7" t="s">
        <v>7</v>
      </c>
      <c r="F526" s="7" t="s">
        <v>8</v>
      </c>
      <c r="G526" s="8"/>
    </row>
    <row r="527">
      <c r="A527" s="4">
        <v>43527.99782575232</v>
      </c>
      <c r="B527" s="5">
        <v>43528.3310416087</v>
      </c>
      <c r="C527" s="6">
        <v>1.06</v>
      </c>
      <c r="D527" s="6">
        <v>68.0</v>
      </c>
      <c r="E527" s="7" t="s">
        <v>7</v>
      </c>
      <c r="F527" s="7" t="s">
        <v>8</v>
      </c>
      <c r="G527" s="8"/>
    </row>
    <row r="528">
      <c r="A528" s="4">
        <v>43528.00855854167</v>
      </c>
      <c r="B528" s="5">
        <v>43528.3414870138</v>
      </c>
      <c r="C528" s="6">
        <v>1.059</v>
      </c>
      <c r="D528" s="6">
        <v>68.0</v>
      </c>
      <c r="E528" s="7" t="s">
        <v>7</v>
      </c>
      <c r="F528" s="7" t="s">
        <v>8</v>
      </c>
      <c r="G528" s="8"/>
    </row>
    <row r="529">
      <c r="A529" s="4">
        <v>43528.01869456019</v>
      </c>
      <c r="B529" s="5">
        <v>43528.3519085185</v>
      </c>
      <c r="C529" s="6">
        <v>1.06</v>
      </c>
      <c r="D529" s="6">
        <v>68.0</v>
      </c>
      <c r="E529" s="7" t="s">
        <v>7</v>
      </c>
      <c r="F529" s="7" t="s">
        <v>8</v>
      </c>
      <c r="G529" s="8"/>
    </row>
    <row r="530">
      <c r="A530" s="4">
        <v>43528.05036789352</v>
      </c>
      <c r="B530" s="5">
        <v>43528.3832175115</v>
      </c>
      <c r="C530" s="6">
        <v>1.059</v>
      </c>
      <c r="D530" s="6">
        <v>67.0</v>
      </c>
      <c r="E530" s="7" t="s">
        <v>7</v>
      </c>
      <c r="F530" s="7" t="s">
        <v>8</v>
      </c>
      <c r="G530" s="8"/>
    </row>
    <row r="531">
      <c r="A531" s="4">
        <v>43528.08185818287</v>
      </c>
      <c r="B531" s="5">
        <v>43528.4145141898</v>
      </c>
      <c r="C531" s="6">
        <v>1.059</v>
      </c>
      <c r="D531" s="6">
        <v>67.0</v>
      </c>
      <c r="E531" s="7" t="s">
        <v>7</v>
      </c>
      <c r="F531" s="7" t="s">
        <v>8</v>
      </c>
      <c r="G531" s="8"/>
    </row>
    <row r="532">
      <c r="A532" s="4">
        <v>43528.10253415509</v>
      </c>
      <c r="B532" s="5">
        <v>43528.4353675694</v>
      </c>
      <c r="C532" s="6">
        <v>1.059</v>
      </c>
      <c r="D532" s="6">
        <v>67.0</v>
      </c>
      <c r="E532" s="7" t="s">
        <v>7</v>
      </c>
      <c r="F532" s="7" t="s">
        <v>8</v>
      </c>
      <c r="G532" s="8"/>
    </row>
    <row r="533">
      <c r="A533" s="4">
        <v>43528.12337045139</v>
      </c>
      <c r="B533" s="5">
        <v>43528.4562110069</v>
      </c>
      <c r="C533" s="6">
        <v>1.059</v>
      </c>
      <c r="D533" s="6">
        <v>67.0</v>
      </c>
      <c r="E533" s="7" t="s">
        <v>7</v>
      </c>
      <c r="F533" s="7" t="s">
        <v>8</v>
      </c>
      <c r="G533" s="8"/>
    </row>
    <row r="534">
      <c r="A534" s="4">
        <v>43528.13378171297</v>
      </c>
      <c r="B534" s="5">
        <v>43528.4666444328</v>
      </c>
      <c r="C534" s="6">
        <v>1.059</v>
      </c>
      <c r="D534" s="6">
        <v>67.0</v>
      </c>
      <c r="E534" s="7" t="s">
        <v>7</v>
      </c>
      <c r="F534" s="7" t="s">
        <v>8</v>
      </c>
      <c r="G534" s="8"/>
    </row>
    <row r="535">
      <c r="A535" s="4">
        <v>43528.14385050926</v>
      </c>
      <c r="B535" s="5">
        <v>43528.4770644444</v>
      </c>
      <c r="C535" s="6">
        <v>1.059</v>
      </c>
      <c r="D535" s="6">
        <v>67.0</v>
      </c>
      <c r="E535" s="7" t="s">
        <v>7</v>
      </c>
      <c r="F535" s="7" t="s">
        <v>8</v>
      </c>
      <c r="G535" s="8"/>
    </row>
    <row r="536">
      <c r="A536" s="4">
        <v>43528.154313391206</v>
      </c>
      <c r="B536" s="5">
        <v>43528.4875217939</v>
      </c>
      <c r="C536" s="6">
        <v>1.059</v>
      </c>
      <c r="D536" s="6">
        <v>67.0</v>
      </c>
      <c r="E536" s="7" t="s">
        <v>7</v>
      </c>
      <c r="F536" s="7" t="s">
        <v>8</v>
      </c>
      <c r="G536" s="8"/>
    </row>
    <row r="537">
      <c r="A537" s="4">
        <v>43528.16529982639</v>
      </c>
      <c r="B537" s="5">
        <v>43528.4979432291</v>
      </c>
      <c r="C537" s="6">
        <v>1.059</v>
      </c>
      <c r="D537" s="6">
        <v>67.0</v>
      </c>
      <c r="E537" s="7" t="s">
        <v>7</v>
      </c>
      <c r="F537" s="7" t="s">
        <v>8</v>
      </c>
      <c r="G537" s="8"/>
    </row>
    <row r="538">
      <c r="A538" s="4">
        <v>43528.175166076384</v>
      </c>
      <c r="B538" s="5">
        <v>43528.508375787</v>
      </c>
      <c r="C538" s="6">
        <v>1.059</v>
      </c>
      <c r="D538" s="6">
        <v>67.0</v>
      </c>
      <c r="E538" s="7" t="s">
        <v>7</v>
      </c>
      <c r="F538" s="7" t="s">
        <v>8</v>
      </c>
      <c r="G538" s="8"/>
    </row>
    <row r="539">
      <c r="A539" s="4">
        <v>43528.18559255787</v>
      </c>
      <c r="B539" s="5">
        <v>43528.5188090856</v>
      </c>
      <c r="C539" s="6">
        <v>1.059</v>
      </c>
      <c r="D539" s="6">
        <v>67.0</v>
      </c>
      <c r="E539" s="7" t="s">
        <v>7</v>
      </c>
      <c r="F539" s="7" t="s">
        <v>8</v>
      </c>
      <c r="G539" s="8"/>
    </row>
    <row r="540">
      <c r="A540" s="4">
        <v>43528.20672408565</v>
      </c>
      <c r="B540" s="5">
        <v>43528.5396632754</v>
      </c>
      <c r="C540" s="6">
        <v>1.059</v>
      </c>
      <c r="D540" s="6">
        <v>67.0</v>
      </c>
      <c r="E540" s="7" t="s">
        <v>7</v>
      </c>
      <c r="F540" s="7" t="s">
        <v>8</v>
      </c>
      <c r="G540" s="8"/>
    </row>
    <row r="541">
      <c r="A541" s="4">
        <v>43528.22747734954</v>
      </c>
      <c r="B541" s="5">
        <v>43528.5605052893</v>
      </c>
      <c r="C541" s="6">
        <v>1.059</v>
      </c>
      <c r="D541" s="6">
        <v>67.0</v>
      </c>
      <c r="E541" s="7" t="s">
        <v>7</v>
      </c>
      <c r="F541" s="7" t="s">
        <v>8</v>
      </c>
      <c r="G541" s="8"/>
    </row>
    <row r="542">
      <c r="A542" s="4">
        <v>43528.26917730324</v>
      </c>
      <c r="B542" s="5">
        <v>43528.60220353</v>
      </c>
      <c r="C542" s="6">
        <v>1.058</v>
      </c>
      <c r="D542" s="6">
        <v>67.0</v>
      </c>
      <c r="E542" s="7" t="s">
        <v>7</v>
      </c>
      <c r="F542" s="7" t="s">
        <v>8</v>
      </c>
      <c r="G542" s="8"/>
    </row>
    <row r="543">
      <c r="A543" s="4">
        <v>43528.27959097222</v>
      </c>
      <c r="B543" s="5">
        <v>43528.6126226041</v>
      </c>
      <c r="C543" s="6">
        <v>1.059</v>
      </c>
      <c r="D543" s="6">
        <v>67.0</v>
      </c>
      <c r="E543" s="7" t="s">
        <v>7</v>
      </c>
      <c r="F543" s="7" t="s">
        <v>8</v>
      </c>
      <c r="G543" s="8"/>
    </row>
    <row r="544">
      <c r="A544" s="4">
        <v>43528.290207094906</v>
      </c>
      <c r="B544" s="5">
        <v>43528.623045162</v>
      </c>
      <c r="C544" s="6">
        <v>1.058</v>
      </c>
      <c r="D544" s="6">
        <v>67.0</v>
      </c>
      <c r="E544" s="7" t="s">
        <v>7</v>
      </c>
      <c r="F544" s="7" t="s">
        <v>8</v>
      </c>
      <c r="G544" s="8"/>
    </row>
    <row r="545">
      <c r="A545" s="4">
        <v>43528.31076931713</v>
      </c>
      <c r="B545" s="5">
        <v>43528.6438863657</v>
      </c>
      <c r="C545" s="6">
        <v>1.058</v>
      </c>
      <c r="D545" s="6">
        <v>67.0</v>
      </c>
      <c r="E545" s="7" t="s">
        <v>7</v>
      </c>
      <c r="F545" s="7" t="s">
        <v>8</v>
      </c>
      <c r="G545" s="8"/>
    </row>
    <row r="546">
      <c r="A546" s="4">
        <v>43528.321108414355</v>
      </c>
      <c r="B546" s="5">
        <v>43528.6543305092</v>
      </c>
      <c r="C546" s="6">
        <v>1.058</v>
      </c>
      <c r="D546" s="6">
        <v>67.0</v>
      </c>
      <c r="E546" s="7" t="s">
        <v>7</v>
      </c>
      <c r="F546" s="7" t="s">
        <v>8</v>
      </c>
      <c r="G546" s="8"/>
    </row>
    <row r="547">
      <c r="A547" s="4">
        <v>43528.34196431713</v>
      </c>
      <c r="B547" s="5">
        <v>43528.6751729513</v>
      </c>
      <c r="C547" s="6">
        <v>1.059</v>
      </c>
      <c r="D547" s="6">
        <v>67.0</v>
      </c>
      <c r="E547" s="7" t="s">
        <v>7</v>
      </c>
      <c r="F547" s="7" t="s">
        <v>8</v>
      </c>
      <c r="G547" s="8"/>
    </row>
    <row r="548">
      <c r="A548" s="4">
        <v>43528.35247128472</v>
      </c>
      <c r="B548" s="5">
        <v>43528.6855946412</v>
      </c>
      <c r="C548" s="6">
        <v>1.058</v>
      </c>
      <c r="D548" s="6">
        <v>67.0</v>
      </c>
      <c r="E548" s="7" t="s">
        <v>7</v>
      </c>
      <c r="F548" s="7" t="s">
        <v>8</v>
      </c>
      <c r="G548" s="8"/>
    </row>
    <row r="549">
      <c r="A549" s="4">
        <v>43528.373344583335</v>
      </c>
      <c r="B549" s="5">
        <v>43528.7064602777</v>
      </c>
      <c r="C549" s="6">
        <v>1.058</v>
      </c>
      <c r="D549" s="6">
        <v>67.0</v>
      </c>
      <c r="E549" s="7" t="s">
        <v>7</v>
      </c>
      <c r="F549" s="7" t="s">
        <v>8</v>
      </c>
      <c r="G549" s="8"/>
    </row>
    <row r="550">
      <c r="A550" s="4">
        <v>43528.383853645835</v>
      </c>
      <c r="B550" s="5">
        <v>43528.7168816782</v>
      </c>
      <c r="C550" s="6">
        <v>1.058</v>
      </c>
      <c r="D550" s="6">
        <v>66.0</v>
      </c>
      <c r="E550" s="7" t="s">
        <v>7</v>
      </c>
      <c r="F550" s="7" t="s">
        <v>8</v>
      </c>
      <c r="G550" s="8"/>
    </row>
    <row r="551">
      <c r="A551" s="4">
        <v>43528.39429744213</v>
      </c>
      <c r="B551" s="5">
        <v>43528.7273138425</v>
      </c>
      <c r="C551" s="6">
        <v>1.058</v>
      </c>
      <c r="D551" s="6">
        <v>66.0</v>
      </c>
      <c r="E551" s="7" t="s">
        <v>7</v>
      </c>
      <c r="F551" s="7" t="s">
        <v>8</v>
      </c>
      <c r="G551" s="8"/>
    </row>
    <row r="552">
      <c r="A552" s="4">
        <v>43528.404909398145</v>
      </c>
      <c r="B552" s="5">
        <v>43528.737747743</v>
      </c>
      <c r="C552" s="6">
        <v>1.058</v>
      </c>
      <c r="D552" s="6">
        <v>66.0</v>
      </c>
      <c r="E552" s="7" t="s">
        <v>7</v>
      </c>
      <c r="F552" s="7" t="s">
        <v>8</v>
      </c>
      <c r="G552" s="8"/>
    </row>
    <row r="553">
      <c r="A553" s="4">
        <v>43528.41533986111</v>
      </c>
      <c r="B553" s="5">
        <v>43528.7481669907</v>
      </c>
      <c r="C553" s="6">
        <v>1.058</v>
      </c>
      <c r="D553" s="6">
        <v>66.0</v>
      </c>
      <c r="E553" s="7" t="s">
        <v>7</v>
      </c>
      <c r="F553" s="7" t="s">
        <v>8</v>
      </c>
      <c r="G553" s="8"/>
    </row>
    <row r="554">
      <c r="A554" s="4">
        <v>43528.42547077546</v>
      </c>
      <c r="B554" s="5">
        <v>43528.7585876041</v>
      </c>
      <c r="C554" s="6">
        <v>1.058</v>
      </c>
      <c r="D554" s="6">
        <v>66.0</v>
      </c>
      <c r="E554" s="7" t="s">
        <v>7</v>
      </c>
      <c r="F554" s="7" t="s">
        <v>8</v>
      </c>
      <c r="G554" s="8"/>
    </row>
    <row r="555">
      <c r="A555" s="4">
        <v>43528.43598231481</v>
      </c>
      <c r="B555" s="5">
        <v>43528.7690097685</v>
      </c>
      <c r="C555" s="6">
        <v>1.058</v>
      </c>
      <c r="D555" s="6">
        <v>66.0</v>
      </c>
      <c r="E555" s="7" t="s">
        <v>7</v>
      </c>
      <c r="F555" s="7" t="s">
        <v>8</v>
      </c>
      <c r="G555" s="8"/>
    </row>
    <row r="556">
      <c r="A556" s="4">
        <v>43528.45702284722</v>
      </c>
      <c r="B556" s="5">
        <v>43528.789852199</v>
      </c>
      <c r="C556" s="6">
        <v>1.058</v>
      </c>
      <c r="D556" s="6">
        <v>66.0</v>
      </c>
      <c r="E556" s="7" t="s">
        <v>7</v>
      </c>
      <c r="F556" s="7" t="s">
        <v>8</v>
      </c>
      <c r="G556" s="8"/>
    </row>
    <row r="557">
      <c r="A557" s="4">
        <v>43528.46715358796</v>
      </c>
      <c r="B557" s="5">
        <v>43528.8002720717</v>
      </c>
      <c r="C557" s="6">
        <v>1.058</v>
      </c>
      <c r="D557" s="6">
        <v>66.0</v>
      </c>
      <c r="E557" s="7" t="s">
        <v>7</v>
      </c>
      <c r="F557" s="7" t="s">
        <v>8</v>
      </c>
      <c r="G557" s="8"/>
    </row>
    <row r="558">
      <c r="A558" s="4">
        <v>43528.4882796412</v>
      </c>
      <c r="B558" s="5">
        <v>43528.821115625</v>
      </c>
      <c r="C558" s="6">
        <v>1.058</v>
      </c>
      <c r="D558" s="6">
        <v>66.0</v>
      </c>
      <c r="E558" s="7" t="s">
        <v>7</v>
      </c>
      <c r="F558" s="7" t="s">
        <v>8</v>
      </c>
      <c r="G558" s="8"/>
    </row>
    <row r="559">
      <c r="A559" s="4">
        <v>43528.50883141204</v>
      </c>
      <c r="B559" s="5">
        <v>43528.8419584143</v>
      </c>
      <c r="C559" s="6">
        <v>1.058</v>
      </c>
      <c r="D559" s="6">
        <v>66.0</v>
      </c>
      <c r="E559" s="7" t="s">
        <v>7</v>
      </c>
      <c r="F559" s="7" t="s">
        <v>8</v>
      </c>
      <c r="G559" s="8"/>
    </row>
    <row r="560">
      <c r="A560" s="4">
        <v>43528.52977716435</v>
      </c>
      <c r="B560" s="5">
        <v>43528.8628012037</v>
      </c>
      <c r="C560" s="6">
        <v>1.058</v>
      </c>
      <c r="D560" s="6">
        <v>66.0</v>
      </c>
      <c r="E560" s="7" t="s">
        <v>7</v>
      </c>
      <c r="F560" s="7" t="s">
        <v>8</v>
      </c>
      <c r="G560" s="8"/>
    </row>
    <row r="561">
      <c r="A561" s="4">
        <v>43528.550623460644</v>
      </c>
      <c r="B561" s="5">
        <v>43528.8836419791</v>
      </c>
      <c r="C561" s="6">
        <v>1.058</v>
      </c>
      <c r="D561" s="6">
        <v>66.0</v>
      </c>
      <c r="E561" s="7" t="s">
        <v>7</v>
      </c>
      <c r="F561" s="7" t="s">
        <v>8</v>
      </c>
      <c r="G561" s="8"/>
    </row>
    <row r="562">
      <c r="A562" s="4">
        <v>43528.560854375</v>
      </c>
      <c r="B562" s="5">
        <v>43528.8940742592</v>
      </c>
      <c r="C562" s="6">
        <v>1.058</v>
      </c>
      <c r="D562" s="6">
        <v>66.0</v>
      </c>
      <c r="E562" s="7" t="s">
        <v>7</v>
      </c>
      <c r="F562" s="7" t="s">
        <v>8</v>
      </c>
      <c r="G562" s="8"/>
    </row>
    <row r="563">
      <c r="A563" s="4">
        <v>43528.571317766204</v>
      </c>
      <c r="B563" s="5">
        <v>43528.904530162</v>
      </c>
      <c r="C563" s="6">
        <v>1.058</v>
      </c>
      <c r="D563" s="6">
        <v>66.0</v>
      </c>
      <c r="E563" s="7" t="s">
        <v>7</v>
      </c>
      <c r="F563" s="7" t="s">
        <v>8</v>
      </c>
      <c r="G563" s="8"/>
    </row>
    <row r="564">
      <c r="A564" s="4">
        <v>43528.582096990736</v>
      </c>
      <c r="B564" s="5">
        <v>43528.9149738541</v>
      </c>
      <c r="C564" s="6">
        <v>1.058</v>
      </c>
      <c r="D564" s="6">
        <v>66.0</v>
      </c>
      <c r="E564" s="7" t="s">
        <v>7</v>
      </c>
      <c r="F564" s="7" t="s">
        <v>8</v>
      </c>
      <c r="G564" s="8"/>
    </row>
    <row r="565">
      <c r="A565" s="4">
        <v>43528.592574131944</v>
      </c>
      <c r="B565" s="5">
        <v>43528.9254062963</v>
      </c>
      <c r="C565" s="6">
        <v>1.057</v>
      </c>
      <c r="D565" s="6">
        <v>66.0</v>
      </c>
      <c r="E565" s="7" t="s">
        <v>7</v>
      </c>
      <c r="F565" s="7" t="s">
        <v>8</v>
      </c>
      <c r="G565" s="8"/>
    </row>
    <row r="566">
      <c r="A566" s="4">
        <v>43528.60308133102</v>
      </c>
      <c r="B566" s="5">
        <v>43528.9358390162</v>
      </c>
      <c r="C566" s="6">
        <v>1.057</v>
      </c>
      <c r="D566" s="6">
        <v>66.0</v>
      </c>
      <c r="E566" s="7" t="s">
        <v>7</v>
      </c>
      <c r="F566" s="7" t="s">
        <v>8</v>
      </c>
      <c r="G566" s="8"/>
    </row>
    <row r="567">
      <c r="A567" s="4">
        <v>43528.613042627316</v>
      </c>
      <c r="B567" s="5">
        <v>43528.9462609143</v>
      </c>
      <c r="C567" s="6">
        <v>1.057</v>
      </c>
      <c r="D567" s="6">
        <v>66.0</v>
      </c>
      <c r="E567" s="7" t="s">
        <v>7</v>
      </c>
      <c r="F567" s="7" t="s">
        <v>8</v>
      </c>
      <c r="G567" s="8"/>
    </row>
    <row r="568">
      <c r="A568" s="4">
        <v>43528.62346403935</v>
      </c>
      <c r="B568" s="5">
        <v>43528.956682199</v>
      </c>
      <c r="C568" s="6">
        <v>1.058</v>
      </c>
      <c r="D568" s="6">
        <v>66.0</v>
      </c>
      <c r="E568" s="7" t="s">
        <v>7</v>
      </c>
      <c r="F568" s="7" t="s">
        <v>8</v>
      </c>
      <c r="G568" s="8"/>
    </row>
    <row r="569">
      <c r="A569" s="4">
        <v>43528.63410106482</v>
      </c>
      <c r="B569" s="5">
        <v>43528.9671363541</v>
      </c>
      <c r="C569" s="6">
        <v>1.058</v>
      </c>
      <c r="D569" s="6">
        <v>66.0</v>
      </c>
      <c r="E569" s="7" t="s">
        <v>7</v>
      </c>
      <c r="F569" s="7" t="s">
        <v>8</v>
      </c>
      <c r="G569" s="8"/>
    </row>
    <row r="570">
      <c r="A570" s="4">
        <v>43528.64434237269</v>
      </c>
      <c r="B570" s="5">
        <v>43528.9775582407</v>
      </c>
      <c r="C570" s="6">
        <v>1.058</v>
      </c>
      <c r="D570" s="6">
        <v>66.0</v>
      </c>
      <c r="E570" s="7" t="s">
        <v>7</v>
      </c>
      <c r="F570" s="7" t="s">
        <v>8</v>
      </c>
      <c r="G570" s="8"/>
    </row>
    <row r="571">
      <c r="A571" s="4">
        <v>43528.65511280093</v>
      </c>
      <c r="B571" s="5">
        <v>43528.9879797801</v>
      </c>
      <c r="C571" s="6">
        <v>1.057</v>
      </c>
      <c r="D571" s="6">
        <v>66.0</v>
      </c>
      <c r="E571" s="7" t="s">
        <v>7</v>
      </c>
      <c r="F571" s="7" t="s">
        <v>8</v>
      </c>
      <c r="G571" s="8"/>
    </row>
    <row r="572">
      <c r="A572" s="4">
        <v>43528.66528421296</v>
      </c>
      <c r="B572" s="5">
        <v>43528.99840125</v>
      </c>
      <c r="C572" s="6">
        <v>1.057</v>
      </c>
      <c r="D572" s="6">
        <v>66.0</v>
      </c>
      <c r="E572" s="7" t="s">
        <v>7</v>
      </c>
      <c r="F572" s="7" t="s">
        <v>8</v>
      </c>
      <c r="G572" s="8"/>
    </row>
    <row r="573">
      <c r="A573" s="4">
        <v>43528.67598251157</v>
      </c>
      <c r="B573" s="5">
        <v>43529.0088230439</v>
      </c>
      <c r="C573" s="6">
        <v>1.057</v>
      </c>
      <c r="D573" s="6">
        <v>66.0</v>
      </c>
      <c r="E573" s="7" t="s">
        <v>7</v>
      </c>
      <c r="F573" s="7" t="s">
        <v>8</v>
      </c>
      <c r="G573" s="8"/>
    </row>
    <row r="574">
      <c r="A574" s="4">
        <v>43528.686029652774</v>
      </c>
      <c r="B574" s="5">
        <v>43529.0192445949</v>
      </c>
      <c r="C574" s="6">
        <v>1.057</v>
      </c>
      <c r="D574" s="6">
        <v>66.0</v>
      </c>
      <c r="E574" s="7" t="s">
        <v>7</v>
      </c>
      <c r="F574" s="7" t="s">
        <v>8</v>
      </c>
      <c r="G574" s="8"/>
    </row>
    <row r="575">
      <c r="A575" s="4">
        <v>43528.69643215278</v>
      </c>
      <c r="B575" s="5">
        <v>43529.0296664699</v>
      </c>
      <c r="C575" s="6">
        <v>1.057</v>
      </c>
      <c r="D575" s="6">
        <v>66.0</v>
      </c>
      <c r="E575" s="7" t="s">
        <v>7</v>
      </c>
      <c r="F575" s="7" t="s">
        <v>8</v>
      </c>
      <c r="G575" s="8"/>
    </row>
    <row r="576">
      <c r="A576" s="4">
        <v>43528.717303854166</v>
      </c>
      <c r="B576" s="5">
        <v>43529.0505214004</v>
      </c>
      <c r="C576" s="6">
        <v>1.057</v>
      </c>
      <c r="D576" s="6">
        <v>66.0</v>
      </c>
      <c r="E576" s="7" t="s">
        <v>7</v>
      </c>
      <c r="F576" s="7" t="s">
        <v>8</v>
      </c>
      <c r="G576" s="8"/>
    </row>
    <row r="577">
      <c r="A577" s="4">
        <v>43528.727915787036</v>
      </c>
      <c r="B577" s="5">
        <v>43529.0609563426</v>
      </c>
      <c r="C577" s="6">
        <v>1.057</v>
      </c>
      <c r="D577" s="6">
        <v>66.0</v>
      </c>
      <c r="E577" s="7" t="s">
        <v>7</v>
      </c>
      <c r="F577" s="7" t="s">
        <v>8</v>
      </c>
      <c r="G577" s="8"/>
    </row>
    <row r="578">
      <c r="A578" s="4">
        <v>43528.73842512732</v>
      </c>
      <c r="B578" s="5">
        <v>43529.0713786805</v>
      </c>
      <c r="C578" s="6">
        <v>1.057</v>
      </c>
      <c r="D578" s="6">
        <v>66.0</v>
      </c>
      <c r="E578" s="7" t="s">
        <v>7</v>
      </c>
      <c r="F578" s="7" t="s">
        <v>8</v>
      </c>
      <c r="G578" s="8"/>
    </row>
    <row r="579">
      <c r="A579" s="4">
        <v>43528.74886358796</v>
      </c>
      <c r="B579" s="5">
        <v>43529.0817998148</v>
      </c>
      <c r="C579" s="6">
        <v>1.057</v>
      </c>
      <c r="D579" s="6">
        <v>66.0</v>
      </c>
      <c r="E579" s="7" t="s">
        <v>7</v>
      </c>
      <c r="F579" s="7" t="s">
        <v>8</v>
      </c>
      <c r="G579" s="8"/>
    </row>
    <row r="580">
      <c r="A580" s="4">
        <v>43528.75911666667</v>
      </c>
      <c r="B580" s="5">
        <v>43529.0922343865</v>
      </c>
      <c r="C580" s="6">
        <v>1.057</v>
      </c>
      <c r="D580" s="6">
        <v>66.0</v>
      </c>
      <c r="E580" s="7" t="s">
        <v>7</v>
      </c>
      <c r="F580" s="7" t="s">
        <v>8</v>
      </c>
      <c r="G580" s="8"/>
    </row>
    <row r="581">
      <c r="A581" s="4">
        <v>43528.76952664352</v>
      </c>
      <c r="B581" s="5">
        <v>43529.1026552083</v>
      </c>
      <c r="C581" s="6">
        <v>1.057</v>
      </c>
      <c r="D581" s="6">
        <v>66.0</v>
      </c>
      <c r="E581" s="7" t="s">
        <v>7</v>
      </c>
      <c r="F581" s="7" t="s">
        <v>8</v>
      </c>
      <c r="G581" s="8"/>
    </row>
    <row r="582">
      <c r="A582" s="4">
        <v>43528.77995405093</v>
      </c>
      <c r="B582" s="5">
        <v>43529.1130759259</v>
      </c>
      <c r="C582" s="6">
        <v>1.057</v>
      </c>
      <c r="D582" s="6">
        <v>66.0</v>
      </c>
      <c r="E582" s="7" t="s">
        <v>7</v>
      </c>
      <c r="F582" s="7" t="s">
        <v>8</v>
      </c>
      <c r="G582" s="8"/>
    </row>
    <row r="583">
      <c r="A583" s="4">
        <v>43528.800988194445</v>
      </c>
      <c r="B583" s="5">
        <v>43529.1339184606</v>
      </c>
      <c r="C583" s="6">
        <v>1.057</v>
      </c>
      <c r="D583" s="6">
        <v>66.0</v>
      </c>
      <c r="E583" s="7" t="s">
        <v>7</v>
      </c>
      <c r="F583" s="7" t="s">
        <v>8</v>
      </c>
      <c r="G583" s="8"/>
    </row>
    <row r="584">
      <c r="A584" s="4">
        <v>43528.81122729166</v>
      </c>
      <c r="B584" s="5">
        <v>43529.1443631365</v>
      </c>
      <c r="C584" s="6">
        <v>1.057</v>
      </c>
      <c r="D584" s="6">
        <v>66.0</v>
      </c>
      <c r="E584" s="7" t="s">
        <v>7</v>
      </c>
      <c r="F584" s="7" t="s">
        <v>8</v>
      </c>
      <c r="G584" s="8"/>
    </row>
    <row r="585">
      <c r="A585" s="4">
        <v>43528.82157349537</v>
      </c>
      <c r="B585" s="5">
        <v>43529.1547968518</v>
      </c>
      <c r="C585" s="6">
        <v>1.057</v>
      </c>
      <c r="D585" s="6">
        <v>66.0</v>
      </c>
      <c r="E585" s="7" t="s">
        <v>7</v>
      </c>
      <c r="F585" s="7" t="s">
        <v>8</v>
      </c>
      <c r="G585" s="8"/>
    </row>
    <row r="586">
      <c r="A586" s="4">
        <v>43528.83200494213</v>
      </c>
      <c r="B586" s="5">
        <v>43529.1652180324</v>
      </c>
      <c r="C586" s="6">
        <v>1.057</v>
      </c>
      <c r="D586" s="6">
        <v>66.0</v>
      </c>
      <c r="E586" s="7" t="s">
        <v>7</v>
      </c>
      <c r="F586" s="7" t="s">
        <v>8</v>
      </c>
      <c r="G586" s="8"/>
    </row>
    <row r="587">
      <c r="A587" s="4">
        <v>43528.842621539356</v>
      </c>
      <c r="B587" s="5">
        <v>43529.1756497337</v>
      </c>
      <c r="C587" s="6">
        <v>1.057</v>
      </c>
      <c r="D587" s="6">
        <v>66.0</v>
      </c>
      <c r="E587" s="7" t="s">
        <v>7</v>
      </c>
      <c r="F587" s="7" t="s">
        <v>8</v>
      </c>
      <c r="G587" s="8"/>
    </row>
    <row r="588">
      <c r="A588" s="4">
        <v>43528.85285821759</v>
      </c>
      <c r="B588" s="5">
        <v>43529.1860702893</v>
      </c>
      <c r="C588" s="6">
        <v>1.057</v>
      </c>
      <c r="D588" s="6">
        <v>66.0</v>
      </c>
      <c r="E588" s="7" t="s">
        <v>7</v>
      </c>
      <c r="F588" s="7" t="s">
        <v>8</v>
      </c>
      <c r="G588" s="8"/>
    </row>
    <row r="589">
      <c r="A589" s="4">
        <v>43528.86346905092</v>
      </c>
      <c r="B589" s="5">
        <v>43529.1965023495</v>
      </c>
      <c r="C589" s="6">
        <v>1.057</v>
      </c>
      <c r="D589" s="6">
        <v>66.0</v>
      </c>
      <c r="E589" s="7" t="s">
        <v>7</v>
      </c>
      <c r="F589" s="7" t="s">
        <v>8</v>
      </c>
      <c r="G589" s="8"/>
    </row>
    <row r="590">
      <c r="A590" s="4">
        <v>43528.87388958334</v>
      </c>
      <c r="B590" s="5">
        <v>43529.2069218171</v>
      </c>
      <c r="C590" s="6">
        <v>1.057</v>
      </c>
      <c r="D590" s="6">
        <v>66.0</v>
      </c>
      <c r="E590" s="7" t="s">
        <v>7</v>
      </c>
      <c r="F590" s="7" t="s">
        <v>8</v>
      </c>
      <c r="G590" s="8"/>
    </row>
    <row r="591">
      <c r="A591" s="4">
        <v>43528.884112025466</v>
      </c>
      <c r="B591" s="5">
        <v>43529.2173434259</v>
      </c>
      <c r="C591" s="6">
        <v>1.057</v>
      </c>
      <c r="D591" s="6">
        <v>66.0</v>
      </c>
      <c r="E591" s="7" t="s">
        <v>7</v>
      </c>
      <c r="F591" s="7" t="s">
        <v>8</v>
      </c>
      <c r="G591" s="8"/>
    </row>
    <row r="592">
      <c r="A592" s="4">
        <v>43528.89465559028</v>
      </c>
      <c r="B592" s="5">
        <v>43529.2277749537</v>
      </c>
      <c r="C592" s="6">
        <v>1.057</v>
      </c>
      <c r="D592" s="6">
        <v>66.0</v>
      </c>
      <c r="E592" s="7" t="s">
        <v>7</v>
      </c>
      <c r="F592" s="7" t="s">
        <v>8</v>
      </c>
      <c r="G592" s="8"/>
    </row>
    <row r="593">
      <c r="A593" s="4">
        <v>43528.90507770833</v>
      </c>
      <c r="B593" s="5">
        <v>43529.2382069213</v>
      </c>
      <c r="C593" s="6">
        <v>1.057</v>
      </c>
      <c r="D593" s="6">
        <v>66.0</v>
      </c>
      <c r="E593" s="7" t="s">
        <v>7</v>
      </c>
      <c r="F593" s="7" t="s">
        <v>8</v>
      </c>
      <c r="G593" s="8"/>
    </row>
    <row r="594">
      <c r="A594" s="4">
        <v>43528.91578390046</v>
      </c>
      <c r="B594" s="5">
        <v>43529.2486284027</v>
      </c>
      <c r="C594" s="6">
        <v>1.057</v>
      </c>
      <c r="D594" s="6">
        <v>66.0</v>
      </c>
      <c r="E594" s="7" t="s">
        <v>7</v>
      </c>
      <c r="F594" s="7" t="s">
        <v>8</v>
      </c>
      <c r="G594" s="8"/>
    </row>
    <row r="595">
      <c r="A595" s="4">
        <v>43528.92620178241</v>
      </c>
      <c r="B595" s="5">
        <v>43529.2590483101</v>
      </c>
      <c r="C595" s="6">
        <v>1.057</v>
      </c>
      <c r="D595" s="6">
        <v>66.0</v>
      </c>
      <c r="E595" s="7" t="s">
        <v>7</v>
      </c>
      <c r="F595" s="7" t="s">
        <v>8</v>
      </c>
      <c r="G595" s="8"/>
    </row>
    <row r="596">
      <c r="A596" s="4">
        <v>43528.95719931713</v>
      </c>
      <c r="B596" s="5">
        <v>43529.2903117939</v>
      </c>
      <c r="C596" s="6">
        <v>1.056</v>
      </c>
      <c r="D596" s="6">
        <v>66.0</v>
      </c>
      <c r="E596" s="7" t="s">
        <v>7</v>
      </c>
      <c r="F596" s="7" t="s">
        <v>8</v>
      </c>
      <c r="G596" s="8"/>
    </row>
    <row r="597">
      <c r="A597" s="4">
        <v>43528.9989775463</v>
      </c>
      <c r="B597" s="5">
        <v>43529.3320056597</v>
      </c>
      <c r="C597" s="6">
        <v>1.056</v>
      </c>
      <c r="D597" s="6">
        <v>66.0</v>
      </c>
      <c r="E597" s="7" t="s">
        <v>7</v>
      </c>
      <c r="F597" s="7" t="s">
        <v>8</v>
      </c>
      <c r="G597" s="8"/>
    </row>
    <row r="598">
      <c r="A598" s="4">
        <v>43529.009399421295</v>
      </c>
      <c r="B598" s="5">
        <v>43529.3424268981</v>
      </c>
      <c r="C598" s="6">
        <v>1.056</v>
      </c>
      <c r="D598" s="6">
        <v>66.0</v>
      </c>
      <c r="E598" s="7" t="s">
        <v>7</v>
      </c>
      <c r="F598" s="7" t="s">
        <v>8</v>
      </c>
      <c r="G598" s="8"/>
    </row>
    <row r="599">
      <c r="A599" s="4">
        <v>43529.019651759256</v>
      </c>
      <c r="B599" s="5">
        <v>43529.3528603472</v>
      </c>
      <c r="C599" s="6">
        <v>1.056</v>
      </c>
      <c r="D599" s="6">
        <v>66.0</v>
      </c>
      <c r="E599" s="7" t="s">
        <v>7</v>
      </c>
      <c r="F599" s="7" t="s">
        <v>8</v>
      </c>
      <c r="G599" s="8"/>
    </row>
    <row r="600">
      <c r="A600" s="4">
        <v>43529.03025971065</v>
      </c>
      <c r="B600" s="5">
        <v>43529.3632813657</v>
      </c>
      <c r="C600" s="6">
        <v>1.056</v>
      </c>
      <c r="D600" s="6">
        <v>66.0</v>
      </c>
      <c r="E600" s="7" t="s">
        <v>7</v>
      </c>
      <c r="F600" s="7" t="s">
        <v>8</v>
      </c>
      <c r="G600" s="8"/>
    </row>
    <row r="601">
      <c r="A601" s="4">
        <v>43529.04058237269</v>
      </c>
      <c r="B601" s="5">
        <v>43529.3737031018</v>
      </c>
      <c r="C601" s="6">
        <v>1.056</v>
      </c>
      <c r="D601" s="6">
        <v>66.0</v>
      </c>
      <c r="E601" s="7" t="s">
        <v>7</v>
      </c>
      <c r="F601" s="7" t="s">
        <v>8</v>
      </c>
      <c r="G601" s="8"/>
    </row>
    <row r="602">
      <c r="A602" s="4">
        <v>43529.07175570602</v>
      </c>
      <c r="B602" s="5">
        <v>43529.4049685532</v>
      </c>
      <c r="C602" s="6">
        <v>1.056</v>
      </c>
      <c r="D602" s="6">
        <v>65.0</v>
      </c>
      <c r="E602" s="7" t="s">
        <v>7</v>
      </c>
      <c r="F602" s="7" t="s">
        <v>8</v>
      </c>
      <c r="G602" s="8"/>
    </row>
    <row r="603">
      <c r="A603" s="4">
        <v>43529.082257754635</v>
      </c>
      <c r="B603" s="5">
        <v>43529.4153901157</v>
      </c>
      <c r="C603" s="6">
        <v>1.056</v>
      </c>
      <c r="D603" s="6">
        <v>65.0</v>
      </c>
      <c r="E603" s="7" t="s">
        <v>7</v>
      </c>
      <c r="F603" s="7" t="s">
        <v>8</v>
      </c>
      <c r="G603" s="8"/>
    </row>
    <row r="604">
      <c r="A604" s="4">
        <v>43529.09260289352</v>
      </c>
      <c r="B604" s="5">
        <v>43529.4258096643</v>
      </c>
      <c r="C604" s="6">
        <v>1.056</v>
      </c>
      <c r="D604" s="6">
        <v>65.0</v>
      </c>
      <c r="E604" s="7" t="s">
        <v>7</v>
      </c>
      <c r="F604" s="7" t="s">
        <v>8</v>
      </c>
      <c r="G604" s="8"/>
    </row>
    <row r="605">
      <c r="A605" s="4">
        <v>43529.1033990162</v>
      </c>
      <c r="B605" s="5">
        <v>43529.4362313773</v>
      </c>
      <c r="C605" s="6">
        <v>1.056</v>
      </c>
      <c r="D605" s="6">
        <v>65.0</v>
      </c>
      <c r="E605" s="7" t="s">
        <v>7</v>
      </c>
      <c r="F605" s="7" t="s">
        <v>8</v>
      </c>
      <c r="G605" s="8"/>
    </row>
    <row r="606">
      <c r="A606" s="4">
        <v>43529.134286099536</v>
      </c>
      <c r="B606" s="5">
        <v>43529.467496493</v>
      </c>
      <c r="C606" s="6">
        <v>1.056</v>
      </c>
      <c r="D606" s="6">
        <v>65.0</v>
      </c>
      <c r="E606" s="7" t="s">
        <v>7</v>
      </c>
      <c r="F606" s="7" t="s">
        <v>8</v>
      </c>
      <c r="G606" s="8"/>
    </row>
    <row r="607">
      <c r="A607" s="4">
        <v>43529.14489481482</v>
      </c>
      <c r="B607" s="5">
        <v>43529.477919537</v>
      </c>
      <c r="C607" s="6">
        <v>1.056</v>
      </c>
      <c r="D607" s="6">
        <v>65.0</v>
      </c>
      <c r="E607" s="7" t="s">
        <v>7</v>
      </c>
      <c r="F607" s="7" t="s">
        <v>8</v>
      </c>
      <c r="G607" s="8"/>
    </row>
    <row r="608">
      <c r="A608" s="4">
        <v>43529.15511290509</v>
      </c>
      <c r="B608" s="5">
        <v>43529.4883401157</v>
      </c>
      <c r="C608" s="6">
        <v>1.056</v>
      </c>
      <c r="D608" s="6">
        <v>65.0</v>
      </c>
      <c r="E608" s="7" t="s">
        <v>7</v>
      </c>
      <c r="F608" s="7" t="s">
        <v>8</v>
      </c>
      <c r="G608" s="8"/>
    </row>
    <row r="609">
      <c r="A609" s="4">
        <v>43529.165548425924</v>
      </c>
      <c r="B609" s="5">
        <v>43529.4987620601</v>
      </c>
      <c r="C609" s="6">
        <v>1.056</v>
      </c>
      <c r="D609" s="6">
        <v>65.0</v>
      </c>
      <c r="E609" s="7" t="s">
        <v>7</v>
      </c>
      <c r="F609" s="7" t="s">
        <v>8</v>
      </c>
      <c r="G609" s="8"/>
    </row>
    <row r="610">
      <c r="A610" s="4">
        <v>43529.17597376158</v>
      </c>
      <c r="B610" s="5">
        <v>43529.5091959027</v>
      </c>
      <c r="C610" s="6">
        <v>1.056</v>
      </c>
      <c r="D610" s="6">
        <v>65.0</v>
      </c>
      <c r="E610" s="7" t="s">
        <v>7</v>
      </c>
      <c r="F610" s="7" t="s">
        <v>8</v>
      </c>
      <c r="G610" s="8"/>
    </row>
    <row r="611">
      <c r="A611" s="4">
        <v>43529.18639644676</v>
      </c>
      <c r="B611" s="5">
        <v>43529.519616956</v>
      </c>
      <c r="C611" s="6">
        <v>1.056</v>
      </c>
      <c r="D611" s="6">
        <v>65.0</v>
      </c>
      <c r="E611" s="7" t="s">
        <v>7</v>
      </c>
      <c r="F611" s="7" t="s">
        <v>8</v>
      </c>
      <c r="G611" s="8"/>
    </row>
    <row r="612">
      <c r="A612" s="4">
        <v>43529.19717402778</v>
      </c>
      <c r="B612" s="5">
        <v>43529.5300386574</v>
      </c>
      <c r="C612" s="6">
        <v>1.056</v>
      </c>
      <c r="D612" s="6">
        <v>65.0</v>
      </c>
      <c r="E612" s="7" t="s">
        <v>7</v>
      </c>
      <c r="F612" s="7" t="s">
        <v>8</v>
      </c>
      <c r="G612" s="8"/>
    </row>
    <row r="613">
      <c r="A613" s="4">
        <v>43529.20724121528</v>
      </c>
      <c r="B613" s="5">
        <v>43529.5404617939</v>
      </c>
      <c r="C613" s="6">
        <v>1.056</v>
      </c>
      <c r="D613" s="6">
        <v>65.0</v>
      </c>
      <c r="E613" s="7" t="s">
        <v>7</v>
      </c>
      <c r="F613" s="7" t="s">
        <v>8</v>
      </c>
      <c r="G613" s="8"/>
    </row>
    <row r="614">
      <c r="A614" s="4">
        <v>43529.21766135417</v>
      </c>
      <c r="B614" s="5">
        <v>43529.5508836574</v>
      </c>
      <c r="C614" s="6">
        <v>1.056</v>
      </c>
      <c r="D614" s="6">
        <v>65.0</v>
      </c>
      <c r="E614" s="7" t="s">
        <v>7</v>
      </c>
      <c r="F614" s="7" t="s">
        <v>8</v>
      </c>
      <c r="G614" s="8"/>
    </row>
    <row r="615">
      <c r="A615" s="4">
        <v>43529.22808418982</v>
      </c>
      <c r="B615" s="5">
        <v>43529.5613032175</v>
      </c>
      <c r="C615" s="6">
        <v>1.056</v>
      </c>
      <c r="D615" s="6">
        <v>65.0</v>
      </c>
      <c r="E615" s="7" t="s">
        <v>7</v>
      </c>
      <c r="F615" s="7" t="s">
        <v>8</v>
      </c>
      <c r="G615" s="8"/>
    </row>
    <row r="616">
      <c r="A616" s="4">
        <v>43529.23858128472</v>
      </c>
      <c r="B616" s="5">
        <v>43529.571725</v>
      </c>
      <c r="C616" s="6">
        <v>1.056</v>
      </c>
      <c r="D616" s="6">
        <v>65.0</v>
      </c>
      <c r="E616" s="7" t="s">
        <v>7</v>
      </c>
      <c r="F616" s="7" t="s">
        <v>8</v>
      </c>
      <c r="G616" s="8"/>
    </row>
    <row r="617">
      <c r="A617" s="4">
        <v>43529.24901918981</v>
      </c>
      <c r="B617" s="5">
        <v>43529.5821564351</v>
      </c>
      <c r="C617" s="6">
        <v>1.056</v>
      </c>
      <c r="D617" s="6">
        <v>65.0</v>
      </c>
      <c r="E617" s="7" t="s">
        <v>7</v>
      </c>
      <c r="F617" s="7" t="s">
        <v>8</v>
      </c>
      <c r="G617" s="8"/>
    </row>
    <row r="618">
      <c r="A618" s="4">
        <v>43529.25986038195</v>
      </c>
      <c r="B618" s="5">
        <v>43529.5925755092</v>
      </c>
      <c r="C618" s="6">
        <v>1.056</v>
      </c>
      <c r="D618" s="6">
        <v>65.0</v>
      </c>
      <c r="E618" s="7" t="s">
        <v>7</v>
      </c>
      <c r="F618" s="7" t="s">
        <v>8</v>
      </c>
      <c r="G618" s="8"/>
    </row>
    <row r="619">
      <c r="A619" s="4">
        <v>43529.26978270833</v>
      </c>
      <c r="B619" s="5">
        <v>43529.6029973263</v>
      </c>
      <c r="C619" s="6">
        <v>1.056</v>
      </c>
      <c r="D619" s="6">
        <v>65.0</v>
      </c>
      <c r="E619" s="7" t="s">
        <v>7</v>
      </c>
      <c r="F619" s="7" t="s">
        <v>8</v>
      </c>
      <c r="G619" s="8"/>
    </row>
    <row r="620">
      <c r="A620" s="4">
        <v>43529.28030008102</v>
      </c>
      <c r="B620" s="5">
        <v>43529.6134189004</v>
      </c>
      <c r="C620" s="6">
        <v>1.056</v>
      </c>
      <c r="D620" s="6">
        <v>66.0</v>
      </c>
      <c r="E620" s="7" t="s">
        <v>7</v>
      </c>
      <c r="F620" s="7" t="s">
        <v>8</v>
      </c>
      <c r="G620" s="8"/>
    </row>
    <row r="621">
      <c r="A621" s="4">
        <v>43529.291095231485</v>
      </c>
      <c r="B621" s="5">
        <v>43529.623840081</v>
      </c>
      <c r="C621" s="6">
        <v>1.056</v>
      </c>
      <c r="D621" s="6">
        <v>65.0</v>
      </c>
      <c r="E621" s="7" t="s">
        <v>7</v>
      </c>
      <c r="F621" s="7" t="s">
        <v>8</v>
      </c>
      <c r="G621" s="8"/>
    </row>
    <row r="622">
      <c r="A622" s="4">
        <v>43529.311559027774</v>
      </c>
      <c r="B622" s="5">
        <v>43529.644680949</v>
      </c>
      <c r="C622" s="6">
        <v>1.056</v>
      </c>
      <c r="D622" s="6">
        <v>65.0</v>
      </c>
      <c r="E622" s="7" t="s">
        <v>7</v>
      </c>
      <c r="F622" s="7" t="s">
        <v>8</v>
      </c>
      <c r="G622" s="8"/>
    </row>
    <row r="623">
      <c r="A623" s="4">
        <v>43529.342931747684</v>
      </c>
      <c r="B623" s="5">
        <v>43529.6759557176</v>
      </c>
      <c r="C623" s="6">
        <v>1.056</v>
      </c>
      <c r="D623" s="6">
        <v>66.0</v>
      </c>
      <c r="E623" s="7" t="s">
        <v>7</v>
      </c>
      <c r="F623" s="7" t="s">
        <v>8</v>
      </c>
      <c r="G623" s="8"/>
    </row>
    <row r="624">
      <c r="A624" s="4">
        <v>43529.35316738426</v>
      </c>
      <c r="B624" s="5">
        <v>43529.6863764004</v>
      </c>
      <c r="C624" s="6">
        <v>1.056</v>
      </c>
      <c r="D624" s="6">
        <v>66.0</v>
      </c>
      <c r="E624" s="7" t="s">
        <v>7</v>
      </c>
      <c r="F624" s="7" t="s">
        <v>8</v>
      </c>
      <c r="G624" s="8"/>
    </row>
    <row r="625">
      <c r="A625" s="4">
        <v>43529.3740949537</v>
      </c>
      <c r="B625" s="5">
        <v>43529.7072198032</v>
      </c>
      <c r="C625" s="6">
        <v>1.056</v>
      </c>
      <c r="D625" s="6">
        <v>66.0</v>
      </c>
      <c r="E625" s="7" t="s">
        <v>7</v>
      </c>
      <c r="F625" s="7" t="s">
        <v>8</v>
      </c>
      <c r="G625" s="8"/>
    </row>
    <row r="626">
      <c r="A626" s="4">
        <v>43529.3846040625</v>
      </c>
      <c r="B626" s="5">
        <v>43529.7176410879</v>
      </c>
      <c r="C626" s="6">
        <v>1.055</v>
      </c>
      <c r="D626" s="6">
        <v>66.0</v>
      </c>
      <c r="E626" s="7" t="s">
        <v>7</v>
      </c>
      <c r="F626" s="7" t="s">
        <v>8</v>
      </c>
      <c r="G626" s="8"/>
    </row>
    <row r="627">
      <c r="A627" s="4">
        <v>43529.39513133102</v>
      </c>
      <c r="B627" s="5">
        <v>43529.7280604513</v>
      </c>
      <c r="C627" s="6">
        <v>1.055</v>
      </c>
      <c r="D627" s="6">
        <v>66.0</v>
      </c>
      <c r="E627" s="7" t="s">
        <v>7</v>
      </c>
      <c r="F627" s="7" t="s">
        <v>8</v>
      </c>
      <c r="G627" s="8"/>
    </row>
    <row r="628">
      <c r="A628" s="4">
        <v>43529.405367141204</v>
      </c>
      <c r="B628" s="5">
        <v>43529.7384824305</v>
      </c>
      <c r="C628" s="6">
        <v>1.055</v>
      </c>
      <c r="D628" s="6">
        <v>66.0</v>
      </c>
      <c r="E628" s="7" t="s">
        <v>7</v>
      </c>
      <c r="F628" s="7" t="s">
        <v>8</v>
      </c>
      <c r="G628" s="8"/>
    </row>
    <row r="629">
      <c r="A629" s="4">
        <v>43529.4157916088</v>
      </c>
      <c r="B629" s="5">
        <v>43529.7489160069</v>
      </c>
      <c r="C629" s="6">
        <v>1.055</v>
      </c>
      <c r="D629" s="6">
        <v>66.0</v>
      </c>
      <c r="E629" s="7" t="s">
        <v>7</v>
      </c>
      <c r="F629" s="7" t="s">
        <v>8</v>
      </c>
      <c r="G629" s="8"/>
    </row>
    <row r="630">
      <c r="A630" s="4">
        <v>43529.426136828704</v>
      </c>
      <c r="B630" s="5">
        <v>43529.7593486111</v>
      </c>
      <c r="C630" s="6">
        <v>1.055</v>
      </c>
      <c r="D630" s="6">
        <v>66.0</v>
      </c>
      <c r="E630" s="7" t="s">
        <v>7</v>
      </c>
      <c r="F630" s="7" t="s">
        <v>8</v>
      </c>
      <c r="G630" s="8"/>
    </row>
    <row r="631">
      <c r="A631" s="4">
        <v>43529.43674078704</v>
      </c>
      <c r="B631" s="5">
        <v>43529.7697678009</v>
      </c>
      <c r="C631" s="6">
        <v>1.055</v>
      </c>
      <c r="D631" s="6">
        <v>66.0</v>
      </c>
      <c r="E631" s="7" t="s">
        <v>7</v>
      </c>
      <c r="F631" s="7" t="s">
        <v>8</v>
      </c>
      <c r="G631" s="8"/>
    </row>
    <row r="632">
      <c r="A632" s="4">
        <v>43529.44706751157</v>
      </c>
      <c r="B632" s="5">
        <v>43529.7801885185</v>
      </c>
      <c r="C632" s="6">
        <v>1.055</v>
      </c>
      <c r="D632" s="6">
        <v>66.0</v>
      </c>
      <c r="E632" s="7" t="s">
        <v>7</v>
      </c>
      <c r="F632" s="7" t="s">
        <v>8</v>
      </c>
      <c r="G632" s="8"/>
    </row>
    <row r="633">
      <c r="A633" s="4">
        <v>43529.46800768518</v>
      </c>
      <c r="B633" s="5">
        <v>43529.8010313657</v>
      </c>
      <c r="C633" s="6">
        <v>1.055</v>
      </c>
      <c r="D633" s="6">
        <v>66.0</v>
      </c>
      <c r="E633" s="7" t="s">
        <v>7</v>
      </c>
      <c r="F633" s="7" t="s">
        <v>8</v>
      </c>
      <c r="G633" s="8"/>
    </row>
    <row r="634">
      <c r="A634" s="4">
        <v>43529.47852346065</v>
      </c>
      <c r="B634" s="5">
        <v>43529.8114525925</v>
      </c>
      <c r="C634" s="6">
        <v>1.055</v>
      </c>
      <c r="D634" s="6">
        <v>66.0</v>
      </c>
      <c r="E634" s="7" t="s">
        <v>7</v>
      </c>
      <c r="F634" s="7" t="s">
        <v>8</v>
      </c>
      <c r="G634" s="8"/>
    </row>
    <row r="635">
      <c r="A635" s="4">
        <v>43529.48867324074</v>
      </c>
      <c r="B635" s="5">
        <v>43529.821895162</v>
      </c>
      <c r="C635" s="6">
        <v>1.055</v>
      </c>
      <c r="D635" s="6">
        <v>66.0</v>
      </c>
      <c r="E635" s="7" t="s">
        <v>7</v>
      </c>
      <c r="F635" s="7" t="s">
        <v>8</v>
      </c>
      <c r="G635" s="8"/>
    </row>
    <row r="636">
      <c r="A636" s="4">
        <v>43529.499670868056</v>
      </c>
      <c r="B636" s="5">
        <v>43529.8323278588</v>
      </c>
      <c r="C636" s="6">
        <v>1.055</v>
      </c>
      <c r="D636" s="6">
        <v>66.0</v>
      </c>
      <c r="E636" s="7" t="s">
        <v>7</v>
      </c>
      <c r="F636" s="7" t="s">
        <v>8</v>
      </c>
      <c r="G636" s="8"/>
    </row>
    <row r="637">
      <c r="A637" s="4">
        <v>43529.51997864583</v>
      </c>
      <c r="B637" s="5">
        <v>43529.8531930092</v>
      </c>
      <c r="C637" s="6">
        <v>1.055</v>
      </c>
      <c r="D637" s="6">
        <v>66.0</v>
      </c>
      <c r="E637" s="7" t="s">
        <v>7</v>
      </c>
      <c r="F637" s="7" t="s">
        <v>8</v>
      </c>
      <c r="G637" s="8"/>
    </row>
    <row r="638">
      <c r="A638" s="4">
        <v>43529.53068851852</v>
      </c>
      <c r="B638" s="5">
        <v>43529.8636234375</v>
      </c>
      <c r="C638" s="6">
        <v>1.055</v>
      </c>
      <c r="D638" s="6">
        <v>66.0</v>
      </c>
      <c r="E638" s="7" t="s">
        <v>7</v>
      </c>
      <c r="F638" s="7" t="s">
        <v>8</v>
      </c>
      <c r="G638" s="8"/>
    </row>
    <row r="639">
      <c r="A639" s="4">
        <v>43529.540925706024</v>
      </c>
      <c r="B639" s="5">
        <v>43529.8740442824</v>
      </c>
      <c r="C639" s="6">
        <v>1.055</v>
      </c>
      <c r="D639" s="6">
        <v>66.0</v>
      </c>
      <c r="E639" s="7" t="s">
        <v>7</v>
      </c>
      <c r="F639" s="7" t="s">
        <v>8</v>
      </c>
      <c r="G639" s="8"/>
    </row>
    <row r="640">
      <c r="A640" s="4">
        <v>43529.55125337963</v>
      </c>
      <c r="B640" s="5">
        <v>43529.8844786574</v>
      </c>
      <c r="C640" s="6">
        <v>1.055</v>
      </c>
      <c r="D640" s="6">
        <v>66.0</v>
      </c>
      <c r="E640" s="7" t="s">
        <v>7</v>
      </c>
      <c r="F640" s="7" t="s">
        <v>8</v>
      </c>
      <c r="G640" s="8"/>
    </row>
    <row r="641">
      <c r="A641" s="4">
        <v>43529.56218813657</v>
      </c>
      <c r="B641" s="5">
        <v>43529.8949121296</v>
      </c>
      <c r="C641" s="6">
        <v>1.055</v>
      </c>
      <c r="D641" s="6">
        <v>66.0</v>
      </c>
      <c r="E641" s="7" t="s">
        <v>7</v>
      </c>
      <c r="F641" s="7" t="s">
        <v>8</v>
      </c>
      <c r="G641" s="8"/>
    </row>
    <row r="642">
      <c r="A642" s="4">
        <v>43529.572207523146</v>
      </c>
      <c r="B642" s="5">
        <v>43529.9053327199</v>
      </c>
      <c r="C642" s="6">
        <v>1.055</v>
      </c>
      <c r="D642" s="6">
        <v>66.0</v>
      </c>
      <c r="E642" s="7" t="s">
        <v>7</v>
      </c>
      <c r="F642" s="7" t="s">
        <v>8</v>
      </c>
      <c r="G642" s="8"/>
    </row>
    <row r="643">
      <c r="A643" s="4">
        <v>43529.58253298611</v>
      </c>
      <c r="B643" s="5">
        <v>43529.9157513194</v>
      </c>
      <c r="C643" s="6">
        <v>1.055</v>
      </c>
      <c r="D643" s="6">
        <v>66.0</v>
      </c>
      <c r="E643" s="7" t="s">
        <v>7</v>
      </c>
      <c r="F643" s="7" t="s">
        <v>8</v>
      </c>
      <c r="G643" s="8"/>
    </row>
    <row r="644">
      <c r="A644" s="4">
        <v>43529.59303456018</v>
      </c>
      <c r="B644" s="5">
        <v>43529.9261723611</v>
      </c>
      <c r="C644" s="6">
        <v>1.055</v>
      </c>
      <c r="D644" s="6">
        <v>66.0</v>
      </c>
      <c r="E644" s="7" t="s">
        <v>7</v>
      </c>
      <c r="F644" s="7" t="s">
        <v>8</v>
      </c>
      <c r="G644" s="8"/>
    </row>
    <row r="645">
      <c r="A645" s="4">
        <v>43529.60338295139</v>
      </c>
      <c r="B645" s="5">
        <v>43529.9365931713</v>
      </c>
      <c r="C645" s="6">
        <v>1.055</v>
      </c>
      <c r="D645" s="6">
        <v>66.0</v>
      </c>
      <c r="E645" s="7" t="s">
        <v>7</v>
      </c>
      <c r="F645" s="7" t="s">
        <v>8</v>
      </c>
      <c r="G645" s="8"/>
    </row>
    <row r="646">
      <c r="A646" s="4">
        <v>43529.61436554398</v>
      </c>
      <c r="B646" s="5">
        <v>43529.9470132523</v>
      </c>
      <c r="C646" s="6">
        <v>1.055</v>
      </c>
      <c r="D646" s="6">
        <v>66.0</v>
      </c>
      <c r="E646" s="7" t="s">
        <v>7</v>
      </c>
      <c r="F646" s="7" t="s">
        <v>8</v>
      </c>
      <c r="G646" s="8"/>
    </row>
    <row r="647">
      <c r="A647" s="4">
        <v>43529.6346524074</v>
      </c>
      <c r="B647" s="5">
        <v>43529.9678569907</v>
      </c>
      <c r="C647" s="6">
        <v>1.055</v>
      </c>
      <c r="D647" s="6">
        <v>66.0</v>
      </c>
      <c r="E647" s="7" t="s">
        <v>7</v>
      </c>
      <c r="F647" s="7" t="s">
        <v>8</v>
      </c>
      <c r="G647" s="8"/>
    </row>
    <row r="648">
      <c r="A648" s="4">
        <v>43529.64525850695</v>
      </c>
      <c r="B648" s="5">
        <v>43529.9782901273</v>
      </c>
      <c r="C648" s="6">
        <v>1.055</v>
      </c>
      <c r="D648" s="6">
        <v>66.0</v>
      </c>
      <c r="E648" s="7" t="s">
        <v>7</v>
      </c>
      <c r="F648" s="7" t="s">
        <v>8</v>
      </c>
      <c r="G648" s="8"/>
    </row>
    <row r="649">
      <c r="A649" s="4">
        <v>43529.666207268514</v>
      </c>
      <c r="B649" s="5">
        <v>43529.9991442939</v>
      </c>
      <c r="C649" s="6">
        <v>1.055</v>
      </c>
      <c r="D649" s="6">
        <v>66.0</v>
      </c>
      <c r="E649" s="7" t="s">
        <v>7</v>
      </c>
      <c r="F649" s="7" t="s">
        <v>8</v>
      </c>
      <c r="G649" s="8"/>
    </row>
    <row r="650">
      <c r="A650" s="4">
        <v>43529.686977314814</v>
      </c>
      <c r="B650" s="5">
        <v>43530.0199954513</v>
      </c>
      <c r="C650" s="6">
        <v>1.055</v>
      </c>
      <c r="D650" s="6">
        <v>66.0</v>
      </c>
      <c r="E650" s="7" t="s">
        <v>7</v>
      </c>
      <c r="F650" s="7" t="s">
        <v>8</v>
      </c>
      <c r="G650" s="8"/>
    </row>
    <row r="651">
      <c r="A651" s="4">
        <v>43529.6972056713</v>
      </c>
      <c r="B651" s="5">
        <v>43530.0304167245</v>
      </c>
      <c r="C651" s="6">
        <v>1.055</v>
      </c>
      <c r="D651" s="6">
        <v>66.0</v>
      </c>
      <c r="E651" s="7" t="s">
        <v>7</v>
      </c>
      <c r="F651" s="7" t="s">
        <v>8</v>
      </c>
      <c r="G651" s="8"/>
    </row>
    <row r="652">
      <c r="A652" s="4">
        <v>43529.7184290625</v>
      </c>
      <c r="B652" s="5">
        <v>43530.0512602083</v>
      </c>
      <c r="C652" s="6">
        <v>1.055</v>
      </c>
      <c r="D652" s="6">
        <v>66.0</v>
      </c>
      <c r="E652" s="7" t="s">
        <v>7</v>
      </c>
      <c r="F652" s="7" t="s">
        <v>8</v>
      </c>
      <c r="G652" s="8"/>
    </row>
    <row r="653">
      <c r="A653" s="4">
        <v>43529.73907077547</v>
      </c>
      <c r="B653" s="5">
        <v>43530.0721018287</v>
      </c>
      <c r="C653" s="6">
        <v>1.055</v>
      </c>
      <c r="D653" s="6">
        <v>66.0</v>
      </c>
      <c r="E653" s="7" t="s">
        <v>7</v>
      </c>
      <c r="F653" s="7" t="s">
        <v>8</v>
      </c>
      <c r="G653" s="8"/>
    </row>
    <row r="654">
      <c r="A654" s="4">
        <v>43529.78066020833</v>
      </c>
      <c r="B654" s="5">
        <v>43530.1138070138</v>
      </c>
      <c r="C654" s="6">
        <v>1.055</v>
      </c>
      <c r="D654" s="6">
        <v>66.0</v>
      </c>
      <c r="E654" s="7" t="s">
        <v>7</v>
      </c>
      <c r="F654" s="7" t="s">
        <v>8</v>
      </c>
      <c r="G654" s="8"/>
    </row>
    <row r="655">
      <c r="A655" s="4">
        <v>43529.82247438657</v>
      </c>
      <c r="B655" s="5">
        <v>43530.1555041666</v>
      </c>
      <c r="C655" s="6">
        <v>1.055</v>
      </c>
      <c r="D655" s="6">
        <v>66.0</v>
      </c>
      <c r="E655" s="7" t="s">
        <v>7</v>
      </c>
      <c r="F655" s="7" t="s">
        <v>8</v>
      </c>
      <c r="G655" s="8"/>
    </row>
    <row r="656">
      <c r="A656" s="4">
        <v>43529.8432177662</v>
      </c>
      <c r="B656" s="5">
        <v>43530.1763444213</v>
      </c>
      <c r="C656" s="6">
        <v>1.055</v>
      </c>
      <c r="D656" s="6">
        <v>66.0</v>
      </c>
      <c r="E656" s="7" t="s">
        <v>7</v>
      </c>
      <c r="F656" s="7" t="s">
        <v>8</v>
      </c>
      <c r="G656" s="8"/>
    </row>
    <row r="657">
      <c r="A657" s="4">
        <v>43529.853737060184</v>
      </c>
      <c r="B657" s="5">
        <v>43530.1867681828</v>
      </c>
      <c r="C657" s="6">
        <v>1.055</v>
      </c>
      <c r="D657" s="6">
        <v>66.0</v>
      </c>
      <c r="E657" s="7" t="s">
        <v>7</v>
      </c>
      <c r="F657" s="7" t="s">
        <v>8</v>
      </c>
      <c r="G657" s="8"/>
    </row>
    <row r="658">
      <c r="A658" s="4">
        <v>43529.86444116898</v>
      </c>
      <c r="B658" s="5">
        <v>43530.1971876504</v>
      </c>
      <c r="C658" s="6">
        <v>1.055</v>
      </c>
      <c r="D658" s="6">
        <v>66.0</v>
      </c>
      <c r="E658" s="7" t="s">
        <v>7</v>
      </c>
      <c r="F658" s="7" t="s">
        <v>8</v>
      </c>
      <c r="G658" s="8"/>
    </row>
    <row r="659">
      <c r="A659" s="4">
        <v>43529.87448358796</v>
      </c>
      <c r="B659" s="5">
        <v>43530.2076078356</v>
      </c>
      <c r="C659" s="6">
        <v>1.054</v>
      </c>
      <c r="D659" s="6">
        <v>66.0</v>
      </c>
      <c r="E659" s="7" t="s">
        <v>7</v>
      </c>
      <c r="F659" s="7" t="s">
        <v>8</v>
      </c>
      <c r="G659" s="8"/>
    </row>
    <row r="660">
      <c r="A660" s="4">
        <v>43529.89579534723</v>
      </c>
      <c r="B660" s="5">
        <v>43530.228450405</v>
      </c>
      <c r="C660" s="6">
        <v>1.054</v>
      </c>
      <c r="D660" s="6">
        <v>66.0</v>
      </c>
      <c r="E660" s="7" t="s">
        <v>7</v>
      </c>
      <c r="F660" s="7" t="s">
        <v>8</v>
      </c>
      <c r="G660" s="8"/>
    </row>
    <row r="661">
      <c r="A661" s="4">
        <v>43529.90566574074</v>
      </c>
      <c r="B661" s="5">
        <v>43530.2388724305</v>
      </c>
      <c r="C661" s="6">
        <v>1.055</v>
      </c>
      <c r="D661" s="6">
        <v>66.0</v>
      </c>
      <c r="E661" s="7" t="s">
        <v>7</v>
      </c>
      <c r="F661" s="7" t="s">
        <v>8</v>
      </c>
      <c r="G661" s="8"/>
    </row>
    <row r="662">
      <c r="A662" s="4">
        <v>43529.92660622685</v>
      </c>
      <c r="B662" s="5">
        <v>43530.259736493</v>
      </c>
      <c r="C662" s="6">
        <v>1.054</v>
      </c>
      <c r="D662" s="6">
        <v>66.0</v>
      </c>
      <c r="E662" s="7" t="s">
        <v>7</v>
      </c>
      <c r="F662" s="7" t="s">
        <v>8</v>
      </c>
      <c r="G662" s="8"/>
    </row>
    <row r="663">
      <c r="A663" s="4">
        <v>43529.93740393518</v>
      </c>
      <c r="B663" s="5">
        <v>43530.2701578356</v>
      </c>
      <c r="C663" s="6">
        <v>1.054</v>
      </c>
      <c r="D663" s="6">
        <v>66.0</v>
      </c>
      <c r="E663" s="7" t="s">
        <v>7</v>
      </c>
      <c r="F663" s="7" t="s">
        <v>8</v>
      </c>
      <c r="G663" s="8"/>
    </row>
    <row r="664">
      <c r="A664" s="4">
        <v>43529.94736347222</v>
      </c>
      <c r="B664" s="5">
        <v>43530.2805768981</v>
      </c>
      <c r="C664" s="6">
        <v>1.054</v>
      </c>
      <c r="D664" s="6">
        <v>66.0</v>
      </c>
      <c r="E664" s="7" t="s">
        <v>7</v>
      </c>
      <c r="F664" s="7" t="s">
        <v>8</v>
      </c>
      <c r="G664" s="8"/>
    </row>
    <row r="665">
      <c r="A665" s="4">
        <v>43529.95797644676</v>
      </c>
      <c r="B665" s="5">
        <v>43530.2909976736</v>
      </c>
      <c r="C665" s="6">
        <v>1.054</v>
      </c>
      <c r="D665" s="6">
        <v>66.0</v>
      </c>
      <c r="E665" s="7" t="s">
        <v>7</v>
      </c>
      <c r="F665" s="7" t="s">
        <v>8</v>
      </c>
      <c r="G665" s="8"/>
    </row>
    <row r="666">
      <c r="A666" s="4">
        <v>43529.96857707176</v>
      </c>
      <c r="B666" s="5">
        <v>43530.3014185995</v>
      </c>
      <c r="C666" s="6">
        <v>1.054</v>
      </c>
      <c r="D666" s="6">
        <v>66.0</v>
      </c>
      <c r="E666" s="7" t="s">
        <v>7</v>
      </c>
      <c r="F666" s="7" t="s">
        <v>8</v>
      </c>
      <c r="G666" s="8"/>
    </row>
    <row r="667">
      <c r="A667" s="4">
        <v>43529.978907557874</v>
      </c>
      <c r="B667" s="5">
        <v>43530.3118382638</v>
      </c>
      <c r="C667" s="6">
        <v>1.054</v>
      </c>
      <c r="D667" s="6">
        <v>66.0</v>
      </c>
      <c r="E667" s="7" t="s">
        <v>7</v>
      </c>
      <c r="F667" s="7" t="s">
        <v>8</v>
      </c>
      <c r="G667" s="8"/>
    </row>
    <row r="668">
      <c r="A668" s="4">
        <v>43529.989504930556</v>
      </c>
      <c r="B668" s="5">
        <v>43530.3222591319</v>
      </c>
      <c r="C668" s="6">
        <v>1.054</v>
      </c>
      <c r="D668" s="6">
        <v>66.0</v>
      </c>
      <c r="E668" s="7" t="s">
        <v>7</v>
      </c>
      <c r="F668" s="7" t="s">
        <v>8</v>
      </c>
      <c r="G668" s="8"/>
    </row>
    <row r="669">
      <c r="A669" s="4">
        <v>43529.99946189814</v>
      </c>
      <c r="B669" s="5">
        <v>43530.3326807407</v>
      </c>
      <c r="C669" s="6">
        <v>1.054</v>
      </c>
      <c r="D669" s="6">
        <v>66.0</v>
      </c>
      <c r="E669" s="7" t="s">
        <v>7</v>
      </c>
      <c r="F669" s="7" t="s">
        <v>8</v>
      </c>
      <c r="G669" s="8"/>
    </row>
    <row r="670">
      <c r="A670" s="4">
        <v>43530.010441307866</v>
      </c>
      <c r="B670" s="5">
        <v>43530.3431026041</v>
      </c>
      <c r="C670" s="6">
        <v>1.054</v>
      </c>
      <c r="D670" s="6">
        <v>66.0</v>
      </c>
      <c r="E670" s="7" t="s">
        <v>7</v>
      </c>
      <c r="F670" s="7" t="s">
        <v>8</v>
      </c>
      <c r="G670" s="8"/>
    </row>
    <row r="671">
      <c r="A671" s="4">
        <v>43530.051855868056</v>
      </c>
      <c r="B671" s="5">
        <v>43530.3847876388</v>
      </c>
      <c r="C671" s="6">
        <v>1.054</v>
      </c>
      <c r="D671" s="6">
        <v>66.0</v>
      </c>
      <c r="E671" s="7" t="s">
        <v>7</v>
      </c>
      <c r="F671" s="7" t="s">
        <v>8</v>
      </c>
      <c r="G671" s="8"/>
    </row>
    <row r="672">
      <c r="A672" s="4">
        <v>43530.0619909838</v>
      </c>
      <c r="B672" s="5">
        <v>43530.3952092129</v>
      </c>
      <c r="C672" s="6">
        <v>1.054</v>
      </c>
      <c r="D672" s="6">
        <v>65.0</v>
      </c>
      <c r="E672" s="7" t="s">
        <v>7</v>
      </c>
      <c r="F672" s="7" t="s">
        <v>8</v>
      </c>
      <c r="G672" s="8"/>
    </row>
    <row r="673">
      <c r="A673" s="4">
        <v>43530.08293081018</v>
      </c>
      <c r="B673" s="5">
        <v>43530.4160510879</v>
      </c>
      <c r="C673" s="6">
        <v>1.054</v>
      </c>
      <c r="D673" s="6">
        <v>65.0</v>
      </c>
      <c r="E673" s="7" t="s">
        <v>7</v>
      </c>
      <c r="F673" s="7" t="s">
        <v>8</v>
      </c>
      <c r="G673" s="8"/>
    </row>
    <row r="674">
      <c r="A674" s="4">
        <v>43530.11419425926</v>
      </c>
      <c r="B674" s="5">
        <v>43530.4473140509</v>
      </c>
      <c r="C674" s="6">
        <v>1.054</v>
      </c>
      <c r="D674" s="6">
        <v>65.0</v>
      </c>
      <c r="E674" s="7" t="s">
        <v>7</v>
      </c>
      <c r="F674" s="7" t="s">
        <v>8</v>
      </c>
      <c r="G674" s="8"/>
    </row>
    <row r="675">
      <c r="A675" s="4">
        <v>43530.13495954861</v>
      </c>
      <c r="B675" s="5">
        <v>43530.4681699305</v>
      </c>
      <c r="C675" s="6">
        <v>1.054</v>
      </c>
      <c r="D675" s="6">
        <v>65.0</v>
      </c>
      <c r="E675" s="7" t="s">
        <v>7</v>
      </c>
      <c r="F675" s="7" t="s">
        <v>8</v>
      </c>
      <c r="G675" s="8"/>
    </row>
    <row r="676">
      <c r="A676" s="4">
        <v>43530.14555961806</v>
      </c>
      <c r="B676" s="5">
        <v>43530.4785904976</v>
      </c>
      <c r="C676" s="6">
        <v>1.054</v>
      </c>
      <c r="D676" s="6">
        <v>65.0</v>
      </c>
      <c r="E676" s="7" t="s">
        <v>7</v>
      </c>
      <c r="F676" s="7" t="s">
        <v>8</v>
      </c>
      <c r="G676" s="8"/>
    </row>
    <row r="677">
      <c r="A677" s="4">
        <v>43530.15599627315</v>
      </c>
      <c r="B677" s="5">
        <v>43530.4890251273</v>
      </c>
      <c r="C677" s="6">
        <v>1.054</v>
      </c>
      <c r="D677" s="6">
        <v>65.0</v>
      </c>
      <c r="E677" s="7" t="s">
        <v>7</v>
      </c>
      <c r="F677" s="7" t="s">
        <v>8</v>
      </c>
      <c r="G677" s="8"/>
    </row>
    <row r="678">
      <c r="A678" s="4">
        <v>43530.166513310185</v>
      </c>
      <c r="B678" s="5">
        <v>43530.4994467361</v>
      </c>
      <c r="C678" s="6">
        <v>1.054</v>
      </c>
      <c r="D678" s="6">
        <v>65.0</v>
      </c>
      <c r="E678" s="7" t="s">
        <v>7</v>
      </c>
      <c r="F678" s="7" t="s">
        <v>8</v>
      </c>
      <c r="G678" s="8"/>
    </row>
    <row r="679">
      <c r="A679" s="4">
        <v>43530.176654097224</v>
      </c>
      <c r="B679" s="5">
        <v>43530.5098685763</v>
      </c>
      <c r="C679" s="6">
        <v>1.054</v>
      </c>
      <c r="D679" s="6">
        <v>65.0</v>
      </c>
      <c r="E679" s="7" t="s">
        <v>7</v>
      </c>
      <c r="F679" s="7" t="s">
        <v>8</v>
      </c>
      <c r="G679" s="8"/>
    </row>
    <row r="680">
      <c r="A680" s="4">
        <v>43530.19778991898</v>
      </c>
      <c r="B680" s="5">
        <v>43530.5307225578</v>
      </c>
      <c r="C680" s="6">
        <v>1.054</v>
      </c>
      <c r="D680" s="6">
        <v>65.0</v>
      </c>
      <c r="E680" s="7" t="s">
        <v>7</v>
      </c>
      <c r="F680" s="7" t="s">
        <v>8</v>
      </c>
      <c r="G680" s="8"/>
    </row>
    <row r="681">
      <c r="A681" s="4">
        <v>43530.20802342593</v>
      </c>
      <c r="B681" s="5">
        <v>43530.5411438888</v>
      </c>
      <c r="C681" s="6">
        <v>1.054</v>
      </c>
      <c r="D681" s="6">
        <v>65.0</v>
      </c>
      <c r="E681" s="7" t="s">
        <v>7</v>
      </c>
      <c r="F681" s="7" t="s">
        <v>8</v>
      </c>
      <c r="G681" s="8"/>
    </row>
    <row r="682">
      <c r="A682" s="4">
        <v>43530.218593576385</v>
      </c>
      <c r="B682" s="5">
        <v>43530.5515766203</v>
      </c>
      <c r="C682" s="6">
        <v>1.054</v>
      </c>
      <c r="D682" s="6">
        <v>65.0</v>
      </c>
      <c r="E682" s="7" t="s">
        <v>7</v>
      </c>
      <c r="F682" s="7" t="s">
        <v>8</v>
      </c>
      <c r="G682" s="8"/>
    </row>
    <row r="683">
      <c r="A683" s="4">
        <v>43530.27062052084</v>
      </c>
      <c r="B683" s="5">
        <v>43530.6037384143</v>
      </c>
      <c r="C683" s="6">
        <v>1.054</v>
      </c>
      <c r="D683" s="6">
        <v>65.0</v>
      </c>
      <c r="E683" s="7" t="s">
        <v>7</v>
      </c>
      <c r="F683" s="7" t="s">
        <v>8</v>
      </c>
      <c r="G683" s="8"/>
    </row>
    <row r="684">
      <c r="A684" s="4">
        <v>43530.28096329861</v>
      </c>
      <c r="B684" s="5">
        <v>43530.6141717939</v>
      </c>
      <c r="C684" s="6">
        <v>1.054</v>
      </c>
      <c r="D684" s="6">
        <v>65.0</v>
      </c>
      <c r="E684" s="7" t="s">
        <v>7</v>
      </c>
      <c r="F684" s="7" t="s">
        <v>8</v>
      </c>
      <c r="G684" s="8"/>
    </row>
    <row r="685">
      <c r="A685" s="4">
        <v>43530.29148097222</v>
      </c>
      <c r="B685" s="5">
        <v>43530.6245919675</v>
      </c>
      <c r="C685" s="6">
        <v>1.053</v>
      </c>
      <c r="D685" s="6">
        <v>65.0</v>
      </c>
      <c r="E685" s="7" t="s">
        <v>7</v>
      </c>
      <c r="F685" s="7" t="s">
        <v>8</v>
      </c>
      <c r="G685" s="8"/>
    </row>
    <row r="686">
      <c r="A686" s="4">
        <v>43530.30191052084</v>
      </c>
      <c r="B686" s="5">
        <v>43530.6350243402</v>
      </c>
      <c r="C686" s="6">
        <v>1.054</v>
      </c>
      <c r="D686" s="6">
        <v>65.0</v>
      </c>
      <c r="E686" s="7" t="s">
        <v>7</v>
      </c>
      <c r="F686" s="7" t="s">
        <v>8</v>
      </c>
      <c r="G686" s="8"/>
    </row>
    <row r="687">
      <c r="A687" s="4">
        <v>43530.31243363426</v>
      </c>
      <c r="B687" s="5">
        <v>43530.6454680092</v>
      </c>
      <c r="C687" s="6">
        <v>1.054</v>
      </c>
      <c r="D687" s="6">
        <v>65.0</v>
      </c>
      <c r="E687" s="7" t="s">
        <v>7</v>
      </c>
      <c r="F687" s="7" t="s">
        <v>8</v>
      </c>
      <c r="G687" s="8"/>
    </row>
    <row r="688">
      <c r="A688" s="4">
        <v>43530.333097766204</v>
      </c>
      <c r="B688" s="5">
        <v>43530.6663087268</v>
      </c>
      <c r="C688" s="6">
        <v>1.053</v>
      </c>
      <c r="D688" s="6">
        <v>65.0</v>
      </c>
      <c r="E688" s="7" t="s">
        <v>7</v>
      </c>
      <c r="F688" s="7" t="s">
        <v>8</v>
      </c>
      <c r="G688" s="8"/>
    </row>
    <row r="689">
      <c r="A689" s="4">
        <v>43530.374790208334</v>
      </c>
      <c r="B689" s="5">
        <v>43530.7080079513</v>
      </c>
      <c r="C689" s="6">
        <v>1.053</v>
      </c>
      <c r="D689" s="6">
        <v>65.0</v>
      </c>
      <c r="E689" s="7" t="s">
        <v>7</v>
      </c>
      <c r="F689" s="7" t="s">
        <v>8</v>
      </c>
      <c r="G689" s="8"/>
    </row>
    <row r="690">
      <c r="A690" s="4">
        <v>43530.38520538194</v>
      </c>
      <c r="B690" s="5">
        <v>43530.7184311111</v>
      </c>
      <c r="C690" s="6">
        <v>1.053</v>
      </c>
      <c r="D690" s="6">
        <v>65.0</v>
      </c>
      <c r="E690" s="7" t="s">
        <v>7</v>
      </c>
      <c r="F690" s="7" t="s">
        <v>8</v>
      </c>
      <c r="G690" s="8"/>
    </row>
    <row r="691">
      <c r="A691" s="4">
        <v>43530.40618464121</v>
      </c>
      <c r="B691" s="5">
        <v>43530.7393092476</v>
      </c>
      <c r="C691" s="6">
        <v>1.053</v>
      </c>
      <c r="D691" s="6">
        <v>65.0</v>
      </c>
      <c r="E691" s="7" t="s">
        <v>7</v>
      </c>
      <c r="F691" s="7" t="s">
        <v>8</v>
      </c>
      <c r="G691" s="8"/>
    </row>
    <row r="692">
      <c r="A692" s="4">
        <v>43530.416616296294</v>
      </c>
      <c r="B692" s="5">
        <v>43530.7497296643</v>
      </c>
      <c r="C692" s="6">
        <v>1.054</v>
      </c>
      <c r="D692" s="6">
        <v>65.0</v>
      </c>
      <c r="E692" s="7" t="s">
        <v>7</v>
      </c>
      <c r="F692" s="7" t="s">
        <v>8</v>
      </c>
      <c r="G692" s="8"/>
    </row>
    <row r="693">
      <c r="A693" s="4">
        <v>43530.42702858796</v>
      </c>
      <c r="B693" s="5">
        <v>43530.7601507986</v>
      </c>
      <c r="C693" s="6">
        <v>1.053</v>
      </c>
      <c r="D693" s="6">
        <v>64.0</v>
      </c>
      <c r="E693" s="7" t="s">
        <v>7</v>
      </c>
      <c r="F693" s="7" t="s">
        <v>8</v>
      </c>
      <c r="G693" s="8"/>
    </row>
    <row r="694">
      <c r="A694" s="4">
        <v>43530.448361689814</v>
      </c>
      <c r="B694" s="5">
        <v>43530.7810261574</v>
      </c>
      <c r="C694" s="6">
        <v>1.053</v>
      </c>
      <c r="D694" s="6">
        <v>64.0</v>
      </c>
      <c r="E694" s="7" t="s">
        <v>7</v>
      </c>
      <c r="F694" s="7" t="s">
        <v>8</v>
      </c>
      <c r="G694" s="8"/>
    </row>
    <row r="695">
      <c r="A695" s="4">
        <v>43530.458433125</v>
      </c>
      <c r="B695" s="5">
        <v>43530.7914478587</v>
      </c>
      <c r="C695" s="6">
        <v>1.053</v>
      </c>
      <c r="D695" s="6">
        <v>64.0</v>
      </c>
      <c r="E695" s="7" t="s">
        <v>7</v>
      </c>
      <c r="F695" s="7" t="s">
        <v>8</v>
      </c>
      <c r="G695" s="8"/>
    </row>
    <row r="696">
      <c r="A696" s="4">
        <v>43530.46865658565</v>
      </c>
      <c r="B696" s="5">
        <v>43530.8018707407</v>
      </c>
      <c r="C696" s="6">
        <v>1.053</v>
      </c>
      <c r="D696" s="6">
        <v>64.0</v>
      </c>
      <c r="E696" s="7" t="s">
        <v>7</v>
      </c>
      <c r="F696" s="7" t="s">
        <v>8</v>
      </c>
      <c r="G696" s="8"/>
    </row>
    <row r="697">
      <c r="A697" s="4">
        <v>43530.50001178241</v>
      </c>
      <c r="B697" s="5">
        <v>43530.8331337847</v>
      </c>
      <c r="C697" s="6">
        <v>1.053</v>
      </c>
      <c r="D697" s="6">
        <v>64.0</v>
      </c>
      <c r="E697" s="7" t="s">
        <v>7</v>
      </c>
      <c r="F697" s="7" t="s">
        <v>8</v>
      </c>
      <c r="G697" s="8"/>
    </row>
    <row r="698">
      <c r="A698" s="4">
        <v>43530.51082822916</v>
      </c>
      <c r="B698" s="5">
        <v>43530.8435663657</v>
      </c>
      <c r="C698" s="6">
        <v>1.053</v>
      </c>
      <c r="D698" s="6">
        <v>64.0</v>
      </c>
      <c r="E698" s="7" t="s">
        <v>7</v>
      </c>
      <c r="F698" s="7" t="s">
        <v>8</v>
      </c>
      <c r="G698" s="8"/>
    </row>
    <row r="699">
      <c r="A699" s="4">
        <v>43530.53130181713</v>
      </c>
      <c r="B699" s="5">
        <v>43530.86442</v>
      </c>
      <c r="C699" s="6">
        <v>1.053</v>
      </c>
      <c r="D699" s="6">
        <v>64.0</v>
      </c>
      <c r="E699" s="7" t="s">
        <v>7</v>
      </c>
      <c r="F699" s="7" t="s">
        <v>8</v>
      </c>
      <c r="G699" s="8"/>
    </row>
    <row r="700">
      <c r="A700" s="4">
        <v>43530.552142141205</v>
      </c>
      <c r="B700" s="5">
        <v>43530.8852607754</v>
      </c>
      <c r="C700" s="6">
        <v>1.053</v>
      </c>
      <c r="D700" s="6">
        <v>64.0</v>
      </c>
      <c r="E700" s="7" t="s">
        <v>7</v>
      </c>
      <c r="F700" s="7" t="s">
        <v>8</v>
      </c>
      <c r="G700" s="8"/>
    </row>
    <row r="701">
      <c r="A701" s="4">
        <v>43530.57300631945</v>
      </c>
      <c r="B701" s="5">
        <v>43530.9061267361</v>
      </c>
      <c r="C701" s="6">
        <v>1.053</v>
      </c>
      <c r="D701" s="6">
        <v>64.0</v>
      </c>
      <c r="E701" s="7" t="s">
        <v>7</v>
      </c>
      <c r="F701" s="7" t="s">
        <v>8</v>
      </c>
      <c r="G701" s="8"/>
    </row>
    <row r="702">
      <c r="A702" s="4">
        <v>43530.58370616898</v>
      </c>
      <c r="B702" s="5">
        <v>43530.9165478472</v>
      </c>
      <c r="C702" s="6">
        <v>1.053</v>
      </c>
      <c r="D702" s="6">
        <v>64.0</v>
      </c>
      <c r="E702" s="7" t="s">
        <v>7</v>
      </c>
      <c r="F702" s="7" t="s">
        <v>8</v>
      </c>
      <c r="G702" s="8"/>
    </row>
    <row r="703">
      <c r="A703" s="4">
        <v>43530.594219618055</v>
      </c>
      <c r="B703" s="5">
        <v>43530.926980949</v>
      </c>
      <c r="C703" s="6">
        <v>1.053</v>
      </c>
      <c r="D703" s="6">
        <v>64.0</v>
      </c>
      <c r="E703" s="7" t="s">
        <v>7</v>
      </c>
      <c r="F703" s="7" t="s">
        <v>8</v>
      </c>
      <c r="G703" s="8"/>
    </row>
    <row r="704">
      <c r="A704" s="4">
        <v>43530.60419053241</v>
      </c>
      <c r="B704" s="5">
        <v>43530.9374025578</v>
      </c>
      <c r="C704" s="6">
        <v>1.053</v>
      </c>
      <c r="D704" s="6">
        <v>64.0</v>
      </c>
      <c r="E704" s="7" t="s">
        <v>7</v>
      </c>
      <c r="F704" s="7" t="s">
        <v>8</v>
      </c>
      <c r="G704" s="8"/>
    </row>
    <row r="705">
      <c r="A705" s="4">
        <v>43530.614973414355</v>
      </c>
      <c r="B705" s="5">
        <v>43530.9478250347</v>
      </c>
      <c r="C705" s="6">
        <v>1.053</v>
      </c>
      <c r="D705" s="6">
        <v>64.0</v>
      </c>
      <c r="E705" s="7" t="s">
        <v>7</v>
      </c>
      <c r="F705" s="7" t="s">
        <v>8</v>
      </c>
      <c r="G705" s="8"/>
    </row>
    <row r="706">
      <c r="A706" s="4">
        <v>43530.62549258102</v>
      </c>
      <c r="B706" s="5">
        <v>43530.9582450694</v>
      </c>
      <c r="C706" s="6">
        <v>1.053</v>
      </c>
      <c r="D706" s="6">
        <v>64.0</v>
      </c>
      <c r="E706" s="7" t="s">
        <v>7</v>
      </c>
      <c r="F706" s="7" t="s">
        <v>8</v>
      </c>
      <c r="G706" s="8"/>
    </row>
    <row r="707">
      <c r="A707" s="4">
        <v>43530.63554243055</v>
      </c>
      <c r="B707" s="5">
        <v>43530.9686653472</v>
      </c>
      <c r="C707" s="6">
        <v>1.053</v>
      </c>
      <c r="D707" s="6">
        <v>64.0</v>
      </c>
      <c r="E707" s="7" t="s">
        <v>7</v>
      </c>
      <c r="F707" s="7" t="s">
        <v>8</v>
      </c>
      <c r="G707" s="8"/>
    </row>
    <row r="708">
      <c r="A708" s="4">
        <v>43530.646242083334</v>
      </c>
      <c r="B708" s="5">
        <v>43530.9790873148</v>
      </c>
      <c r="C708" s="6">
        <v>1.053</v>
      </c>
      <c r="D708" s="6">
        <v>64.0</v>
      </c>
      <c r="E708" s="7" t="s">
        <v>7</v>
      </c>
      <c r="F708" s="7" t="s">
        <v>8</v>
      </c>
      <c r="G708" s="8"/>
    </row>
    <row r="709">
      <c r="A709" s="4">
        <v>43530.66682413194</v>
      </c>
      <c r="B709" s="5">
        <v>43530.9999389004</v>
      </c>
      <c r="C709" s="6">
        <v>1.053</v>
      </c>
      <c r="D709" s="6">
        <v>64.0</v>
      </c>
      <c r="E709" s="7" t="s">
        <v>7</v>
      </c>
      <c r="F709" s="7" t="s">
        <v>8</v>
      </c>
      <c r="G709" s="8"/>
    </row>
    <row r="710">
      <c r="A710" s="4">
        <v>43530.67733247685</v>
      </c>
      <c r="B710" s="5">
        <v>43531.0103599074</v>
      </c>
      <c r="C710" s="6">
        <v>1.053</v>
      </c>
      <c r="D710" s="6">
        <v>64.0</v>
      </c>
      <c r="E710" s="7" t="s">
        <v>7</v>
      </c>
      <c r="F710" s="7" t="s">
        <v>8</v>
      </c>
      <c r="G710" s="8"/>
    </row>
    <row r="711">
      <c r="A711" s="4">
        <v>43530.68793583333</v>
      </c>
      <c r="B711" s="5">
        <v>43531.0207790277</v>
      </c>
      <c r="C711" s="6">
        <v>1.053</v>
      </c>
      <c r="D711" s="6">
        <v>64.0</v>
      </c>
      <c r="E711" s="7" t="s">
        <v>7</v>
      </c>
      <c r="F711" s="7" t="s">
        <v>8</v>
      </c>
      <c r="G711" s="8"/>
    </row>
    <row r="712">
      <c r="A712" s="4">
        <v>43530.70870509259</v>
      </c>
      <c r="B712" s="5">
        <v>43531.0416356712</v>
      </c>
      <c r="C712" s="6">
        <v>1.053</v>
      </c>
      <c r="D712" s="6">
        <v>64.0</v>
      </c>
      <c r="E712" s="7" t="s">
        <v>7</v>
      </c>
      <c r="F712" s="7" t="s">
        <v>8</v>
      </c>
      <c r="G712" s="8"/>
    </row>
    <row r="713">
      <c r="A713" s="4">
        <v>43530.71903096065</v>
      </c>
      <c r="B713" s="5">
        <v>43531.0520564467</v>
      </c>
      <c r="C713" s="6">
        <v>1.053</v>
      </c>
      <c r="D713" s="6">
        <v>64.0</v>
      </c>
      <c r="E713" s="7" t="s">
        <v>7</v>
      </c>
      <c r="F713" s="7" t="s">
        <v>8</v>
      </c>
      <c r="G713" s="8"/>
    </row>
    <row r="714">
      <c r="A714" s="4">
        <v>43530.72932457176</v>
      </c>
      <c r="B714" s="5">
        <v>43531.0624757986</v>
      </c>
      <c r="C714" s="6">
        <v>1.053</v>
      </c>
      <c r="D714" s="6">
        <v>64.0</v>
      </c>
      <c r="E714" s="7" t="s">
        <v>7</v>
      </c>
      <c r="F714" s="7" t="s">
        <v>8</v>
      </c>
      <c r="G714" s="8"/>
    </row>
    <row r="715">
      <c r="A715" s="4">
        <v>43530.73987525463</v>
      </c>
      <c r="B715" s="5">
        <v>43531.0728963657</v>
      </c>
      <c r="C715" s="6">
        <v>1.053</v>
      </c>
      <c r="D715" s="6">
        <v>65.0</v>
      </c>
      <c r="E715" s="7" t="s">
        <v>7</v>
      </c>
      <c r="F715" s="7" t="s">
        <v>8</v>
      </c>
      <c r="G715" s="8"/>
    </row>
    <row r="716">
      <c r="A716" s="4">
        <v>43530.75011828703</v>
      </c>
      <c r="B716" s="5">
        <v>43531.0833290856</v>
      </c>
      <c r="C716" s="6">
        <v>1.052</v>
      </c>
      <c r="D716" s="6">
        <v>65.0</v>
      </c>
      <c r="E716" s="7" t="s">
        <v>7</v>
      </c>
      <c r="F716" s="7" t="s">
        <v>8</v>
      </c>
      <c r="G716" s="8"/>
    </row>
    <row r="717">
      <c r="A717" s="4">
        <v>43530.76055427083</v>
      </c>
      <c r="B717" s="5">
        <v>43531.0937615972</v>
      </c>
      <c r="C717" s="6">
        <v>1.053</v>
      </c>
      <c r="D717" s="6">
        <v>65.0</v>
      </c>
      <c r="E717" s="7" t="s">
        <v>7</v>
      </c>
      <c r="F717" s="7" t="s">
        <v>8</v>
      </c>
      <c r="G717" s="8"/>
    </row>
    <row r="718">
      <c r="A718" s="4">
        <v>43530.781677754625</v>
      </c>
      <c r="B718" s="5">
        <v>43531.1146016319</v>
      </c>
      <c r="C718" s="6">
        <v>1.052</v>
      </c>
      <c r="D718" s="6">
        <v>65.0</v>
      </c>
      <c r="E718" s="7" t="s">
        <v>7</v>
      </c>
      <c r="F718" s="7" t="s">
        <v>8</v>
      </c>
      <c r="G718" s="8"/>
    </row>
    <row r="719">
      <c r="A719" s="4">
        <v>43530.802325983794</v>
      </c>
      <c r="B719" s="5">
        <v>43531.1354431481</v>
      </c>
      <c r="C719" s="6">
        <v>1.053</v>
      </c>
      <c r="D719" s="6">
        <v>65.0</v>
      </c>
      <c r="E719" s="7" t="s">
        <v>7</v>
      </c>
      <c r="F719" s="7" t="s">
        <v>8</v>
      </c>
      <c r="G719" s="8"/>
    </row>
    <row r="720">
      <c r="A720" s="4">
        <v>43530.81265431713</v>
      </c>
      <c r="B720" s="5">
        <v>43531.1458626041</v>
      </c>
      <c r="C720" s="6">
        <v>1.053</v>
      </c>
      <c r="D720" s="6">
        <v>65.0</v>
      </c>
      <c r="E720" s="7" t="s">
        <v>7</v>
      </c>
      <c r="F720" s="7" t="s">
        <v>8</v>
      </c>
      <c r="G720" s="8"/>
    </row>
    <row r="721">
      <c r="A721" s="4">
        <v>43530.833689837964</v>
      </c>
      <c r="B721" s="5">
        <v>43531.1667045949</v>
      </c>
      <c r="C721" s="6">
        <v>1.053</v>
      </c>
      <c r="D721" s="6">
        <v>65.0</v>
      </c>
      <c r="E721" s="7" t="s">
        <v>7</v>
      </c>
      <c r="F721" s="7" t="s">
        <v>8</v>
      </c>
      <c r="G721" s="8"/>
    </row>
    <row r="722">
      <c r="A722" s="4">
        <v>43530.85463065973</v>
      </c>
      <c r="B722" s="5">
        <v>43531.1875588773</v>
      </c>
      <c r="C722" s="6">
        <v>1.052</v>
      </c>
      <c r="D722" s="6">
        <v>65.0</v>
      </c>
      <c r="E722" s="7" t="s">
        <v>7</v>
      </c>
      <c r="F722" s="7" t="s">
        <v>8</v>
      </c>
      <c r="G722" s="8"/>
    </row>
    <row r="723">
      <c r="A723" s="4">
        <v>43530.875390891204</v>
      </c>
      <c r="B723" s="5">
        <v>43531.2084006481</v>
      </c>
      <c r="C723" s="6">
        <v>1.052</v>
      </c>
      <c r="D723" s="6">
        <v>65.0</v>
      </c>
      <c r="E723" s="7" t="s">
        <v>7</v>
      </c>
      <c r="F723" s="7" t="s">
        <v>8</v>
      </c>
      <c r="G723" s="8"/>
    </row>
    <row r="724">
      <c r="A724" s="4">
        <v>43530.885991030096</v>
      </c>
      <c r="B724" s="5">
        <v>43531.2188332175</v>
      </c>
      <c r="C724" s="6">
        <v>1.052</v>
      </c>
      <c r="D724" s="6">
        <v>65.0</v>
      </c>
      <c r="E724" s="7" t="s">
        <v>7</v>
      </c>
      <c r="F724" s="7" t="s">
        <v>8</v>
      </c>
      <c r="G724" s="8"/>
    </row>
    <row r="725">
      <c r="A725" s="4">
        <v>43530.8963181713</v>
      </c>
      <c r="B725" s="5">
        <v>43531.2292528935</v>
      </c>
      <c r="C725" s="6">
        <v>1.052</v>
      </c>
      <c r="D725" s="6">
        <v>65.0</v>
      </c>
      <c r="E725" s="7" t="s">
        <v>7</v>
      </c>
      <c r="F725" s="7" t="s">
        <v>8</v>
      </c>
      <c r="G725" s="8"/>
    </row>
    <row r="726">
      <c r="A726" s="4">
        <v>43530.906549583335</v>
      </c>
      <c r="B726" s="5">
        <v>43531.2396741782</v>
      </c>
      <c r="C726" s="6">
        <v>1.052</v>
      </c>
      <c r="D726" s="6">
        <v>65.0</v>
      </c>
      <c r="E726" s="7" t="s">
        <v>7</v>
      </c>
      <c r="F726" s="7" t="s">
        <v>8</v>
      </c>
      <c r="G726" s="8"/>
    </row>
    <row r="727">
      <c r="A727" s="4">
        <v>43530.916883252314</v>
      </c>
      <c r="B727" s="5">
        <v>43531.2500949189</v>
      </c>
      <c r="C727" s="6">
        <v>1.052</v>
      </c>
      <c r="D727" s="6">
        <v>65.0</v>
      </c>
      <c r="E727" s="7" t="s">
        <v>7</v>
      </c>
      <c r="F727" s="7" t="s">
        <v>8</v>
      </c>
      <c r="G727" s="8"/>
    </row>
    <row r="728">
      <c r="A728" s="4">
        <v>43530.927495185184</v>
      </c>
      <c r="B728" s="5">
        <v>43531.2605286921</v>
      </c>
      <c r="C728" s="6">
        <v>1.052</v>
      </c>
      <c r="D728" s="6">
        <v>65.0</v>
      </c>
      <c r="E728" s="7" t="s">
        <v>7</v>
      </c>
      <c r="F728" s="7" t="s">
        <v>8</v>
      </c>
      <c r="G728" s="8"/>
    </row>
    <row r="729">
      <c r="A729" s="4">
        <v>43530.937927164356</v>
      </c>
      <c r="B729" s="5">
        <v>43531.2709509953</v>
      </c>
      <c r="C729" s="6">
        <v>1.052</v>
      </c>
      <c r="D729" s="6">
        <v>65.0</v>
      </c>
      <c r="E729" s="7" t="s">
        <v>7</v>
      </c>
      <c r="F729" s="7" t="s">
        <v>8</v>
      </c>
      <c r="G729" s="8"/>
    </row>
    <row r="730">
      <c r="A730" s="4">
        <v>43530.95858877315</v>
      </c>
      <c r="B730" s="5">
        <v>43531.2918045601</v>
      </c>
      <c r="C730" s="6">
        <v>1.052</v>
      </c>
      <c r="D730" s="6">
        <v>65.0</v>
      </c>
      <c r="E730" s="7" t="s">
        <v>7</v>
      </c>
      <c r="F730" s="7" t="s">
        <v>8</v>
      </c>
      <c r="G730" s="8"/>
    </row>
    <row r="731">
      <c r="A731" s="4">
        <v>43530.969629259256</v>
      </c>
      <c r="B731" s="5">
        <v>43531.3022265393</v>
      </c>
      <c r="C731" s="6">
        <v>1.052</v>
      </c>
      <c r="D731" s="6">
        <v>65.0</v>
      </c>
      <c r="E731" s="7" t="s">
        <v>7</v>
      </c>
      <c r="F731" s="7" t="s">
        <v>8</v>
      </c>
      <c r="G731" s="8"/>
    </row>
    <row r="732">
      <c r="A732" s="4">
        <v>43530.99023146991</v>
      </c>
      <c r="B732" s="5">
        <v>43531.3230693402</v>
      </c>
      <c r="C732" s="6">
        <v>1.052</v>
      </c>
      <c r="D732" s="6">
        <v>64.0</v>
      </c>
      <c r="E732" s="7" t="s">
        <v>7</v>
      </c>
      <c r="F732" s="7" t="s">
        <v>8</v>
      </c>
      <c r="G732" s="8"/>
    </row>
    <row r="733">
      <c r="A733" s="4">
        <v>43531.000262939815</v>
      </c>
      <c r="B733" s="5">
        <v>43531.3334898263</v>
      </c>
      <c r="C733" s="6">
        <v>1.052</v>
      </c>
      <c r="D733" s="6">
        <v>64.0</v>
      </c>
      <c r="E733" s="7" t="s">
        <v>7</v>
      </c>
      <c r="F733" s="7" t="s">
        <v>8</v>
      </c>
      <c r="G733" s="8"/>
    </row>
    <row r="734">
      <c r="A734" s="4">
        <v>43531.010683263885</v>
      </c>
      <c r="B734" s="5">
        <v>43531.3439092939</v>
      </c>
      <c r="C734" s="6">
        <v>1.052</v>
      </c>
      <c r="D734" s="6">
        <v>64.0</v>
      </c>
      <c r="E734" s="7" t="s">
        <v>7</v>
      </c>
      <c r="F734" s="7" t="s">
        <v>8</v>
      </c>
      <c r="G734" s="8"/>
    </row>
    <row r="735">
      <c r="A735" s="4">
        <v>43531.03163679398</v>
      </c>
      <c r="B735" s="5">
        <v>43531.3647510416</v>
      </c>
      <c r="C735" s="6">
        <v>1.052</v>
      </c>
      <c r="D735" s="6">
        <v>64.0</v>
      </c>
      <c r="E735" s="7" t="s">
        <v>7</v>
      </c>
      <c r="F735" s="7" t="s">
        <v>8</v>
      </c>
      <c r="G735" s="8"/>
    </row>
    <row r="736">
      <c r="A736" s="4">
        <v>43531.04197427083</v>
      </c>
      <c r="B736" s="5">
        <v>43531.375183368</v>
      </c>
      <c r="C736" s="6">
        <v>1.052</v>
      </c>
      <c r="D736" s="6">
        <v>64.0</v>
      </c>
      <c r="E736" s="7" t="s">
        <v>7</v>
      </c>
      <c r="F736" s="7" t="s">
        <v>8</v>
      </c>
      <c r="G736" s="8"/>
    </row>
    <row r="737">
      <c r="A737" s="4">
        <v>43531.06291951389</v>
      </c>
      <c r="B737" s="5">
        <v>43531.3960396759</v>
      </c>
      <c r="C737" s="6">
        <v>1.052</v>
      </c>
      <c r="D737" s="6">
        <v>64.0</v>
      </c>
      <c r="E737" s="7" t="s">
        <v>7</v>
      </c>
      <c r="F737" s="7" t="s">
        <v>8</v>
      </c>
      <c r="G737" s="8"/>
    </row>
    <row r="738">
      <c r="A738" s="4">
        <v>43531.08367229167</v>
      </c>
      <c r="B738" s="5">
        <v>43531.4168830324</v>
      </c>
      <c r="C738" s="6">
        <v>1.052</v>
      </c>
      <c r="D738" s="6">
        <v>64.0</v>
      </c>
      <c r="E738" s="7" t="s">
        <v>7</v>
      </c>
      <c r="F738" s="7" t="s">
        <v>8</v>
      </c>
      <c r="G738" s="8"/>
    </row>
    <row r="739">
      <c r="A739" s="4">
        <v>43531.1049780787</v>
      </c>
      <c r="B739" s="5">
        <v>43531.4377240162</v>
      </c>
      <c r="C739" s="6">
        <v>1.052</v>
      </c>
      <c r="D739" s="6">
        <v>64.0</v>
      </c>
      <c r="E739" s="7" t="s">
        <v>7</v>
      </c>
      <c r="F739" s="7" t="s">
        <v>8</v>
      </c>
      <c r="G739" s="8"/>
    </row>
    <row r="740">
      <c r="A740" s="4">
        <v>43531.114923182875</v>
      </c>
      <c r="B740" s="5">
        <v>43531.4481462384</v>
      </c>
      <c r="C740" s="6">
        <v>1.052</v>
      </c>
      <c r="D740" s="6">
        <v>64.0</v>
      </c>
      <c r="E740" s="7" t="s">
        <v>7</v>
      </c>
      <c r="F740" s="7" t="s">
        <v>8</v>
      </c>
      <c r="G740" s="8"/>
    </row>
    <row r="741">
      <c r="A741" s="4">
        <v>43531.12544989583</v>
      </c>
      <c r="B741" s="5">
        <v>43531.4585695023</v>
      </c>
      <c r="C741" s="6">
        <v>1.052</v>
      </c>
      <c r="D741" s="6">
        <v>64.0</v>
      </c>
      <c r="E741" s="7" t="s">
        <v>7</v>
      </c>
      <c r="F741" s="7" t="s">
        <v>8</v>
      </c>
      <c r="G741" s="8"/>
    </row>
    <row r="742">
      <c r="A742" s="4">
        <v>43531.16743314815</v>
      </c>
      <c r="B742" s="5">
        <v>43531.5002769907</v>
      </c>
      <c r="C742" s="6">
        <v>1.052</v>
      </c>
      <c r="D742" s="6">
        <v>64.0</v>
      </c>
      <c r="E742" s="7" t="s">
        <v>7</v>
      </c>
      <c r="F742" s="7" t="s">
        <v>8</v>
      </c>
      <c r="G742" s="8"/>
    </row>
    <row r="743">
      <c r="A743" s="4">
        <v>43531.18847303241</v>
      </c>
      <c r="B743" s="5">
        <v>43531.5211177777</v>
      </c>
      <c r="C743" s="6">
        <v>1.052</v>
      </c>
      <c r="D743" s="6">
        <v>64.0</v>
      </c>
      <c r="E743" s="7" t="s">
        <v>7</v>
      </c>
      <c r="F743" s="7" t="s">
        <v>8</v>
      </c>
      <c r="G743" s="8"/>
    </row>
    <row r="744">
      <c r="A744" s="4">
        <v>43531.208847870366</v>
      </c>
      <c r="B744" s="5">
        <v>43531.5419611458</v>
      </c>
      <c r="C744" s="6">
        <v>1.052</v>
      </c>
      <c r="D744" s="6">
        <v>65.0</v>
      </c>
      <c r="E744" s="7" t="s">
        <v>7</v>
      </c>
      <c r="F744" s="7" t="s">
        <v>8</v>
      </c>
      <c r="G744" s="8"/>
    </row>
    <row r="745">
      <c r="A745" s="4">
        <v>43531.21925829861</v>
      </c>
      <c r="B745" s="5">
        <v>43531.5523818518</v>
      </c>
      <c r="C745" s="6">
        <v>1.052</v>
      </c>
      <c r="D745" s="6">
        <v>65.0</v>
      </c>
      <c r="E745" s="7" t="s">
        <v>7</v>
      </c>
      <c r="F745" s="7" t="s">
        <v>8</v>
      </c>
      <c r="G745" s="8"/>
    </row>
    <row r="746">
      <c r="A746" s="4">
        <v>43531.240125219905</v>
      </c>
      <c r="B746" s="5">
        <v>43531.5732452662</v>
      </c>
      <c r="C746" s="6">
        <v>1.052</v>
      </c>
      <c r="D746" s="6">
        <v>65.0</v>
      </c>
      <c r="E746" s="7" t="s">
        <v>7</v>
      </c>
      <c r="F746" s="7" t="s">
        <v>8</v>
      </c>
      <c r="G746" s="8"/>
    </row>
    <row r="747">
      <c r="A747" s="4">
        <v>43531.26087662037</v>
      </c>
      <c r="B747" s="5">
        <v>43531.5941002083</v>
      </c>
      <c r="C747" s="6">
        <v>1.052</v>
      </c>
      <c r="D747" s="6">
        <v>65.0</v>
      </c>
      <c r="E747" s="7" t="s">
        <v>7</v>
      </c>
      <c r="F747" s="7" t="s">
        <v>8</v>
      </c>
      <c r="G747" s="8"/>
    </row>
    <row r="748">
      <c r="A748" s="4">
        <v>43531.27130866898</v>
      </c>
      <c r="B748" s="5">
        <v>43531.6045223263</v>
      </c>
      <c r="C748" s="6">
        <v>1.051</v>
      </c>
      <c r="D748" s="6">
        <v>65.0</v>
      </c>
      <c r="E748" s="7" t="s">
        <v>7</v>
      </c>
      <c r="F748" s="7" t="s">
        <v>8</v>
      </c>
      <c r="G748" s="8"/>
    </row>
    <row r="749">
      <c r="A749" s="4">
        <v>43531.28193362268</v>
      </c>
      <c r="B749" s="5">
        <v>43531.6149418865</v>
      </c>
      <c r="C749" s="6">
        <v>1.052</v>
      </c>
      <c r="D749" s="6">
        <v>65.0</v>
      </c>
      <c r="E749" s="7" t="s">
        <v>7</v>
      </c>
      <c r="F749" s="7" t="s">
        <v>8</v>
      </c>
      <c r="G749" s="8"/>
    </row>
    <row r="750">
      <c r="A750" s="4">
        <v>43531.29214953704</v>
      </c>
      <c r="B750" s="5">
        <v>43531.6253634722</v>
      </c>
      <c r="C750" s="6">
        <v>1.051</v>
      </c>
      <c r="D750" s="6">
        <v>65.0</v>
      </c>
      <c r="E750" s="7" t="s">
        <v>7</v>
      </c>
      <c r="F750" s="7" t="s">
        <v>8</v>
      </c>
      <c r="G750" s="8"/>
    </row>
    <row r="751">
      <c r="A751" s="4">
        <v>43531.30266543981</v>
      </c>
      <c r="B751" s="5">
        <v>43531.6357849884</v>
      </c>
      <c r="C751" s="6">
        <v>1.052</v>
      </c>
      <c r="D751" s="6">
        <v>65.0</v>
      </c>
      <c r="E751" s="7" t="s">
        <v>7</v>
      </c>
      <c r="F751" s="7" t="s">
        <v>8</v>
      </c>
      <c r="G751" s="8"/>
    </row>
    <row r="752">
      <c r="A752" s="4">
        <v>43531.31297868055</v>
      </c>
      <c r="B752" s="5">
        <v>43531.646206412</v>
      </c>
      <c r="C752" s="6">
        <v>1.052</v>
      </c>
      <c r="D752" s="6">
        <v>65.0</v>
      </c>
      <c r="E752" s="7" t="s">
        <v>7</v>
      </c>
      <c r="F752" s="7" t="s">
        <v>8</v>
      </c>
      <c r="G752" s="8"/>
    </row>
    <row r="753">
      <c r="A753" s="4">
        <v>43531.323403946764</v>
      </c>
      <c r="B753" s="5">
        <v>43531.6566387731</v>
      </c>
      <c r="C753" s="6">
        <v>1.052</v>
      </c>
      <c r="D753" s="6">
        <v>65.0</v>
      </c>
      <c r="E753" s="7" t="s">
        <v>7</v>
      </c>
      <c r="F753" s="7" t="s">
        <v>8</v>
      </c>
      <c r="G753" s="8"/>
    </row>
    <row r="754">
      <c r="A754" s="4">
        <v>43531.33413491899</v>
      </c>
      <c r="B754" s="5">
        <v>43531.6670617476</v>
      </c>
      <c r="C754" s="6">
        <v>1.052</v>
      </c>
      <c r="D754" s="6">
        <v>65.0</v>
      </c>
      <c r="E754" s="7" t="s">
        <v>7</v>
      </c>
      <c r="F754" s="7" t="s">
        <v>8</v>
      </c>
      <c r="G754" s="8"/>
    </row>
    <row r="755">
      <c r="A755" s="4">
        <v>43531.37615819444</v>
      </c>
      <c r="B755" s="5">
        <v>43531.7087895949</v>
      </c>
      <c r="C755" s="6">
        <v>1.051</v>
      </c>
      <c r="D755" s="6">
        <v>64.0</v>
      </c>
      <c r="E755" s="7" t="s">
        <v>7</v>
      </c>
      <c r="F755" s="7" t="s">
        <v>8</v>
      </c>
      <c r="G755" s="8"/>
    </row>
    <row r="756">
      <c r="A756" s="4">
        <v>43531.38620353009</v>
      </c>
      <c r="B756" s="5">
        <v>43531.7192229282</v>
      </c>
      <c r="C756" s="6">
        <v>1.051</v>
      </c>
      <c r="D756" s="6">
        <v>64.0</v>
      </c>
      <c r="E756" s="7" t="s">
        <v>7</v>
      </c>
      <c r="F756" s="7" t="s">
        <v>8</v>
      </c>
      <c r="G756" s="8"/>
    </row>
    <row r="757">
      <c r="A757" s="4">
        <v>43531.39652333333</v>
      </c>
      <c r="B757" s="5">
        <v>43531.7296442476</v>
      </c>
      <c r="C757" s="6">
        <v>1.051</v>
      </c>
      <c r="D757" s="6">
        <v>64.0</v>
      </c>
      <c r="E757" s="7" t="s">
        <v>7</v>
      </c>
      <c r="F757" s="7" t="s">
        <v>8</v>
      </c>
      <c r="G757" s="8"/>
    </row>
    <row r="758">
      <c r="A758" s="4">
        <v>43531.41754894676</v>
      </c>
      <c r="B758" s="5">
        <v>43531.7504856597</v>
      </c>
      <c r="C758" s="6">
        <v>1.051</v>
      </c>
      <c r="D758" s="6">
        <v>64.0</v>
      </c>
      <c r="E758" s="7" t="s">
        <v>7</v>
      </c>
      <c r="F758" s="7" t="s">
        <v>8</v>
      </c>
      <c r="G758" s="8"/>
    </row>
    <row r="759">
      <c r="A759" s="4">
        <v>43531.43839201389</v>
      </c>
      <c r="B759" s="5">
        <v>43531.7713278935</v>
      </c>
      <c r="C759" s="6">
        <v>1.051</v>
      </c>
      <c r="D759" s="6">
        <v>64.0</v>
      </c>
      <c r="E759" s="7" t="s">
        <v>7</v>
      </c>
      <c r="F759" s="7" t="s">
        <v>8</v>
      </c>
      <c r="G759" s="8"/>
    </row>
    <row r="760">
      <c r="A760" s="4">
        <v>43531.44872153935</v>
      </c>
      <c r="B760" s="5">
        <v>43531.7817511805</v>
      </c>
      <c r="C760" s="6">
        <v>1.051</v>
      </c>
      <c r="D760" s="6">
        <v>64.0</v>
      </c>
      <c r="E760" s="7" t="s">
        <v>7</v>
      </c>
      <c r="F760" s="7" t="s">
        <v>8</v>
      </c>
      <c r="G760" s="8"/>
    </row>
    <row r="761">
      <c r="A761" s="4">
        <v>43531.459245555554</v>
      </c>
      <c r="B761" s="5">
        <v>43531.7921735648</v>
      </c>
      <c r="C761" s="6">
        <v>1.051</v>
      </c>
      <c r="D761" s="6">
        <v>64.0</v>
      </c>
      <c r="E761" s="7" t="s">
        <v>7</v>
      </c>
      <c r="F761" s="7" t="s">
        <v>8</v>
      </c>
      <c r="G761" s="8"/>
    </row>
    <row r="762">
      <c r="A762" s="4">
        <v>43531.490506284725</v>
      </c>
      <c r="B762" s="5">
        <v>43531.8234370254</v>
      </c>
      <c r="C762" s="6">
        <v>1.051</v>
      </c>
      <c r="D762" s="6">
        <v>64.0</v>
      </c>
      <c r="E762" s="7" t="s">
        <v>7</v>
      </c>
      <c r="F762" s="7" t="s">
        <v>8</v>
      </c>
      <c r="G762" s="8"/>
    </row>
    <row r="763">
      <c r="A763" s="4">
        <v>43531.5115500463</v>
      </c>
      <c r="B763" s="5">
        <v>43531.8442787963</v>
      </c>
      <c r="C763" s="6">
        <v>1.051</v>
      </c>
      <c r="D763" s="6">
        <v>64.0</v>
      </c>
      <c r="E763" s="7" t="s">
        <v>7</v>
      </c>
      <c r="F763" s="7" t="s">
        <v>8</v>
      </c>
      <c r="G763" s="8"/>
    </row>
    <row r="764">
      <c r="A764" s="4">
        <v>43531.532475810185</v>
      </c>
      <c r="B764" s="5">
        <v>43531.865121331</v>
      </c>
      <c r="C764" s="6">
        <v>1.051</v>
      </c>
      <c r="D764" s="6">
        <v>64.0</v>
      </c>
      <c r="E764" s="7" t="s">
        <v>7</v>
      </c>
      <c r="F764" s="7" t="s">
        <v>8</v>
      </c>
      <c r="G764" s="8"/>
    </row>
    <row r="765">
      <c r="A765" s="4">
        <v>43531.542882546295</v>
      </c>
      <c r="B765" s="5">
        <v>43531.8755421064</v>
      </c>
      <c r="C765" s="6">
        <v>1.051</v>
      </c>
      <c r="D765" s="6">
        <v>64.0</v>
      </c>
      <c r="E765" s="7" t="s">
        <v>7</v>
      </c>
      <c r="F765" s="7" t="s">
        <v>8</v>
      </c>
      <c r="G765" s="8"/>
    </row>
    <row r="766">
      <c r="A766" s="4">
        <v>43531.552751967596</v>
      </c>
      <c r="B766" s="5">
        <v>43531.8859630439</v>
      </c>
      <c r="C766" s="6">
        <v>1.051</v>
      </c>
      <c r="D766" s="6">
        <v>64.0</v>
      </c>
      <c r="E766" s="7" t="s">
        <v>7</v>
      </c>
      <c r="F766" s="7" t="s">
        <v>8</v>
      </c>
      <c r="G766" s="8"/>
    </row>
    <row r="767">
      <c r="A767" s="4">
        <v>43531.563458136574</v>
      </c>
      <c r="B767" s="5">
        <v>43531.8963955324</v>
      </c>
      <c r="C767" s="6">
        <v>1.051</v>
      </c>
      <c r="D767" s="6">
        <v>64.0</v>
      </c>
      <c r="E767" s="7" t="s">
        <v>7</v>
      </c>
      <c r="F767" s="7" t="s">
        <v>8</v>
      </c>
      <c r="G767" s="8"/>
    </row>
    <row r="768">
      <c r="A768" s="4">
        <v>43531.57397333333</v>
      </c>
      <c r="B768" s="5">
        <v>43531.9068156597</v>
      </c>
      <c r="C768" s="6">
        <v>1.051</v>
      </c>
      <c r="D768" s="6">
        <v>64.0</v>
      </c>
      <c r="E768" s="7" t="s">
        <v>7</v>
      </c>
      <c r="F768" s="7" t="s">
        <v>8</v>
      </c>
      <c r="G768" s="8"/>
    </row>
    <row r="769">
      <c r="A769" s="4">
        <v>43531.58430270833</v>
      </c>
      <c r="B769" s="5">
        <v>43531.9172361689</v>
      </c>
      <c r="C769" s="6">
        <v>1.051</v>
      </c>
      <c r="D769" s="6">
        <v>64.0</v>
      </c>
      <c r="E769" s="7" t="s">
        <v>7</v>
      </c>
      <c r="F769" s="7" t="s">
        <v>8</v>
      </c>
      <c r="G769" s="8"/>
    </row>
    <row r="770">
      <c r="A770" s="4">
        <v>43531.604854097226</v>
      </c>
      <c r="B770" s="5">
        <v>43531.9380768402</v>
      </c>
      <c r="C770" s="6">
        <v>1.051</v>
      </c>
      <c r="D770" s="6">
        <v>64.0</v>
      </c>
      <c r="E770" s="7" t="s">
        <v>7</v>
      </c>
      <c r="F770" s="7" t="s">
        <v>8</v>
      </c>
      <c r="G770" s="8"/>
    </row>
    <row r="771">
      <c r="A771" s="4">
        <v>43531.615748993056</v>
      </c>
      <c r="B771" s="5">
        <v>43531.9484979861</v>
      </c>
      <c r="C771" s="6">
        <v>1.051</v>
      </c>
      <c r="D771" s="6">
        <v>64.0</v>
      </c>
      <c r="E771" s="7" t="s">
        <v>7</v>
      </c>
      <c r="F771" s="7" t="s">
        <v>8</v>
      </c>
      <c r="G771" s="8"/>
    </row>
    <row r="772">
      <c r="A772" s="4">
        <v>43531.63650017361</v>
      </c>
      <c r="B772" s="5">
        <v>43531.9693379282</v>
      </c>
      <c r="C772" s="6">
        <v>1.051</v>
      </c>
      <c r="D772" s="6">
        <v>64.0</v>
      </c>
      <c r="E772" s="7" t="s">
        <v>7</v>
      </c>
      <c r="F772" s="7" t="s">
        <v>8</v>
      </c>
      <c r="G772" s="8"/>
    </row>
    <row r="773">
      <c r="A773" s="4">
        <v>43531.64664440972</v>
      </c>
      <c r="B773" s="5">
        <v>43531.9797584375</v>
      </c>
      <c r="C773" s="6">
        <v>1.051</v>
      </c>
      <c r="D773" s="6">
        <v>65.0</v>
      </c>
      <c r="E773" s="7" t="s">
        <v>7</v>
      </c>
      <c r="F773" s="7" t="s">
        <v>8</v>
      </c>
      <c r="G773" s="8"/>
    </row>
    <row r="774">
      <c r="A774" s="4">
        <v>43531.65695896991</v>
      </c>
      <c r="B774" s="5">
        <v>43531.9901792013</v>
      </c>
      <c r="C774" s="6">
        <v>1.051</v>
      </c>
      <c r="D774" s="6">
        <v>65.0</v>
      </c>
      <c r="E774" s="7" t="s">
        <v>7</v>
      </c>
      <c r="F774" s="7" t="s">
        <v>8</v>
      </c>
      <c r="G774" s="8"/>
    </row>
    <row r="775">
      <c r="A775" s="4">
        <v>43531.66756423611</v>
      </c>
      <c r="B775" s="5">
        <v>43532.0005999305</v>
      </c>
      <c r="C775" s="6">
        <v>1.051</v>
      </c>
      <c r="D775" s="6">
        <v>65.0</v>
      </c>
      <c r="E775" s="7" t="s">
        <v>7</v>
      </c>
      <c r="F775" s="7" t="s">
        <v>8</v>
      </c>
      <c r="G775" s="8"/>
    </row>
    <row r="776">
      <c r="A776" s="4">
        <v>43531.67808892361</v>
      </c>
      <c r="B776" s="5">
        <v>43532.0110199768</v>
      </c>
      <c r="C776" s="6">
        <v>1.051</v>
      </c>
      <c r="D776" s="6">
        <v>65.0</v>
      </c>
      <c r="E776" s="7" t="s">
        <v>7</v>
      </c>
      <c r="F776" s="7" t="s">
        <v>8</v>
      </c>
      <c r="G776" s="8"/>
    </row>
    <row r="777">
      <c r="A777" s="4">
        <v>43531.709086030096</v>
      </c>
      <c r="B777" s="5">
        <v>43532.0422961805</v>
      </c>
      <c r="C777" s="6">
        <v>1.051</v>
      </c>
      <c r="D777" s="6">
        <v>65.0</v>
      </c>
      <c r="E777" s="7" t="s">
        <v>7</v>
      </c>
      <c r="F777" s="7" t="s">
        <v>8</v>
      </c>
      <c r="G777" s="8"/>
    </row>
    <row r="778">
      <c r="A778" s="4">
        <v>43531.73047765046</v>
      </c>
      <c r="B778" s="5">
        <v>43532.0631392245</v>
      </c>
      <c r="C778" s="6">
        <v>1.051</v>
      </c>
      <c r="D778" s="6">
        <v>65.0</v>
      </c>
      <c r="E778" s="7" t="s">
        <v>7</v>
      </c>
      <c r="F778" s="7" t="s">
        <v>8</v>
      </c>
      <c r="G778" s="8"/>
    </row>
    <row r="779">
      <c r="A779" s="4">
        <v>43531.740433865736</v>
      </c>
      <c r="B779" s="5">
        <v>43532.0735610185</v>
      </c>
      <c r="C779" s="6">
        <v>1.051</v>
      </c>
      <c r="D779" s="6">
        <v>65.0</v>
      </c>
      <c r="E779" s="7" t="s">
        <v>7</v>
      </c>
      <c r="F779" s="7" t="s">
        <v>8</v>
      </c>
      <c r="G779" s="8"/>
    </row>
    <row r="780">
      <c r="A780" s="4">
        <v>43531.761216122686</v>
      </c>
      <c r="B780" s="5">
        <v>43532.094415706</v>
      </c>
      <c r="C780" s="6">
        <v>1.051</v>
      </c>
      <c r="D780" s="6">
        <v>65.0</v>
      </c>
      <c r="E780" s="7" t="s">
        <v>7</v>
      </c>
      <c r="F780" s="7" t="s">
        <v>8</v>
      </c>
      <c r="G780" s="8"/>
    </row>
    <row r="781">
      <c r="A781" s="4">
        <v>43531.77163876157</v>
      </c>
      <c r="B781" s="5">
        <v>43532.1048504745</v>
      </c>
      <c r="C781" s="6">
        <v>1.051</v>
      </c>
      <c r="D781" s="6">
        <v>65.0</v>
      </c>
      <c r="E781" s="7" t="s">
        <v>7</v>
      </c>
      <c r="F781" s="7" t="s">
        <v>8</v>
      </c>
      <c r="G781" s="8"/>
    </row>
    <row r="782">
      <c r="A782" s="4">
        <v>43531.78241465278</v>
      </c>
      <c r="B782" s="5">
        <v>43532.1152734375</v>
      </c>
      <c r="C782" s="6">
        <v>1.051</v>
      </c>
      <c r="D782" s="6">
        <v>65.0</v>
      </c>
      <c r="E782" s="7" t="s">
        <v>7</v>
      </c>
      <c r="F782" s="7" t="s">
        <v>8</v>
      </c>
      <c r="G782" s="8"/>
    </row>
    <row r="783">
      <c r="A783" s="4">
        <v>43531.79276009259</v>
      </c>
      <c r="B783" s="5">
        <v>43532.1256970601</v>
      </c>
      <c r="C783" s="6">
        <v>1.051</v>
      </c>
      <c r="D783" s="6">
        <v>65.0</v>
      </c>
      <c r="E783" s="7" t="s">
        <v>7</v>
      </c>
      <c r="F783" s="7" t="s">
        <v>8</v>
      </c>
      <c r="G783" s="8"/>
    </row>
    <row r="784">
      <c r="A784" s="4">
        <v>43531.80296601852</v>
      </c>
      <c r="B784" s="5">
        <v>43532.1361172222</v>
      </c>
      <c r="C784" s="6">
        <v>1.051</v>
      </c>
      <c r="D784" s="6">
        <v>65.0</v>
      </c>
      <c r="E784" s="7" t="s">
        <v>7</v>
      </c>
      <c r="F784" s="7" t="s">
        <v>8</v>
      </c>
      <c r="G784" s="8"/>
    </row>
    <row r="785">
      <c r="A785" s="4">
        <v>43531.813861111106</v>
      </c>
      <c r="B785" s="5">
        <v>43532.1465403587</v>
      </c>
      <c r="C785" s="6">
        <v>1.05</v>
      </c>
      <c r="D785" s="6">
        <v>65.0</v>
      </c>
      <c r="E785" s="7" t="s">
        <v>7</v>
      </c>
      <c r="F785" s="7" t="s">
        <v>8</v>
      </c>
      <c r="G785" s="8"/>
    </row>
    <row r="786">
      <c r="A786" s="4">
        <v>43531.82375701389</v>
      </c>
      <c r="B786" s="5">
        <v>43532.1569627662</v>
      </c>
      <c r="C786" s="6">
        <v>1.051</v>
      </c>
      <c r="D786" s="6">
        <v>65.0</v>
      </c>
      <c r="E786" s="7" t="s">
        <v>7</v>
      </c>
      <c r="F786" s="7" t="s">
        <v>8</v>
      </c>
      <c r="G786" s="8"/>
    </row>
    <row r="787">
      <c r="A787" s="4">
        <v>43531.83445016204</v>
      </c>
      <c r="B787" s="5">
        <v>43532.1673819444</v>
      </c>
      <c r="C787" s="6">
        <v>1.051</v>
      </c>
      <c r="D787" s="6">
        <v>65.0</v>
      </c>
      <c r="E787" s="7" t="s">
        <v>7</v>
      </c>
      <c r="F787" s="7" t="s">
        <v>8</v>
      </c>
      <c r="G787" s="8"/>
    </row>
    <row r="788">
      <c r="A788" s="4">
        <v>43531.84487810185</v>
      </c>
      <c r="B788" s="5">
        <v>43532.1778149768</v>
      </c>
      <c r="C788" s="6">
        <v>1.05</v>
      </c>
      <c r="D788" s="6">
        <v>65.0</v>
      </c>
      <c r="E788" s="7" t="s">
        <v>7</v>
      </c>
      <c r="F788" s="7" t="s">
        <v>8</v>
      </c>
      <c r="G788" s="8"/>
    </row>
    <row r="789">
      <c r="A789" s="4">
        <v>43531.85500944444</v>
      </c>
      <c r="B789" s="5">
        <v>43532.1882352662</v>
      </c>
      <c r="C789" s="6">
        <v>1.05</v>
      </c>
      <c r="D789" s="6">
        <v>65.0</v>
      </c>
      <c r="E789" s="7" t="s">
        <v>7</v>
      </c>
      <c r="F789" s="7" t="s">
        <v>8</v>
      </c>
      <c r="G789" s="8"/>
    </row>
    <row r="790">
      <c r="A790" s="4">
        <v>43531.86553732639</v>
      </c>
      <c r="B790" s="5">
        <v>43532.1986564004</v>
      </c>
      <c r="C790" s="6">
        <v>1.05</v>
      </c>
      <c r="D790" s="6">
        <v>65.0</v>
      </c>
      <c r="E790" s="7" t="s">
        <v>7</v>
      </c>
      <c r="F790" s="7" t="s">
        <v>8</v>
      </c>
      <c r="G790" s="8"/>
    </row>
    <row r="791">
      <c r="A791" s="4">
        <v>43531.87620966435</v>
      </c>
      <c r="B791" s="5">
        <v>43532.2090778009</v>
      </c>
      <c r="C791" s="6">
        <v>1.05</v>
      </c>
      <c r="D791" s="6">
        <v>65.0</v>
      </c>
      <c r="E791" s="7" t="s">
        <v>7</v>
      </c>
      <c r="F791" s="7" t="s">
        <v>8</v>
      </c>
      <c r="G791" s="8"/>
    </row>
    <row r="792">
      <c r="A792" s="4">
        <v>43531.88628413195</v>
      </c>
      <c r="B792" s="5">
        <v>43532.2194998842</v>
      </c>
      <c r="C792" s="6">
        <v>1.05</v>
      </c>
      <c r="D792" s="6">
        <v>65.0</v>
      </c>
      <c r="E792" s="7" t="s">
        <v>7</v>
      </c>
      <c r="F792" s="7" t="s">
        <v>8</v>
      </c>
      <c r="G792" s="8"/>
    </row>
    <row r="793">
      <c r="A793" s="4">
        <v>43531.89707706019</v>
      </c>
      <c r="B793" s="5">
        <v>43532.2299203819</v>
      </c>
      <c r="C793" s="6">
        <v>1.051</v>
      </c>
      <c r="D793" s="6">
        <v>65.0</v>
      </c>
      <c r="E793" s="7" t="s">
        <v>7</v>
      </c>
      <c r="F793" s="7" t="s">
        <v>8</v>
      </c>
      <c r="G793" s="8"/>
    </row>
    <row r="794">
      <c r="A794" s="4">
        <v>43531.90715108796</v>
      </c>
      <c r="B794" s="5">
        <v>43532.240365324</v>
      </c>
      <c r="C794" s="6">
        <v>1.05</v>
      </c>
      <c r="D794" s="6">
        <v>65.0</v>
      </c>
      <c r="E794" s="7" t="s">
        <v>7</v>
      </c>
      <c r="F794" s="7" t="s">
        <v>8</v>
      </c>
      <c r="G794" s="8"/>
    </row>
    <row r="795">
      <c r="A795" s="4">
        <v>43531.917853032406</v>
      </c>
      <c r="B795" s="5">
        <v>43532.2507861342</v>
      </c>
      <c r="C795" s="6">
        <v>1.051</v>
      </c>
      <c r="D795" s="6">
        <v>65.0</v>
      </c>
      <c r="E795" s="7" t="s">
        <v>7</v>
      </c>
      <c r="F795" s="7" t="s">
        <v>8</v>
      </c>
      <c r="G795" s="8"/>
    </row>
    <row r="796">
      <c r="A796" s="4">
        <v>43531.92805351852</v>
      </c>
      <c r="B796" s="5">
        <v>43532.2612061805</v>
      </c>
      <c r="C796" s="6">
        <v>1.05</v>
      </c>
      <c r="D796" s="6">
        <v>65.0</v>
      </c>
      <c r="E796" s="7" t="s">
        <v>7</v>
      </c>
      <c r="F796" s="7" t="s">
        <v>8</v>
      </c>
      <c r="G796" s="8"/>
    </row>
    <row r="797">
      <c r="A797" s="4">
        <v>43531.938420335646</v>
      </c>
      <c r="B797" s="5">
        <v>43532.2716273726</v>
      </c>
      <c r="C797" s="6">
        <v>1.05</v>
      </c>
      <c r="D797" s="6">
        <v>65.0</v>
      </c>
      <c r="E797" s="7" t="s">
        <v>7</v>
      </c>
      <c r="F797" s="7" t="s">
        <v>8</v>
      </c>
      <c r="G797" s="8"/>
    </row>
    <row r="798">
      <c r="A798" s="4">
        <v>43531.9493042824</v>
      </c>
      <c r="B798" s="5">
        <v>43532.2820484259</v>
      </c>
      <c r="C798" s="6">
        <v>1.05</v>
      </c>
      <c r="D798" s="6">
        <v>65.0</v>
      </c>
      <c r="E798" s="7" t="s">
        <v>7</v>
      </c>
      <c r="F798" s="7" t="s">
        <v>8</v>
      </c>
      <c r="G798" s="8"/>
    </row>
    <row r="799">
      <c r="A799" s="4">
        <v>43531.96995704861</v>
      </c>
      <c r="B799" s="5">
        <v>43532.3028866088</v>
      </c>
      <c r="C799" s="6">
        <v>1.05</v>
      </c>
      <c r="D799" s="6">
        <v>65.0</v>
      </c>
      <c r="E799" s="7" t="s">
        <v>7</v>
      </c>
      <c r="F799" s="7" t="s">
        <v>8</v>
      </c>
      <c r="G799" s="8"/>
    </row>
    <row r="800">
      <c r="A800" s="4">
        <v>43531.98066760416</v>
      </c>
      <c r="B800" s="5">
        <v>43532.3133084837</v>
      </c>
      <c r="C800" s="6">
        <v>1.05</v>
      </c>
      <c r="D800" s="6">
        <v>65.0</v>
      </c>
      <c r="E800" s="7" t="s">
        <v>7</v>
      </c>
      <c r="F800" s="7" t="s">
        <v>8</v>
      </c>
      <c r="G800" s="8"/>
    </row>
    <row r="801">
      <c r="A801" s="4">
        <v>43532.00110814815</v>
      </c>
      <c r="B801" s="5">
        <v>43532.3341518865</v>
      </c>
      <c r="C801" s="6">
        <v>1.05</v>
      </c>
      <c r="D801" s="6">
        <v>65.0</v>
      </c>
      <c r="E801" s="7" t="s">
        <v>7</v>
      </c>
      <c r="F801" s="7" t="s">
        <v>8</v>
      </c>
      <c r="G801" s="8"/>
    </row>
    <row r="802">
      <c r="A802" s="4">
        <v>43532.01135868055</v>
      </c>
      <c r="B802" s="5">
        <v>43532.3445725578</v>
      </c>
      <c r="C802" s="6">
        <v>1.05</v>
      </c>
      <c r="D802" s="6">
        <v>65.0</v>
      </c>
      <c r="E802" s="7" t="s">
        <v>7</v>
      </c>
      <c r="F802" s="7" t="s">
        <v>8</v>
      </c>
      <c r="G802" s="8"/>
    </row>
    <row r="803">
      <c r="A803" s="4">
        <v>43532.04299555556</v>
      </c>
      <c r="B803" s="5">
        <v>43532.3758344328</v>
      </c>
      <c r="C803" s="6">
        <v>1.05</v>
      </c>
      <c r="D803" s="6">
        <v>65.0</v>
      </c>
      <c r="E803" s="7" t="s">
        <v>7</v>
      </c>
      <c r="F803" s="7" t="s">
        <v>8</v>
      </c>
      <c r="G803" s="8"/>
    </row>
    <row r="804">
      <c r="A804" s="4">
        <v>43532.05313784722</v>
      </c>
      <c r="B804" s="5">
        <v>43532.386268368</v>
      </c>
      <c r="C804" s="6">
        <v>1.05</v>
      </c>
      <c r="D804" s="6">
        <v>65.0</v>
      </c>
      <c r="E804" s="7" t="s">
        <v>7</v>
      </c>
      <c r="F804" s="7" t="s">
        <v>8</v>
      </c>
      <c r="G804" s="8"/>
    </row>
    <row r="805">
      <c r="A805" s="4">
        <v>43532.06407274306</v>
      </c>
      <c r="B805" s="5">
        <v>43532.3967260763</v>
      </c>
      <c r="C805" s="6">
        <v>1.05</v>
      </c>
      <c r="D805" s="6">
        <v>65.0</v>
      </c>
      <c r="E805" s="7" t="s">
        <v>7</v>
      </c>
      <c r="F805" s="7" t="s">
        <v>8</v>
      </c>
      <c r="G805" s="8"/>
    </row>
    <row r="806">
      <c r="A806" s="4">
        <v>43532.10538959491</v>
      </c>
      <c r="B806" s="5">
        <v>43532.4384095717</v>
      </c>
      <c r="C806" s="6">
        <v>1.05</v>
      </c>
      <c r="D806" s="6">
        <v>65.0</v>
      </c>
      <c r="E806" s="7" t="s">
        <v>7</v>
      </c>
      <c r="F806" s="7" t="s">
        <v>8</v>
      </c>
      <c r="G806" s="8"/>
    </row>
    <row r="807">
      <c r="A807" s="4">
        <v>43532.12612542824</v>
      </c>
      <c r="B807" s="5">
        <v>43532.4592503009</v>
      </c>
      <c r="C807" s="6">
        <v>1.05</v>
      </c>
      <c r="D807" s="6">
        <v>65.0</v>
      </c>
      <c r="E807" s="7" t="s">
        <v>7</v>
      </c>
      <c r="F807" s="7" t="s">
        <v>8</v>
      </c>
      <c r="G807" s="8"/>
    </row>
    <row r="808">
      <c r="A808" s="4">
        <v>43532.136564305554</v>
      </c>
      <c r="B808" s="5">
        <v>43532.4696827546</v>
      </c>
      <c r="C808" s="6">
        <v>1.05</v>
      </c>
      <c r="D808" s="6">
        <v>64.0</v>
      </c>
      <c r="E808" s="7" t="s">
        <v>7</v>
      </c>
      <c r="F808" s="7" t="s">
        <v>8</v>
      </c>
      <c r="G808" s="8"/>
    </row>
    <row r="809">
      <c r="A809" s="4">
        <v>43532.146888483796</v>
      </c>
      <c r="B809" s="5">
        <v>43532.4801039467</v>
      </c>
      <c r="C809" s="6">
        <v>1.05</v>
      </c>
      <c r="D809" s="6">
        <v>65.0</v>
      </c>
      <c r="E809" s="7" t="s">
        <v>7</v>
      </c>
      <c r="F809" s="7" t="s">
        <v>8</v>
      </c>
      <c r="G809" s="8"/>
    </row>
    <row r="810">
      <c r="A810" s="4">
        <v>43532.15740730324</v>
      </c>
      <c r="B810" s="5">
        <v>43532.4905233217</v>
      </c>
      <c r="C810" s="6">
        <v>1.05</v>
      </c>
      <c r="D810" s="6">
        <v>65.0</v>
      </c>
      <c r="E810" s="7" t="s">
        <v>7</v>
      </c>
      <c r="F810" s="7" t="s">
        <v>8</v>
      </c>
      <c r="G810" s="8"/>
    </row>
    <row r="811">
      <c r="A811" s="4">
        <v>43532.167747604166</v>
      </c>
      <c r="B811" s="5">
        <v>43532.5009668865</v>
      </c>
      <c r="C811" s="6">
        <v>1.05</v>
      </c>
      <c r="D811" s="6">
        <v>65.0</v>
      </c>
      <c r="E811" s="7" t="s">
        <v>7</v>
      </c>
      <c r="F811" s="7" t="s">
        <v>8</v>
      </c>
      <c r="G811" s="8"/>
    </row>
    <row r="812">
      <c r="A812" s="4">
        <v>43532.17836013889</v>
      </c>
      <c r="B812" s="5">
        <v>43532.5113880555</v>
      </c>
      <c r="C812" s="6">
        <v>1.05</v>
      </c>
      <c r="D812" s="6">
        <v>65.0</v>
      </c>
      <c r="E812" s="7" t="s">
        <v>7</v>
      </c>
      <c r="F812" s="7" t="s">
        <v>8</v>
      </c>
      <c r="G812" s="8"/>
    </row>
    <row r="813">
      <c r="A813" s="4">
        <v>43532.188675729165</v>
      </c>
      <c r="B813" s="5">
        <v>43532.5218099421</v>
      </c>
      <c r="C813" s="6">
        <v>1.05</v>
      </c>
      <c r="D813" s="6">
        <v>65.0</v>
      </c>
      <c r="E813" s="7" t="s">
        <v>7</v>
      </c>
      <c r="F813" s="7" t="s">
        <v>8</v>
      </c>
      <c r="G813" s="8"/>
    </row>
    <row r="814">
      <c r="A814" s="4">
        <v>43532.19910269676</v>
      </c>
      <c r="B814" s="5">
        <v>43532.5322305902</v>
      </c>
      <c r="C814" s="6">
        <v>1.05</v>
      </c>
      <c r="D814" s="6">
        <v>65.0</v>
      </c>
      <c r="E814" s="7" t="s">
        <v>7</v>
      </c>
      <c r="F814" s="7" t="s">
        <v>8</v>
      </c>
      <c r="G814" s="8"/>
    </row>
    <row r="815">
      <c r="A815" s="4">
        <v>43532.2098983912</v>
      </c>
      <c r="B815" s="5">
        <v>43532.5426516087</v>
      </c>
      <c r="C815" s="6">
        <v>1.05</v>
      </c>
      <c r="D815" s="6">
        <v>65.0</v>
      </c>
      <c r="E815" s="7" t="s">
        <v>7</v>
      </c>
      <c r="F815" s="7" t="s">
        <v>8</v>
      </c>
      <c r="G815" s="8"/>
    </row>
    <row r="816">
      <c r="A816" s="4">
        <v>43532.23048297454</v>
      </c>
      <c r="B816" s="5">
        <v>43532.5635075</v>
      </c>
      <c r="C816" s="6">
        <v>1.05</v>
      </c>
      <c r="D816" s="6">
        <v>65.0</v>
      </c>
      <c r="E816" s="7" t="s">
        <v>7</v>
      </c>
      <c r="F816" s="7" t="s">
        <v>8</v>
      </c>
      <c r="G816" s="8"/>
    </row>
    <row r="817">
      <c r="A817" s="4">
        <v>43532.240719525464</v>
      </c>
      <c r="B817" s="5">
        <v>43532.5739289583</v>
      </c>
      <c r="C817" s="6">
        <v>1.05</v>
      </c>
      <c r="D817" s="6">
        <v>65.0</v>
      </c>
      <c r="E817" s="7" t="s">
        <v>7</v>
      </c>
      <c r="F817" s="7" t="s">
        <v>8</v>
      </c>
      <c r="G817" s="8"/>
    </row>
    <row r="818">
      <c r="A818" s="4">
        <v>43532.25166982639</v>
      </c>
      <c r="B818" s="5">
        <v>43532.5843501388</v>
      </c>
      <c r="C818" s="6">
        <v>1.05</v>
      </c>
      <c r="D818" s="6">
        <v>65.0</v>
      </c>
      <c r="E818" s="7" t="s">
        <v>7</v>
      </c>
      <c r="F818" s="7" t="s">
        <v>8</v>
      </c>
      <c r="G818" s="8"/>
    </row>
    <row r="819">
      <c r="A819" s="4">
        <v>43532.27247361111</v>
      </c>
      <c r="B819" s="5">
        <v>43532.6052036226</v>
      </c>
      <c r="C819" s="6">
        <v>1.05</v>
      </c>
      <c r="D819" s="6">
        <v>65.0</v>
      </c>
      <c r="E819" s="7" t="s">
        <v>7</v>
      </c>
      <c r="F819" s="7" t="s">
        <v>8</v>
      </c>
      <c r="G819" s="8"/>
    </row>
    <row r="820">
      <c r="A820" s="4">
        <v>43532.28280164352</v>
      </c>
      <c r="B820" s="5">
        <v>43532.6156252314</v>
      </c>
      <c r="C820" s="6">
        <v>1.05</v>
      </c>
      <c r="D820" s="6">
        <v>65.0</v>
      </c>
      <c r="E820" s="7" t="s">
        <v>7</v>
      </c>
      <c r="F820" s="7" t="s">
        <v>8</v>
      </c>
      <c r="G820" s="8"/>
    </row>
    <row r="821">
      <c r="A821" s="4">
        <v>43532.293213784724</v>
      </c>
      <c r="B821" s="5">
        <v>43532.6260473379</v>
      </c>
      <c r="C821" s="6">
        <v>1.05</v>
      </c>
      <c r="D821" s="6">
        <v>65.0</v>
      </c>
      <c r="E821" s="7" t="s">
        <v>7</v>
      </c>
      <c r="F821" s="7" t="s">
        <v>8</v>
      </c>
      <c r="G821" s="8"/>
    </row>
    <row r="822">
      <c r="A822" s="4">
        <v>43532.303262430556</v>
      </c>
      <c r="B822" s="5">
        <v>43532.6364682175</v>
      </c>
      <c r="C822" s="6">
        <v>1.05</v>
      </c>
      <c r="D822" s="6">
        <v>65.0</v>
      </c>
      <c r="E822" s="7" t="s">
        <v>7</v>
      </c>
      <c r="F822" s="7" t="s">
        <v>8</v>
      </c>
      <c r="G822" s="8"/>
    </row>
    <row r="823">
      <c r="A823" s="4">
        <v>43532.313705532404</v>
      </c>
      <c r="B823" s="5">
        <v>43532.6469013194</v>
      </c>
      <c r="C823" s="6">
        <v>1.05</v>
      </c>
      <c r="D823" s="6">
        <v>65.0</v>
      </c>
      <c r="E823" s="7" t="s">
        <v>7</v>
      </c>
      <c r="F823" s="7" t="s">
        <v>8</v>
      </c>
      <c r="G823" s="8"/>
    </row>
    <row r="824">
      <c r="A824" s="4">
        <v>43532.32430922454</v>
      </c>
      <c r="B824" s="5">
        <v>43532.6573239814</v>
      </c>
      <c r="C824" s="6">
        <v>1.05</v>
      </c>
      <c r="D824" s="6">
        <v>65.0</v>
      </c>
      <c r="E824" s="7" t="s">
        <v>7</v>
      </c>
      <c r="F824" s="7" t="s">
        <v>8</v>
      </c>
      <c r="G824" s="8"/>
    </row>
    <row r="825">
      <c r="A825" s="4">
        <v>43532.334809699074</v>
      </c>
      <c r="B825" s="5">
        <v>43532.667744456</v>
      </c>
      <c r="C825" s="6">
        <v>1.05</v>
      </c>
      <c r="D825" s="6">
        <v>65.0</v>
      </c>
      <c r="E825" s="7" t="s">
        <v>7</v>
      </c>
      <c r="F825" s="7" t="s">
        <v>8</v>
      </c>
      <c r="G825" s="8"/>
    </row>
    <row r="826">
      <c r="A826" s="4">
        <v>43532.345339837964</v>
      </c>
      <c r="B826" s="5">
        <v>43532.6781773495</v>
      </c>
      <c r="C826" s="6">
        <v>1.049</v>
      </c>
      <c r="D826" s="6">
        <v>65.0</v>
      </c>
      <c r="E826" s="7" t="s">
        <v>7</v>
      </c>
      <c r="F826" s="7" t="s">
        <v>8</v>
      </c>
      <c r="G826" s="8"/>
    </row>
    <row r="827">
      <c r="A827" s="4">
        <v>43532.35538707176</v>
      </c>
      <c r="B827" s="5">
        <v>43532.688599537</v>
      </c>
      <c r="C827" s="6">
        <v>1.049</v>
      </c>
      <c r="D827" s="6">
        <v>65.0</v>
      </c>
      <c r="E827" s="7" t="s">
        <v>7</v>
      </c>
      <c r="F827" s="7" t="s">
        <v>8</v>
      </c>
      <c r="G827" s="8"/>
    </row>
    <row r="828">
      <c r="A828" s="4">
        <v>43532.36618210648</v>
      </c>
      <c r="B828" s="5">
        <v>43532.6990203819</v>
      </c>
      <c r="C828" s="6">
        <v>1.049</v>
      </c>
      <c r="D828" s="6">
        <v>65.0</v>
      </c>
      <c r="E828" s="7" t="s">
        <v>7</v>
      </c>
      <c r="F828" s="7" t="s">
        <v>8</v>
      </c>
      <c r="G828" s="8"/>
    </row>
    <row r="829">
      <c r="A829" s="4">
        <v>43532.37632736111</v>
      </c>
      <c r="B829" s="5">
        <v>43532.7094409722</v>
      </c>
      <c r="C829" s="6">
        <v>1.05</v>
      </c>
      <c r="D829" s="6">
        <v>65.0</v>
      </c>
      <c r="E829" s="7" t="s">
        <v>7</v>
      </c>
      <c r="F829" s="7" t="s">
        <v>8</v>
      </c>
      <c r="G829" s="8"/>
    </row>
    <row r="830">
      <c r="A830" s="4">
        <v>43532.39722196759</v>
      </c>
      <c r="B830" s="5">
        <v>43532.730279375</v>
      </c>
      <c r="C830" s="6">
        <v>1.05</v>
      </c>
      <c r="D830" s="6">
        <v>65.0</v>
      </c>
      <c r="E830" s="7" t="s">
        <v>7</v>
      </c>
      <c r="F830" s="7" t="s">
        <v>8</v>
      </c>
      <c r="G830" s="8"/>
    </row>
    <row r="831">
      <c r="A831" s="4">
        <v>43532.40748800926</v>
      </c>
      <c r="B831" s="5">
        <v>43532.7407123263</v>
      </c>
      <c r="C831" s="6">
        <v>1.05</v>
      </c>
      <c r="D831" s="6">
        <v>65.0</v>
      </c>
      <c r="E831" s="7" t="s">
        <v>7</v>
      </c>
      <c r="F831" s="7" t="s">
        <v>8</v>
      </c>
      <c r="G831" s="8"/>
    </row>
    <row r="832">
      <c r="A832" s="4">
        <v>43532.41820695602</v>
      </c>
      <c r="B832" s="5">
        <v>43532.7511334953</v>
      </c>
      <c r="C832" s="6">
        <v>1.049</v>
      </c>
      <c r="D832" s="6">
        <v>65.0</v>
      </c>
      <c r="E832" s="7" t="s">
        <v>7</v>
      </c>
      <c r="F832" s="7" t="s">
        <v>8</v>
      </c>
      <c r="G832" s="8"/>
    </row>
    <row r="833">
      <c r="A833" s="4">
        <v>43532.42891590278</v>
      </c>
      <c r="B833" s="5">
        <v>43532.7615640625</v>
      </c>
      <c r="C833" s="6">
        <v>1.049</v>
      </c>
      <c r="D833" s="6">
        <v>65.0</v>
      </c>
      <c r="E833" s="7" t="s">
        <v>7</v>
      </c>
      <c r="F833" s="7" t="s">
        <v>8</v>
      </c>
      <c r="G833" s="8"/>
    </row>
    <row r="834">
      <c r="A834" s="4">
        <v>43532.43915085648</v>
      </c>
      <c r="B834" s="5">
        <v>43532.7719871759</v>
      </c>
      <c r="C834" s="6">
        <v>1.049</v>
      </c>
      <c r="D834" s="6">
        <v>65.0</v>
      </c>
      <c r="E834" s="7" t="s">
        <v>7</v>
      </c>
      <c r="F834" s="7" t="s">
        <v>8</v>
      </c>
      <c r="G834" s="8"/>
    </row>
    <row r="835">
      <c r="A835" s="4">
        <v>43532.44919945602</v>
      </c>
      <c r="B835" s="5">
        <v>43532.7824074999</v>
      </c>
      <c r="C835" s="6">
        <v>1.049</v>
      </c>
      <c r="D835" s="6">
        <v>65.0</v>
      </c>
      <c r="E835" s="7" t="s">
        <v>7</v>
      </c>
      <c r="F835" s="7" t="s">
        <v>8</v>
      </c>
      <c r="G835" s="8"/>
    </row>
    <row r="836">
      <c r="A836" s="4">
        <v>43532.48094546296</v>
      </c>
      <c r="B836" s="5">
        <v>43532.8136950115</v>
      </c>
      <c r="C836" s="6">
        <v>1.049</v>
      </c>
      <c r="D836" s="6">
        <v>65.0</v>
      </c>
      <c r="E836" s="7" t="s">
        <v>7</v>
      </c>
      <c r="F836" s="7" t="s">
        <v>8</v>
      </c>
      <c r="G836" s="8"/>
    </row>
    <row r="837">
      <c r="A837" s="4">
        <v>43532.49090304398</v>
      </c>
      <c r="B837" s="5">
        <v>43532.8241156828</v>
      </c>
      <c r="C837" s="6">
        <v>1.049</v>
      </c>
      <c r="D837" s="6">
        <v>65.0</v>
      </c>
      <c r="E837" s="7" t="s">
        <v>7</v>
      </c>
      <c r="F837" s="7" t="s">
        <v>8</v>
      </c>
      <c r="G837" s="8"/>
    </row>
    <row r="838">
      <c r="A838" s="4">
        <v>43532.50153165509</v>
      </c>
      <c r="B838" s="5">
        <v>43532.8345370023</v>
      </c>
      <c r="C838" s="6">
        <v>1.049</v>
      </c>
      <c r="D838" s="6">
        <v>64.0</v>
      </c>
      <c r="E838" s="7" t="s">
        <v>7</v>
      </c>
      <c r="F838" s="7" t="s">
        <v>8</v>
      </c>
      <c r="G838" s="8"/>
    </row>
    <row r="839">
      <c r="A839" s="4">
        <v>43532.511942060184</v>
      </c>
      <c r="B839" s="5">
        <v>43532.844956875</v>
      </c>
      <c r="C839" s="6">
        <v>1.049</v>
      </c>
      <c r="D839" s="6">
        <v>64.0</v>
      </c>
      <c r="E839" s="7" t="s">
        <v>7</v>
      </c>
      <c r="F839" s="7" t="s">
        <v>8</v>
      </c>
      <c r="G839" s="8"/>
    </row>
    <row r="840">
      <c r="A840" s="4">
        <v>43532.52256104167</v>
      </c>
      <c r="B840" s="5">
        <v>43532.8553786111</v>
      </c>
      <c r="C840" s="6">
        <v>1.05</v>
      </c>
      <c r="D840" s="6">
        <v>65.0</v>
      </c>
      <c r="E840" s="7" t="s">
        <v>7</v>
      </c>
      <c r="F840" s="7" t="s">
        <v>8</v>
      </c>
      <c r="G840" s="8"/>
    </row>
    <row r="841">
      <c r="A841" s="4">
        <v>43532.53276824074</v>
      </c>
      <c r="B841" s="5">
        <v>43532.8658000694</v>
      </c>
      <c r="C841" s="6">
        <v>1.049</v>
      </c>
      <c r="D841" s="6">
        <v>64.0</v>
      </c>
      <c r="E841" s="7" t="s">
        <v>7</v>
      </c>
      <c r="F841" s="7" t="s">
        <v>8</v>
      </c>
      <c r="G841" s="8"/>
    </row>
    <row r="842">
      <c r="A842" s="4">
        <v>43532.54320714121</v>
      </c>
      <c r="B842" s="5">
        <v>43532.8762200462</v>
      </c>
      <c r="C842" s="6">
        <v>1.049</v>
      </c>
      <c r="D842" s="6">
        <v>64.0</v>
      </c>
      <c r="E842" s="7" t="s">
        <v>7</v>
      </c>
      <c r="F842" s="7" t="s">
        <v>8</v>
      </c>
      <c r="G842" s="8"/>
    </row>
    <row r="843">
      <c r="A843" s="4">
        <v>43532.55354237268</v>
      </c>
      <c r="B843" s="5">
        <v>43532.8866549537</v>
      </c>
      <c r="C843" s="6">
        <v>1.049</v>
      </c>
      <c r="D843" s="6">
        <v>64.0</v>
      </c>
      <c r="E843" s="7" t="s">
        <v>7</v>
      </c>
      <c r="F843" s="7" t="s">
        <v>8</v>
      </c>
      <c r="G843" s="8"/>
    </row>
    <row r="844">
      <c r="A844" s="4">
        <v>43532.56386946759</v>
      </c>
      <c r="B844" s="5">
        <v>43532.8970762152</v>
      </c>
      <c r="C844" s="6">
        <v>1.049</v>
      </c>
      <c r="D844" s="6">
        <v>65.0</v>
      </c>
      <c r="E844" s="7" t="s">
        <v>7</v>
      </c>
      <c r="F844" s="7" t="s">
        <v>8</v>
      </c>
      <c r="G844" s="8"/>
    </row>
    <row r="845">
      <c r="A845" s="4">
        <v>43532.574779131945</v>
      </c>
      <c r="B845" s="5">
        <v>43532.907508912</v>
      </c>
      <c r="C845" s="6">
        <v>1.049</v>
      </c>
      <c r="D845" s="6">
        <v>65.0</v>
      </c>
      <c r="E845" s="7" t="s">
        <v>7</v>
      </c>
      <c r="F845" s="7" t="s">
        <v>8</v>
      </c>
      <c r="G845" s="8"/>
    </row>
    <row r="846">
      <c r="A846" s="4">
        <v>43532.584898125</v>
      </c>
      <c r="B846" s="5">
        <v>43532.9179405555</v>
      </c>
      <c r="C846" s="6">
        <v>1.049</v>
      </c>
      <c r="D846" s="6">
        <v>65.0</v>
      </c>
      <c r="E846" s="7" t="s">
        <v>7</v>
      </c>
      <c r="F846" s="7" t="s">
        <v>8</v>
      </c>
      <c r="G846" s="8"/>
    </row>
    <row r="847">
      <c r="A847" s="4">
        <v>43532.60566768519</v>
      </c>
      <c r="B847" s="5">
        <v>43532.9387832638</v>
      </c>
      <c r="C847" s="6">
        <v>1.049</v>
      </c>
      <c r="D847" s="6">
        <v>65.0</v>
      </c>
      <c r="E847" s="7" t="s">
        <v>7</v>
      </c>
      <c r="F847" s="7" t="s">
        <v>8</v>
      </c>
      <c r="G847" s="8"/>
    </row>
    <row r="848">
      <c r="A848" s="4">
        <v>43532.65771319444</v>
      </c>
      <c r="B848" s="5">
        <v>43532.9909245949</v>
      </c>
      <c r="C848" s="6">
        <v>1.049</v>
      </c>
      <c r="D848" s="6">
        <v>65.0</v>
      </c>
      <c r="E848" s="7" t="s">
        <v>7</v>
      </c>
      <c r="F848" s="7" t="s">
        <v>8</v>
      </c>
      <c r="G848" s="8"/>
    </row>
    <row r="849">
      <c r="A849" s="4">
        <v>43532.66851315972</v>
      </c>
      <c r="B849" s="5">
        <v>43533.001345162</v>
      </c>
      <c r="C849" s="6">
        <v>1.049</v>
      </c>
      <c r="D849" s="6">
        <v>65.0</v>
      </c>
      <c r="E849" s="7" t="s">
        <v>7</v>
      </c>
      <c r="F849" s="7" t="s">
        <v>8</v>
      </c>
      <c r="G849" s="8"/>
    </row>
    <row r="850">
      <c r="A850" s="4">
        <v>43532.67904396991</v>
      </c>
      <c r="B850" s="5">
        <v>43533.0117780439</v>
      </c>
      <c r="C850" s="6">
        <v>1.049</v>
      </c>
      <c r="D850" s="6">
        <v>65.0</v>
      </c>
      <c r="E850" s="7" t="s">
        <v>7</v>
      </c>
      <c r="F850" s="7" t="s">
        <v>8</v>
      </c>
      <c r="G850" s="8"/>
    </row>
    <row r="851">
      <c r="A851" s="4">
        <v>43532.69956521991</v>
      </c>
      <c r="B851" s="5">
        <v>43533.0326167939</v>
      </c>
      <c r="C851" s="6">
        <v>1.049</v>
      </c>
      <c r="D851" s="6">
        <v>65.0</v>
      </c>
      <c r="E851" s="7" t="s">
        <v>7</v>
      </c>
      <c r="F851" s="7" t="s">
        <v>8</v>
      </c>
      <c r="G851" s="8"/>
    </row>
    <row r="852">
      <c r="A852" s="4">
        <v>43532.710118877316</v>
      </c>
      <c r="B852" s="5">
        <v>43533.0430402199</v>
      </c>
      <c r="C852" s="6">
        <v>1.049</v>
      </c>
      <c r="D852" s="6">
        <v>65.0</v>
      </c>
      <c r="E852" s="7" t="s">
        <v>7</v>
      </c>
      <c r="F852" s="7" t="s">
        <v>8</v>
      </c>
      <c r="G852" s="8"/>
    </row>
    <row r="853">
      <c r="A853" s="4">
        <v>43532.720616412036</v>
      </c>
      <c r="B853" s="5">
        <v>43533.0534628703</v>
      </c>
      <c r="C853" s="6">
        <v>1.049</v>
      </c>
      <c r="D853" s="6">
        <v>65.0</v>
      </c>
      <c r="E853" s="7" t="s">
        <v>7</v>
      </c>
      <c r="F853" s="7" t="s">
        <v>8</v>
      </c>
      <c r="G853" s="8"/>
    </row>
    <row r="854">
      <c r="A854" s="4">
        <v>43532.73095465278</v>
      </c>
      <c r="B854" s="5">
        <v>43533.0638822222</v>
      </c>
      <c r="C854" s="6">
        <v>1.049</v>
      </c>
      <c r="D854" s="6">
        <v>65.0</v>
      </c>
      <c r="E854" s="7" t="s">
        <v>7</v>
      </c>
      <c r="F854" s="7" t="s">
        <v>8</v>
      </c>
      <c r="G854" s="8"/>
    </row>
    <row r="855">
      <c r="A855" s="4">
        <v>43532.74127583334</v>
      </c>
      <c r="B855" s="5">
        <v>43533.074312824</v>
      </c>
      <c r="C855" s="6">
        <v>1.049</v>
      </c>
      <c r="D855" s="6">
        <v>65.0</v>
      </c>
      <c r="E855" s="7" t="s">
        <v>7</v>
      </c>
      <c r="F855" s="7" t="s">
        <v>8</v>
      </c>
      <c r="G855" s="8"/>
    </row>
    <row r="856">
      <c r="A856" s="4">
        <v>43532.75180734954</v>
      </c>
      <c r="B856" s="5">
        <v>43533.0847328125</v>
      </c>
      <c r="C856" s="6">
        <v>1.049</v>
      </c>
      <c r="D856" s="6">
        <v>66.0</v>
      </c>
      <c r="E856" s="7" t="s">
        <v>7</v>
      </c>
      <c r="F856" s="7" t="s">
        <v>8</v>
      </c>
      <c r="G856" s="8"/>
    </row>
    <row r="857">
      <c r="A857" s="4">
        <v>43532.7619390162</v>
      </c>
      <c r="B857" s="5">
        <v>43533.0951523379</v>
      </c>
      <c r="C857" s="6">
        <v>1.049</v>
      </c>
      <c r="D857" s="6">
        <v>66.0</v>
      </c>
      <c r="E857" s="7" t="s">
        <v>7</v>
      </c>
      <c r="F857" s="7" t="s">
        <v>8</v>
      </c>
      <c r="G857" s="8"/>
    </row>
    <row r="858">
      <c r="A858" s="4">
        <v>43532.77293111111</v>
      </c>
      <c r="B858" s="5">
        <v>43533.1055860995</v>
      </c>
      <c r="C858" s="6">
        <v>1.049</v>
      </c>
      <c r="D858" s="6">
        <v>66.0</v>
      </c>
      <c r="E858" s="7" t="s">
        <v>7</v>
      </c>
      <c r="F858" s="7" t="s">
        <v>8</v>
      </c>
      <c r="G858" s="8"/>
    </row>
    <row r="859">
      <c r="A859" s="4">
        <v>43532.78280107639</v>
      </c>
      <c r="B859" s="5">
        <v>43533.1160086458</v>
      </c>
      <c r="C859" s="6">
        <v>1.049</v>
      </c>
      <c r="D859" s="6">
        <v>66.0</v>
      </c>
      <c r="E859" s="7" t="s">
        <v>7</v>
      </c>
      <c r="F859" s="7" t="s">
        <v>8</v>
      </c>
      <c r="G859" s="8"/>
    </row>
    <row r="860">
      <c r="A860" s="4">
        <v>43532.793492384255</v>
      </c>
      <c r="B860" s="5">
        <v>43533.1264295717</v>
      </c>
      <c r="C860" s="6">
        <v>1.049</v>
      </c>
      <c r="D860" s="6">
        <v>66.0</v>
      </c>
      <c r="E860" s="7" t="s">
        <v>7</v>
      </c>
      <c r="F860" s="7" t="s">
        <v>8</v>
      </c>
      <c r="G860" s="8"/>
    </row>
    <row r="861">
      <c r="A861" s="4">
        <v>43532.80390135417</v>
      </c>
      <c r="B861" s="5">
        <v>43533.1368499305</v>
      </c>
      <c r="C861" s="6">
        <v>1.049</v>
      </c>
      <c r="D861" s="6">
        <v>66.0</v>
      </c>
      <c r="E861" s="7" t="s">
        <v>7</v>
      </c>
      <c r="F861" s="7" t="s">
        <v>8</v>
      </c>
      <c r="G861" s="8"/>
    </row>
    <row r="862">
      <c r="A862" s="4">
        <v>43532.81404469907</v>
      </c>
      <c r="B862" s="5">
        <v>43533.1472820486</v>
      </c>
      <c r="C862" s="6">
        <v>1.049</v>
      </c>
      <c r="D862" s="6">
        <v>66.0</v>
      </c>
      <c r="E862" s="7" t="s">
        <v>7</v>
      </c>
      <c r="F862" s="7" t="s">
        <v>8</v>
      </c>
      <c r="G862" s="8"/>
    </row>
    <row r="863">
      <c r="A863" s="4">
        <v>43532.82476856482</v>
      </c>
      <c r="B863" s="5">
        <v>43533.1577151967</v>
      </c>
      <c r="C863" s="6">
        <v>1.049</v>
      </c>
      <c r="D863" s="6">
        <v>66.0</v>
      </c>
      <c r="E863" s="7" t="s">
        <v>7</v>
      </c>
      <c r="F863" s="7" t="s">
        <v>8</v>
      </c>
      <c r="G863" s="8"/>
    </row>
    <row r="864">
      <c r="A864" s="4">
        <v>43532.84536298611</v>
      </c>
      <c r="B864" s="5">
        <v>43533.1785832523</v>
      </c>
      <c r="C864" s="6">
        <v>1.049</v>
      </c>
      <c r="D864" s="6">
        <v>66.0</v>
      </c>
      <c r="E864" s="7" t="s">
        <v>7</v>
      </c>
      <c r="F864" s="7" t="s">
        <v>8</v>
      </c>
      <c r="G864" s="8"/>
    </row>
    <row r="865">
      <c r="A865" s="4">
        <v>43532.85597496528</v>
      </c>
      <c r="B865" s="5">
        <v>43533.1890037731</v>
      </c>
      <c r="C865" s="6">
        <v>1.049</v>
      </c>
      <c r="D865" s="6">
        <v>66.0</v>
      </c>
      <c r="E865" s="7" t="s">
        <v>7</v>
      </c>
      <c r="F865" s="7" t="s">
        <v>8</v>
      </c>
      <c r="G865" s="8"/>
    </row>
    <row r="866">
      <c r="A866" s="4">
        <v>43532.86665969907</v>
      </c>
      <c r="B866" s="5">
        <v>43533.1994359143</v>
      </c>
      <c r="C866" s="6">
        <v>1.049</v>
      </c>
      <c r="D866" s="6">
        <v>66.0</v>
      </c>
      <c r="E866" s="7" t="s">
        <v>7</v>
      </c>
      <c r="F866" s="7" t="s">
        <v>8</v>
      </c>
      <c r="G866" s="8"/>
    </row>
    <row r="867">
      <c r="A867" s="4">
        <v>43532.876740011576</v>
      </c>
      <c r="B867" s="5">
        <v>43533.2098587384</v>
      </c>
      <c r="C867" s="6">
        <v>1.049</v>
      </c>
      <c r="D867" s="6">
        <v>66.0</v>
      </c>
      <c r="E867" s="7" t="s">
        <v>7</v>
      </c>
      <c r="F867" s="7" t="s">
        <v>8</v>
      </c>
      <c r="G867" s="8"/>
    </row>
    <row r="868">
      <c r="A868" s="4">
        <v>43532.88742767361</v>
      </c>
      <c r="B868" s="5">
        <v>43533.2202805208</v>
      </c>
      <c r="C868" s="6">
        <v>1.049</v>
      </c>
      <c r="D868" s="6">
        <v>66.0</v>
      </c>
      <c r="E868" s="7" t="s">
        <v>7</v>
      </c>
      <c r="F868" s="7" t="s">
        <v>8</v>
      </c>
      <c r="G868" s="8"/>
    </row>
    <row r="869">
      <c r="A869" s="4">
        <v>43532.89796747685</v>
      </c>
      <c r="B869" s="5">
        <v>43533.2307127199</v>
      </c>
      <c r="C869" s="6">
        <v>1.049</v>
      </c>
      <c r="D869" s="6">
        <v>66.0</v>
      </c>
      <c r="E869" s="7" t="s">
        <v>7</v>
      </c>
      <c r="F869" s="7" t="s">
        <v>8</v>
      </c>
      <c r="G869" s="8"/>
    </row>
    <row r="870">
      <c r="A870" s="4">
        <v>43532.90820053241</v>
      </c>
      <c r="B870" s="5">
        <v>43533.2411341782</v>
      </c>
      <c r="C870" s="6">
        <v>1.049</v>
      </c>
      <c r="D870" s="6">
        <v>66.0</v>
      </c>
      <c r="E870" s="7" t="s">
        <v>7</v>
      </c>
      <c r="F870" s="7" t="s">
        <v>8</v>
      </c>
      <c r="G870" s="8"/>
    </row>
    <row r="871">
      <c r="A871" s="4">
        <v>43532.92885561343</v>
      </c>
      <c r="B871" s="5">
        <v>43533.2619778703</v>
      </c>
      <c r="C871" s="6">
        <v>1.049</v>
      </c>
      <c r="D871" s="6">
        <v>66.0</v>
      </c>
      <c r="E871" s="7" t="s">
        <v>7</v>
      </c>
      <c r="F871" s="7" t="s">
        <v>8</v>
      </c>
      <c r="G871" s="8"/>
    </row>
    <row r="872">
      <c r="A872" s="4">
        <v>43532.95021517361</v>
      </c>
      <c r="B872" s="5">
        <v>43533.2828682523</v>
      </c>
      <c r="C872" s="6">
        <v>1.049</v>
      </c>
      <c r="D872" s="6">
        <v>66.0</v>
      </c>
      <c r="E872" s="7" t="s">
        <v>7</v>
      </c>
      <c r="F872" s="7" t="s">
        <v>8</v>
      </c>
      <c r="G872" s="8"/>
    </row>
    <row r="873">
      <c r="A873" s="4">
        <v>43532.9605518287</v>
      </c>
      <c r="B873" s="5">
        <v>43533.2932903819</v>
      </c>
      <c r="C873" s="6">
        <v>1.049</v>
      </c>
      <c r="D873" s="6">
        <v>66.0</v>
      </c>
      <c r="E873" s="7" t="s">
        <v>7</v>
      </c>
      <c r="F873" s="7" t="s">
        <v>8</v>
      </c>
      <c r="G873" s="8"/>
    </row>
    <row r="874">
      <c r="A874" s="4">
        <v>43532.97051480324</v>
      </c>
      <c r="B874" s="5">
        <v>43533.3037217476</v>
      </c>
      <c r="C874" s="6">
        <v>1.048</v>
      </c>
      <c r="D874" s="6">
        <v>66.0</v>
      </c>
      <c r="E874" s="7" t="s">
        <v>7</v>
      </c>
      <c r="F874" s="7" t="s">
        <v>8</v>
      </c>
      <c r="G874" s="8"/>
    </row>
    <row r="875">
      <c r="A875" s="4">
        <v>43532.980934120365</v>
      </c>
      <c r="B875" s="5">
        <v>43533.3141437152</v>
      </c>
      <c r="C875" s="6">
        <v>1.048</v>
      </c>
      <c r="D875" s="6">
        <v>66.0</v>
      </c>
      <c r="E875" s="7" t="s">
        <v>7</v>
      </c>
      <c r="F875" s="7" t="s">
        <v>8</v>
      </c>
      <c r="G875" s="8"/>
    </row>
    <row r="876">
      <c r="A876" s="4">
        <v>43532.99162971065</v>
      </c>
      <c r="B876" s="5">
        <v>43533.3245635763</v>
      </c>
      <c r="C876" s="6">
        <v>1.048</v>
      </c>
      <c r="D876" s="6">
        <v>66.0</v>
      </c>
      <c r="E876" s="7" t="s">
        <v>7</v>
      </c>
      <c r="F876" s="7" t="s">
        <v>8</v>
      </c>
      <c r="G876" s="8"/>
    </row>
    <row r="877">
      <c r="A877" s="4">
        <v>43533.00178251158</v>
      </c>
      <c r="B877" s="5">
        <v>43533.3349948263</v>
      </c>
      <c r="C877" s="6">
        <v>1.048</v>
      </c>
      <c r="D877" s="6">
        <v>66.0</v>
      </c>
      <c r="E877" s="7" t="s">
        <v>7</v>
      </c>
      <c r="F877" s="7" t="s">
        <v>8</v>
      </c>
      <c r="G877" s="8"/>
    </row>
    <row r="878">
      <c r="A878" s="4">
        <v>43533.01230111111</v>
      </c>
      <c r="B878" s="5">
        <v>43533.3454163078</v>
      </c>
      <c r="C878" s="6">
        <v>1.048</v>
      </c>
      <c r="D878" s="6">
        <v>66.0</v>
      </c>
      <c r="E878" s="7" t="s">
        <v>7</v>
      </c>
      <c r="F878" s="7" t="s">
        <v>8</v>
      </c>
      <c r="G878" s="8"/>
    </row>
    <row r="879">
      <c r="A879" s="4">
        <v>43533.03340834491</v>
      </c>
      <c r="B879" s="5">
        <v>43533.3662574189</v>
      </c>
      <c r="C879" s="6">
        <v>1.048</v>
      </c>
      <c r="D879" s="6">
        <v>66.0</v>
      </c>
      <c r="E879" s="7" t="s">
        <v>7</v>
      </c>
      <c r="F879" s="7" t="s">
        <v>8</v>
      </c>
      <c r="G879" s="8"/>
    </row>
    <row r="880">
      <c r="A880" s="4">
        <v>43533.054070196755</v>
      </c>
      <c r="B880" s="5">
        <v>43533.3870992708</v>
      </c>
      <c r="C880" s="6">
        <v>1.048</v>
      </c>
      <c r="D880" s="6">
        <v>67.0</v>
      </c>
      <c r="E880" s="7" t="s">
        <v>7</v>
      </c>
      <c r="F880" s="7" t="s">
        <v>8</v>
      </c>
      <c r="G880" s="8"/>
    </row>
    <row r="881">
      <c r="A881" s="4">
        <v>43533.075011469904</v>
      </c>
      <c r="B881" s="5">
        <v>43533.4079402893</v>
      </c>
      <c r="C881" s="6">
        <v>1.048</v>
      </c>
      <c r="D881" s="6">
        <v>67.0</v>
      </c>
      <c r="E881" s="7" t="s">
        <v>7</v>
      </c>
      <c r="F881" s="7" t="s">
        <v>8</v>
      </c>
      <c r="G881" s="8"/>
    </row>
    <row r="882">
      <c r="A882" s="4">
        <v>43533.085242800924</v>
      </c>
      <c r="B882" s="5">
        <v>43533.4183729282</v>
      </c>
      <c r="C882" s="6">
        <v>1.048</v>
      </c>
      <c r="D882" s="6">
        <v>67.0</v>
      </c>
      <c r="E882" s="7" t="s">
        <v>7</v>
      </c>
      <c r="F882" s="7" t="s">
        <v>8</v>
      </c>
      <c r="G882" s="8"/>
    </row>
    <row r="883">
      <c r="A883" s="4">
        <v>43533.10640269676</v>
      </c>
      <c r="B883" s="5">
        <v>43533.4392508564</v>
      </c>
      <c r="C883" s="6">
        <v>1.048</v>
      </c>
      <c r="D883" s="6">
        <v>67.0</v>
      </c>
      <c r="E883" s="7" t="s">
        <v>7</v>
      </c>
      <c r="F883" s="7" t="s">
        <v>8</v>
      </c>
      <c r="G883" s="8"/>
    </row>
    <row r="884">
      <c r="A884" s="4">
        <v>43533.13786292824</v>
      </c>
      <c r="B884" s="5">
        <v>43533.4705154513</v>
      </c>
      <c r="C884" s="6">
        <v>1.048</v>
      </c>
      <c r="D884" s="6">
        <v>67.0</v>
      </c>
      <c r="E884" s="7" t="s">
        <v>7</v>
      </c>
      <c r="F884" s="7" t="s">
        <v>8</v>
      </c>
      <c r="G884" s="8"/>
    </row>
    <row r="885">
      <c r="A885" s="4">
        <v>43533.14800163194</v>
      </c>
      <c r="B885" s="5">
        <v>43533.4809366319</v>
      </c>
      <c r="C885" s="6">
        <v>1.048</v>
      </c>
      <c r="D885" s="6">
        <v>67.0</v>
      </c>
      <c r="E885" s="7" t="s">
        <v>7</v>
      </c>
      <c r="F885" s="7" t="s">
        <v>8</v>
      </c>
      <c r="G885" s="8"/>
    </row>
    <row r="886">
      <c r="A886" s="4">
        <v>43533.15825662037</v>
      </c>
      <c r="B886" s="5">
        <v>43533.4913698495</v>
      </c>
      <c r="C886" s="6">
        <v>1.048</v>
      </c>
      <c r="D886" s="6">
        <v>67.0</v>
      </c>
      <c r="E886" s="7" t="s">
        <v>7</v>
      </c>
      <c r="F886" s="7" t="s">
        <v>8</v>
      </c>
      <c r="G886" s="8"/>
    </row>
    <row r="887">
      <c r="A887" s="4">
        <v>43533.16856255787</v>
      </c>
      <c r="B887" s="5">
        <v>43533.5017919907</v>
      </c>
      <c r="C887" s="6">
        <v>1.048</v>
      </c>
      <c r="D887" s="6">
        <v>67.0</v>
      </c>
      <c r="E887" s="7" t="s">
        <v>7</v>
      </c>
      <c r="F887" s="7" t="s">
        <v>8</v>
      </c>
      <c r="G887" s="8"/>
    </row>
    <row r="888">
      <c r="A888" s="4">
        <v>43533.17899778935</v>
      </c>
      <c r="B888" s="5">
        <v>43533.5122118171</v>
      </c>
      <c r="C888" s="6">
        <v>1.048</v>
      </c>
      <c r="D888" s="6">
        <v>67.0</v>
      </c>
      <c r="E888" s="7" t="s">
        <v>7</v>
      </c>
      <c r="F888" s="7" t="s">
        <v>8</v>
      </c>
      <c r="G888" s="8"/>
    </row>
    <row r="889">
      <c r="A889" s="4">
        <v>43533.189561226856</v>
      </c>
      <c r="B889" s="5">
        <v>43533.5226320254</v>
      </c>
      <c r="C889" s="6">
        <v>1.048</v>
      </c>
      <c r="D889" s="6">
        <v>67.0</v>
      </c>
      <c r="E889" s="7" t="s">
        <v>7</v>
      </c>
      <c r="F889" s="7" t="s">
        <v>8</v>
      </c>
      <c r="G889" s="8"/>
    </row>
    <row r="890">
      <c r="A890" s="4">
        <v>43533.19993219907</v>
      </c>
      <c r="B890" s="5">
        <v>43533.5330537384</v>
      </c>
      <c r="C890" s="6">
        <v>1.048</v>
      </c>
      <c r="D890" s="6">
        <v>67.0</v>
      </c>
      <c r="E890" s="7" t="s">
        <v>7</v>
      </c>
      <c r="F890" s="7" t="s">
        <v>8</v>
      </c>
      <c r="G890" s="8"/>
    </row>
    <row r="891">
      <c r="A891" s="4">
        <v>43533.23110399306</v>
      </c>
      <c r="B891" s="5">
        <v>43533.5643425115</v>
      </c>
      <c r="C891" s="6">
        <v>1.048</v>
      </c>
      <c r="D891" s="6">
        <v>67.0</v>
      </c>
      <c r="E891" s="7" t="s">
        <v>7</v>
      </c>
      <c r="F891" s="7" t="s">
        <v>8</v>
      </c>
      <c r="G891" s="8"/>
    </row>
    <row r="892">
      <c r="A892" s="4">
        <v>43533.241648483796</v>
      </c>
      <c r="B892" s="5">
        <v>43533.5747756134</v>
      </c>
      <c r="C892" s="6">
        <v>1.048</v>
      </c>
      <c r="D892" s="6">
        <v>67.0</v>
      </c>
      <c r="E892" s="7" t="s">
        <v>7</v>
      </c>
      <c r="F892" s="7" t="s">
        <v>8</v>
      </c>
      <c r="G892" s="8"/>
    </row>
    <row r="893">
      <c r="A893" s="4">
        <v>43533.25197868056</v>
      </c>
      <c r="B893" s="5">
        <v>43533.5851966898</v>
      </c>
      <c r="C893" s="6">
        <v>1.048</v>
      </c>
      <c r="D893" s="6">
        <v>67.0</v>
      </c>
      <c r="E893" s="7" t="s">
        <v>7</v>
      </c>
      <c r="F893" s="7" t="s">
        <v>8</v>
      </c>
      <c r="G893" s="8"/>
    </row>
    <row r="894">
      <c r="A894" s="4">
        <v>43533.26249405093</v>
      </c>
      <c r="B894" s="5">
        <v>43533.5956171759</v>
      </c>
      <c r="C894" s="6">
        <v>1.048</v>
      </c>
      <c r="D894" s="6">
        <v>67.0</v>
      </c>
      <c r="E894" s="7" t="s">
        <v>7</v>
      </c>
      <c r="F894" s="7" t="s">
        <v>8</v>
      </c>
      <c r="G894" s="8"/>
    </row>
    <row r="895">
      <c r="A895" s="4">
        <v>43533.27301427083</v>
      </c>
      <c r="B895" s="5">
        <v>43533.606037581</v>
      </c>
      <c r="C895" s="6">
        <v>1.048</v>
      </c>
      <c r="D895" s="6">
        <v>67.0</v>
      </c>
      <c r="E895" s="7" t="s">
        <v>7</v>
      </c>
      <c r="F895" s="7" t="s">
        <v>8</v>
      </c>
      <c r="G895" s="8"/>
    </row>
    <row r="896">
      <c r="A896" s="4">
        <v>43533.283623877316</v>
      </c>
      <c r="B896" s="5">
        <v>43533.6164584953</v>
      </c>
      <c r="C896" s="6">
        <v>1.048</v>
      </c>
      <c r="D896" s="6">
        <v>67.0</v>
      </c>
      <c r="E896" s="7" t="s">
        <v>7</v>
      </c>
      <c r="F896" s="7" t="s">
        <v>8</v>
      </c>
      <c r="G896" s="8"/>
    </row>
    <row r="897">
      <c r="A897" s="4">
        <v>43533.314704930555</v>
      </c>
      <c r="B897" s="5">
        <v>43533.6477253703</v>
      </c>
      <c r="C897" s="6">
        <v>1.048</v>
      </c>
      <c r="D897" s="6">
        <v>67.0</v>
      </c>
      <c r="E897" s="7" t="s">
        <v>7</v>
      </c>
      <c r="F897" s="7" t="s">
        <v>8</v>
      </c>
      <c r="G897" s="8"/>
    </row>
    <row r="898">
      <c r="A898" s="4">
        <v>43533.32505168981</v>
      </c>
      <c r="B898" s="5">
        <v>43533.6581808217</v>
      </c>
      <c r="C898" s="6">
        <v>1.048</v>
      </c>
      <c r="D898" s="6">
        <v>67.0</v>
      </c>
      <c r="E898" s="7" t="s">
        <v>7</v>
      </c>
      <c r="F898" s="7" t="s">
        <v>8</v>
      </c>
      <c r="G898" s="8"/>
    </row>
    <row r="899">
      <c r="A899" s="4">
        <v>43533.33540003472</v>
      </c>
      <c r="B899" s="5">
        <v>43533.6686139814</v>
      </c>
      <c r="C899" s="6">
        <v>1.048</v>
      </c>
      <c r="D899" s="6">
        <v>67.0</v>
      </c>
      <c r="E899" s="7" t="s">
        <v>7</v>
      </c>
      <c r="F899" s="7" t="s">
        <v>8</v>
      </c>
      <c r="G899" s="8"/>
    </row>
    <row r="900">
      <c r="A900" s="4">
        <v>43533.35663521991</v>
      </c>
      <c r="B900" s="5">
        <v>43533.6894666782</v>
      </c>
      <c r="C900" s="6">
        <v>1.048</v>
      </c>
      <c r="D900" s="6">
        <v>67.0</v>
      </c>
      <c r="E900" s="7" t="s">
        <v>7</v>
      </c>
      <c r="F900" s="7" t="s">
        <v>8</v>
      </c>
      <c r="G900" s="8"/>
    </row>
    <row r="901">
      <c r="A901" s="4">
        <v>43533.36668091435</v>
      </c>
      <c r="B901" s="5">
        <v>43533.6998890393</v>
      </c>
      <c r="C901" s="6">
        <v>1.048</v>
      </c>
      <c r="D901" s="6">
        <v>67.0</v>
      </c>
      <c r="E901" s="7" t="s">
        <v>7</v>
      </c>
      <c r="F901" s="7" t="s">
        <v>8</v>
      </c>
      <c r="G901" s="8"/>
    </row>
    <row r="902">
      <c r="A902" s="4">
        <v>43533.37737827546</v>
      </c>
      <c r="B902" s="5">
        <v>43533.7103104282</v>
      </c>
      <c r="C902" s="6">
        <v>1.048</v>
      </c>
      <c r="D902" s="6">
        <v>67.0</v>
      </c>
      <c r="E902" s="7" t="s">
        <v>7</v>
      </c>
      <c r="F902" s="7" t="s">
        <v>8</v>
      </c>
      <c r="G902" s="8"/>
    </row>
    <row r="903">
      <c r="A903" s="4">
        <v>43533.387797731484</v>
      </c>
      <c r="B903" s="5">
        <v>43533.7207305787</v>
      </c>
      <c r="C903" s="6">
        <v>1.048</v>
      </c>
      <c r="D903" s="6">
        <v>67.0</v>
      </c>
      <c r="E903" s="7" t="s">
        <v>7</v>
      </c>
      <c r="F903" s="7" t="s">
        <v>8</v>
      </c>
      <c r="G903" s="8"/>
    </row>
    <row r="904">
      <c r="A904" s="4">
        <v>43533.39840472222</v>
      </c>
      <c r="B904" s="5">
        <v>43533.7311526967</v>
      </c>
      <c r="C904" s="6">
        <v>1.048</v>
      </c>
      <c r="D904" s="6">
        <v>67.0</v>
      </c>
      <c r="E904" s="7" t="s">
        <v>7</v>
      </c>
      <c r="F904" s="7" t="s">
        <v>8</v>
      </c>
      <c r="G904" s="8"/>
    </row>
    <row r="905">
      <c r="A905" s="4">
        <v>43533.419078067134</v>
      </c>
      <c r="B905" s="5">
        <v>43533.7520067708</v>
      </c>
      <c r="C905" s="6">
        <v>1.048</v>
      </c>
      <c r="D905" s="6">
        <v>67.0</v>
      </c>
      <c r="E905" s="7" t="s">
        <v>7</v>
      </c>
      <c r="F905" s="7" t="s">
        <v>8</v>
      </c>
      <c r="G905" s="8"/>
    </row>
    <row r="906">
      <c r="A906" s="4">
        <v>43533.44001822917</v>
      </c>
      <c r="B906" s="5">
        <v>43533.7728485416</v>
      </c>
      <c r="C906" s="6">
        <v>1.048</v>
      </c>
      <c r="D906" s="6">
        <v>67.0</v>
      </c>
      <c r="E906" s="7" t="s">
        <v>7</v>
      </c>
      <c r="F906" s="7" t="s">
        <v>8</v>
      </c>
      <c r="G906" s="8"/>
    </row>
    <row r="907">
      <c r="A907" s="4">
        <v>43533.45042902778</v>
      </c>
      <c r="B907" s="5">
        <v>43533.7832687037</v>
      </c>
      <c r="C907" s="6">
        <v>1.048</v>
      </c>
      <c r="D907" s="6">
        <v>67.0</v>
      </c>
      <c r="E907" s="7" t="s">
        <v>7</v>
      </c>
      <c r="F907" s="7" t="s">
        <v>8</v>
      </c>
      <c r="G907" s="8"/>
    </row>
    <row r="908">
      <c r="A908" s="4">
        <v>43533.47108091435</v>
      </c>
      <c r="B908" s="5">
        <v>43533.8041121759</v>
      </c>
      <c r="C908" s="6">
        <v>1.048</v>
      </c>
      <c r="D908" s="6">
        <v>67.0</v>
      </c>
      <c r="E908" s="7" t="s">
        <v>7</v>
      </c>
      <c r="F908" s="7" t="s">
        <v>8</v>
      </c>
      <c r="G908" s="8"/>
    </row>
    <row r="909">
      <c r="A909" s="4">
        <v>43533.48139851852</v>
      </c>
      <c r="B909" s="5">
        <v>43533.8145338541</v>
      </c>
      <c r="C909" s="6">
        <v>1.048</v>
      </c>
      <c r="D909" s="6">
        <v>67.0</v>
      </c>
      <c r="E909" s="7" t="s">
        <v>7</v>
      </c>
      <c r="F909" s="7" t="s">
        <v>8</v>
      </c>
      <c r="G909" s="8"/>
    </row>
    <row r="910">
      <c r="A910" s="4">
        <v>43533.491749768524</v>
      </c>
      <c r="B910" s="5">
        <v>43533.8249552546</v>
      </c>
      <c r="C910" s="6">
        <v>1.047</v>
      </c>
      <c r="D910" s="6">
        <v>67.0</v>
      </c>
      <c r="E910" s="7" t="s">
        <v>7</v>
      </c>
      <c r="F910" s="7" t="s">
        <v>8</v>
      </c>
      <c r="G910" s="8"/>
    </row>
    <row r="911">
      <c r="A911" s="4">
        <v>43533.51286674768</v>
      </c>
      <c r="B911" s="5">
        <v>43533.8457974189</v>
      </c>
      <c r="C911" s="6">
        <v>1.048</v>
      </c>
      <c r="D911" s="6">
        <v>67.0</v>
      </c>
      <c r="E911" s="7" t="s">
        <v>7</v>
      </c>
      <c r="F911" s="7" t="s">
        <v>8</v>
      </c>
      <c r="G911" s="8"/>
    </row>
    <row r="912">
      <c r="A912" s="4">
        <v>43533.5340015625</v>
      </c>
      <c r="B912" s="5">
        <v>43533.8666408564</v>
      </c>
      <c r="C912" s="6">
        <v>1.047</v>
      </c>
      <c r="D912" s="6">
        <v>68.0</v>
      </c>
      <c r="E912" s="7" t="s">
        <v>7</v>
      </c>
      <c r="F912" s="7" t="s">
        <v>8</v>
      </c>
      <c r="G912" s="8"/>
    </row>
    <row r="913">
      <c r="A913" s="4">
        <v>43533.54384642361</v>
      </c>
      <c r="B913" s="5">
        <v>43533.8770605555</v>
      </c>
      <c r="C913" s="6">
        <v>1.047</v>
      </c>
      <c r="D913" s="6">
        <v>68.0</v>
      </c>
      <c r="E913" s="7" t="s">
        <v>7</v>
      </c>
      <c r="F913" s="7" t="s">
        <v>8</v>
      </c>
      <c r="G913" s="8"/>
    </row>
    <row r="914">
      <c r="A914" s="4">
        <v>43533.55445247685</v>
      </c>
      <c r="B914" s="5">
        <v>43533.8874821875</v>
      </c>
      <c r="C914" s="6">
        <v>1.048</v>
      </c>
      <c r="D914" s="6">
        <v>68.0</v>
      </c>
      <c r="E914" s="7" t="s">
        <v>7</v>
      </c>
      <c r="F914" s="7" t="s">
        <v>8</v>
      </c>
      <c r="G914" s="8"/>
    </row>
    <row r="915">
      <c r="A915" s="4">
        <v>43533.585830729164</v>
      </c>
      <c r="B915" s="5">
        <v>43533.9187564699</v>
      </c>
      <c r="C915" s="6">
        <v>1.047</v>
      </c>
      <c r="D915" s="6">
        <v>68.0</v>
      </c>
      <c r="E915" s="7" t="s">
        <v>7</v>
      </c>
      <c r="F915" s="7" t="s">
        <v>8</v>
      </c>
      <c r="G915" s="8"/>
    </row>
    <row r="916">
      <c r="A916" s="4">
        <v>43533.59633423611</v>
      </c>
      <c r="B916" s="5">
        <v>43533.9291780208</v>
      </c>
      <c r="C916" s="6">
        <v>1.047</v>
      </c>
      <c r="D916" s="6">
        <v>67.0</v>
      </c>
      <c r="E916" s="7" t="s">
        <v>7</v>
      </c>
      <c r="F916" s="7" t="s">
        <v>8</v>
      </c>
      <c r="G916" s="8"/>
    </row>
    <row r="917">
      <c r="A917" s="4">
        <v>43533.61678819444</v>
      </c>
      <c r="B917" s="5">
        <v>43533.9500207523</v>
      </c>
      <c r="C917" s="6">
        <v>1.047</v>
      </c>
      <c r="D917" s="6">
        <v>68.0</v>
      </c>
      <c r="E917" s="7" t="s">
        <v>7</v>
      </c>
      <c r="F917" s="7" t="s">
        <v>8</v>
      </c>
      <c r="G917" s="8"/>
    </row>
    <row r="918">
      <c r="A918" s="4">
        <v>43533.65898366898</v>
      </c>
      <c r="B918" s="5">
        <v>43533.9917277662</v>
      </c>
      <c r="C918" s="6">
        <v>1.047</v>
      </c>
      <c r="D918" s="6">
        <v>68.0</v>
      </c>
      <c r="E918" s="7" t="s">
        <v>7</v>
      </c>
      <c r="F918" s="7" t="s">
        <v>8</v>
      </c>
      <c r="G918" s="8"/>
    </row>
    <row r="919">
      <c r="A919" s="4">
        <v>43533.679992210644</v>
      </c>
      <c r="B919" s="5">
        <v>43534.01264103</v>
      </c>
      <c r="C919" s="6">
        <v>1.047</v>
      </c>
      <c r="D919" s="6">
        <v>68.0</v>
      </c>
      <c r="E919" s="7" t="s">
        <v>7</v>
      </c>
      <c r="F919" s="7" t="s">
        <v>8</v>
      </c>
      <c r="G919" s="8"/>
    </row>
    <row r="920">
      <c r="A920" s="4">
        <v>43533.70018675926</v>
      </c>
      <c r="B920" s="5">
        <v>43534.0334857523</v>
      </c>
      <c r="C920" s="6">
        <v>1.047</v>
      </c>
      <c r="D920" s="6">
        <v>68.0</v>
      </c>
      <c r="E920" s="7" t="s">
        <v>7</v>
      </c>
      <c r="F920" s="7" t="s">
        <v>8</v>
      </c>
      <c r="G920" s="8"/>
    </row>
    <row r="921">
      <c r="A921" s="4">
        <v>43533.71061642361</v>
      </c>
      <c r="B921" s="5">
        <v>43534.0439181944</v>
      </c>
      <c r="C921" s="6">
        <v>1.047</v>
      </c>
      <c r="D921" s="6">
        <v>68.0</v>
      </c>
      <c r="E921" s="7" t="s">
        <v>7</v>
      </c>
      <c r="F921" s="7" t="s">
        <v>8</v>
      </c>
      <c r="G921" s="8"/>
    </row>
    <row r="922">
      <c r="A922" s="4">
        <v>43533.721044039354</v>
      </c>
      <c r="B922" s="5">
        <v>43534.0543379166</v>
      </c>
      <c r="C922" s="6">
        <v>1.047</v>
      </c>
      <c r="D922" s="6">
        <v>68.0</v>
      </c>
      <c r="E922" s="7" t="s">
        <v>7</v>
      </c>
      <c r="F922" s="7" t="s">
        <v>8</v>
      </c>
      <c r="G922" s="8"/>
    </row>
    <row r="923">
      <c r="A923" s="4">
        <v>43533.731559074076</v>
      </c>
      <c r="B923" s="5">
        <v>43534.0648641088</v>
      </c>
      <c r="C923" s="6">
        <v>1.047</v>
      </c>
      <c r="D923" s="6">
        <v>68.0</v>
      </c>
      <c r="E923" s="7" t="s">
        <v>7</v>
      </c>
      <c r="F923" s="7" t="s">
        <v>8</v>
      </c>
      <c r="G923" s="8"/>
    </row>
    <row r="924">
      <c r="A924" s="4">
        <v>43533.74198224537</v>
      </c>
      <c r="B924" s="5">
        <v>43534.0752857986</v>
      </c>
      <c r="C924" s="6">
        <v>1.047</v>
      </c>
      <c r="D924" s="6">
        <v>68.0</v>
      </c>
      <c r="E924" s="7" t="s">
        <v>7</v>
      </c>
      <c r="F924" s="7" t="s">
        <v>8</v>
      </c>
      <c r="G924" s="8"/>
    </row>
    <row r="925">
      <c r="A925" s="4">
        <v>43533.75240200231</v>
      </c>
      <c r="B925" s="5">
        <v>43534.0857083564</v>
      </c>
      <c r="C925" s="6">
        <v>1.047</v>
      </c>
      <c r="D925" s="6">
        <v>68.0</v>
      </c>
      <c r="E925" s="7" t="s">
        <v>7</v>
      </c>
      <c r="F925" s="7" t="s">
        <v>8</v>
      </c>
      <c r="G925" s="8"/>
    </row>
    <row r="926">
      <c r="A926" s="4">
        <v>43533.76284369213</v>
      </c>
      <c r="B926" s="5">
        <v>43534.0961420486</v>
      </c>
      <c r="C926" s="6">
        <v>1.047</v>
      </c>
      <c r="D926" s="6">
        <v>68.0</v>
      </c>
      <c r="E926" s="7" t="s">
        <v>7</v>
      </c>
      <c r="F926" s="7" t="s">
        <v>8</v>
      </c>
      <c r="G926" s="8"/>
    </row>
    <row r="927">
      <c r="A927" s="4">
        <v>43533.77326275463</v>
      </c>
      <c r="B927" s="5">
        <v>43534.1065626504</v>
      </c>
      <c r="C927" s="6">
        <v>1.047</v>
      </c>
      <c r="D927" s="6">
        <v>68.0</v>
      </c>
      <c r="E927" s="7" t="s">
        <v>7</v>
      </c>
      <c r="F927" s="7" t="s">
        <v>8</v>
      </c>
      <c r="G927" s="8"/>
    </row>
    <row r="928">
      <c r="A928" s="4">
        <v>43533.783695763894</v>
      </c>
      <c r="B928" s="5">
        <v>43534.1169954282</v>
      </c>
      <c r="C928" s="6">
        <v>1.047</v>
      </c>
      <c r="D928" s="6">
        <v>68.0</v>
      </c>
      <c r="E928" s="7" t="s">
        <v>7</v>
      </c>
      <c r="F928" s="7" t="s">
        <v>8</v>
      </c>
      <c r="G928" s="8"/>
    </row>
    <row r="929">
      <c r="A929" s="4">
        <v>43533.794136944445</v>
      </c>
      <c r="B929" s="5">
        <v>43534.127440868</v>
      </c>
      <c r="C929" s="6">
        <v>1.047</v>
      </c>
      <c r="D929" s="6">
        <v>68.0</v>
      </c>
      <c r="E929" s="7" t="s">
        <v>7</v>
      </c>
      <c r="F929" s="7" t="s">
        <v>8</v>
      </c>
      <c r="G929" s="8"/>
    </row>
    <row r="930">
      <c r="A930" s="4">
        <v>43533.804573692134</v>
      </c>
      <c r="B930" s="5">
        <v>43534.1378631944</v>
      </c>
      <c r="C930" s="6">
        <v>1.047</v>
      </c>
      <c r="D930" s="6">
        <v>68.0</v>
      </c>
      <c r="E930" s="7" t="s">
        <v>7</v>
      </c>
      <c r="F930" s="7" t="s">
        <v>8</v>
      </c>
      <c r="G930" s="8"/>
    </row>
    <row r="931">
      <c r="A931" s="4">
        <v>43533.81497746528</v>
      </c>
      <c r="B931" s="5">
        <v>43534.148285081</v>
      </c>
      <c r="C931" s="6">
        <v>1.047</v>
      </c>
      <c r="D931" s="6">
        <v>68.0</v>
      </c>
      <c r="E931" s="7" t="s">
        <v>7</v>
      </c>
      <c r="F931" s="7" t="s">
        <v>8</v>
      </c>
      <c r="G931" s="8"/>
    </row>
    <row r="932">
      <c r="A932" s="4">
        <v>43533.82540386574</v>
      </c>
      <c r="B932" s="5">
        <v>43534.1587071759</v>
      </c>
      <c r="C932" s="6">
        <v>1.047</v>
      </c>
      <c r="D932" s="6">
        <v>68.0</v>
      </c>
      <c r="E932" s="7" t="s">
        <v>7</v>
      </c>
      <c r="F932" s="7" t="s">
        <v>8</v>
      </c>
      <c r="G932" s="8"/>
    </row>
    <row r="933">
      <c r="A933" s="4">
        <v>43533.835838576386</v>
      </c>
      <c r="B933" s="5">
        <v>43534.1691376388</v>
      </c>
      <c r="C933" s="6">
        <v>1.047</v>
      </c>
      <c r="D933" s="6">
        <v>68.0</v>
      </c>
      <c r="E933" s="7" t="s">
        <v>7</v>
      </c>
      <c r="F933" s="7" t="s">
        <v>8</v>
      </c>
      <c r="G933" s="8"/>
    </row>
    <row r="934">
      <c r="A934" s="4">
        <v>43533.84625407407</v>
      </c>
      <c r="B934" s="5">
        <v>43534.1795576851</v>
      </c>
      <c r="C934" s="6">
        <v>1.047</v>
      </c>
      <c r="D934" s="6">
        <v>68.0</v>
      </c>
      <c r="E934" s="7" t="s">
        <v>7</v>
      </c>
      <c r="F934" s="7" t="s">
        <v>8</v>
      </c>
      <c r="G934" s="8"/>
    </row>
    <row r="935">
      <c r="A935" s="4">
        <v>43533.85671849537</v>
      </c>
      <c r="B935" s="5">
        <v>43534.1900245717</v>
      </c>
      <c r="C935" s="6">
        <v>1.047</v>
      </c>
      <c r="D935" s="6">
        <v>68.0</v>
      </c>
      <c r="E935" s="7" t="s">
        <v>7</v>
      </c>
      <c r="F935" s="7" t="s">
        <v>8</v>
      </c>
      <c r="G935" s="8"/>
    </row>
    <row r="936">
      <c r="A936" s="4">
        <v>43533.86715310185</v>
      </c>
      <c r="B936" s="5">
        <v>43534.2004568981</v>
      </c>
      <c r="C936" s="6">
        <v>1.047</v>
      </c>
      <c r="D936" s="6">
        <v>68.0</v>
      </c>
      <c r="E936" s="7" t="s">
        <v>7</v>
      </c>
      <c r="F936" s="7" t="s">
        <v>8</v>
      </c>
      <c r="G936" s="8"/>
    </row>
    <row r="937">
      <c r="A937" s="4">
        <v>43533.87759076389</v>
      </c>
      <c r="B937" s="5">
        <v>43534.2108896412</v>
      </c>
      <c r="C937" s="6">
        <v>1.047</v>
      </c>
      <c r="D937" s="6">
        <v>68.0</v>
      </c>
      <c r="E937" s="7" t="s">
        <v>7</v>
      </c>
      <c r="F937" s="7" t="s">
        <v>8</v>
      </c>
      <c r="G937" s="8"/>
    </row>
    <row r="938">
      <c r="A938" s="4">
        <v>43533.88803097222</v>
      </c>
      <c r="B938" s="5">
        <v>43534.2213361111</v>
      </c>
      <c r="C938" s="6">
        <v>1.047</v>
      </c>
      <c r="D938" s="6">
        <v>68.0</v>
      </c>
      <c r="E938" s="7" t="s">
        <v>7</v>
      </c>
      <c r="F938" s="7" t="s">
        <v>8</v>
      </c>
      <c r="G938" s="8"/>
    </row>
    <row r="939">
      <c r="A939" s="4">
        <v>43533.89854810185</v>
      </c>
      <c r="B939" s="5">
        <v>43534.2318518518</v>
      </c>
      <c r="C939" s="6">
        <v>1.047</v>
      </c>
      <c r="D939" s="6">
        <v>68.0</v>
      </c>
      <c r="E939" s="7" t="s">
        <v>7</v>
      </c>
      <c r="F939" s="7" t="s">
        <v>8</v>
      </c>
      <c r="G939" s="8"/>
    </row>
    <row r="940">
      <c r="A940" s="4">
        <v>43533.90897193287</v>
      </c>
      <c r="B940" s="5">
        <v>43534.2422721875</v>
      </c>
      <c r="C940" s="6">
        <v>1.047</v>
      </c>
      <c r="D940" s="6">
        <v>68.0</v>
      </c>
      <c r="E940" s="7" t="s">
        <v>7</v>
      </c>
      <c r="F940" s="7" t="s">
        <v>8</v>
      </c>
      <c r="G940" s="8"/>
    </row>
    <row r="941">
      <c r="A941" s="4">
        <v>43533.91940457176</v>
      </c>
      <c r="B941" s="5">
        <v>43534.2527041898</v>
      </c>
      <c r="C941" s="6">
        <v>1.047</v>
      </c>
      <c r="D941" s="6">
        <v>68.0</v>
      </c>
      <c r="E941" s="7" t="s">
        <v>7</v>
      </c>
      <c r="F941" s="7" t="s">
        <v>8</v>
      </c>
      <c r="G941" s="8"/>
    </row>
    <row r="942">
      <c r="A942" s="4">
        <v>43533.92982534722</v>
      </c>
      <c r="B942" s="5">
        <v>43534.2631259606</v>
      </c>
      <c r="C942" s="6">
        <v>1.047</v>
      </c>
      <c r="D942" s="6">
        <v>68.0</v>
      </c>
      <c r="E942" s="7" t="s">
        <v>7</v>
      </c>
      <c r="F942" s="7" t="s">
        <v>8</v>
      </c>
      <c r="G942" s="8"/>
    </row>
    <row r="943">
      <c r="A943" s="4">
        <v>43533.940245555554</v>
      </c>
      <c r="B943" s="5">
        <v>43534.273546655</v>
      </c>
      <c r="C943" s="6">
        <v>1.047</v>
      </c>
      <c r="D943" s="6">
        <v>68.0</v>
      </c>
      <c r="E943" s="7" t="s">
        <v>7</v>
      </c>
      <c r="F943" s="7" t="s">
        <v>8</v>
      </c>
      <c r="G943" s="8"/>
    </row>
    <row r="944">
      <c r="A944" s="4">
        <v>43533.950664178235</v>
      </c>
      <c r="B944" s="5">
        <v>43534.2839687615</v>
      </c>
      <c r="C944" s="6">
        <v>1.047</v>
      </c>
      <c r="D944" s="6">
        <v>68.0</v>
      </c>
      <c r="E944" s="7" t="s">
        <v>7</v>
      </c>
      <c r="F944" s="7" t="s">
        <v>8</v>
      </c>
      <c r="G944" s="8"/>
    </row>
    <row r="945">
      <c r="A945" s="4">
        <v>43533.9610894213</v>
      </c>
      <c r="B945" s="5">
        <v>43534.2943897106</v>
      </c>
      <c r="C945" s="6">
        <v>1.047</v>
      </c>
      <c r="D945" s="6">
        <v>68.0</v>
      </c>
      <c r="E945" s="7" t="s">
        <v>7</v>
      </c>
      <c r="F945" s="7" t="s">
        <v>8</v>
      </c>
      <c r="G945" s="8"/>
    </row>
    <row r="946">
      <c r="A946" s="4">
        <v>43533.97150519676</v>
      </c>
      <c r="B946" s="5">
        <v>43534.3048107407</v>
      </c>
      <c r="C946" s="6">
        <v>1.047</v>
      </c>
      <c r="D946" s="6">
        <v>68.0</v>
      </c>
      <c r="E946" s="7" t="s">
        <v>7</v>
      </c>
      <c r="F946" s="7" t="s">
        <v>8</v>
      </c>
      <c r="G946" s="8"/>
    </row>
    <row r="947">
      <c r="A947" s="4">
        <v>43533.981935821765</v>
      </c>
      <c r="B947" s="5">
        <v>43534.3152312037</v>
      </c>
      <c r="C947" s="6">
        <v>1.047</v>
      </c>
      <c r="D947" s="6">
        <v>68.0</v>
      </c>
      <c r="E947" s="7" t="s">
        <v>7</v>
      </c>
      <c r="F947" s="7" t="s">
        <v>8</v>
      </c>
      <c r="G947" s="8"/>
    </row>
    <row r="948">
      <c r="A948" s="4">
        <v>43533.99235246528</v>
      </c>
      <c r="B948" s="5">
        <v>43534.3256522916</v>
      </c>
      <c r="C948" s="6">
        <v>1.047</v>
      </c>
      <c r="D948" s="6">
        <v>68.0</v>
      </c>
      <c r="E948" s="7" t="s">
        <v>7</v>
      </c>
      <c r="F948" s="7" t="s">
        <v>8</v>
      </c>
      <c r="G948" s="8"/>
    </row>
    <row r="949">
      <c r="A949" s="4">
        <v>43534.002765717596</v>
      </c>
      <c r="B949" s="5">
        <v>43534.3360717592</v>
      </c>
      <c r="C949" s="6">
        <v>1.047</v>
      </c>
      <c r="D949" s="6">
        <v>68.0</v>
      </c>
      <c r="E949" s="7" t="s">
        <v>7</v>
      </c>
      <c r="F949" s="7" t="s">
        <v>8</v>
      </c>
      <c r="G949" s="8"/>
    </row>
    <row r="950">
      <c r="A950" s="4">
        <v>43534.013194432875</v>
      </c>
      <c r="B950" s="5">
        <v>43534.3464919675</v>
      </c>
      <c r="C950" s="6">
        <v>1.047</v>
      </c>
      <c r="D950" s="6">
        <v>68.0</v>
      </c>
      <c r="E950" s="7" t="s">
        <v>7</v>
      </c>
      <c r="F950" s="7" t="s">
        <v>8</v>
      </c>
      <c r="G950" s="8"/>
    </row>
    <row r="951">
      <c r="A951" s="4">
        <v>43534.02360804398</v>
      </c>
      <c r="B951" s="5">
        <v>43534.3569129976</v>
      </c>
      <c r="C951" s="6">
        <v>1.047</v>
      </c>
      <c r="D951" s="6">
        <v>68.0</v>
      </c>
      <c r="E951" s="7" t="s">
        <v>7</v>
      </c>
      <c r="F951" s="7" t="s">
        <v>8</v>
      </c>
      <c r="G951" s="8"/>
    </row>
    <row r="952">
      <c r="A952" s="4">
        <v>43534.034046307876</v>
      </c>
      <c r="B952" s="5">
        <v>43534.3673463888</v>
      </c>
      <c r="C952" s="6">
        <v>1.047</v>
      </c>
      <c r="D952" s="6">
        <v>68.0</v>
      </c>
      <c r="E952" s="7" t="s">
        <v>7</v>
      </c>
      <c r="F952" s="7" t="s">
        <v>8</v>
      </c>
      <c r="G952" s="8"/>
    </row>
    <row r="953">
      <c r="A953" s="4">
        <v>43534.04447465278</v>
      </c>
      <c r="B953" s="5">
        <v>43534.3777800347</v>
      </c>
      <c r="C953" s="6">
        <v>1.047</v>
      </c>
      <c r="D953" s="6">
        <v>68.0</v>
      </c>
      <c r="E953" s="7" t="s">
        <v>7</v>
      </c>
      <c r="F953" s="7" t="s">
        <v>8</v>
      </c>
      <c r="G953" s="8"/>
    </row>
    <row r="954">
      <c r="A954" s="4">
        <v>43534.05489353009</v>
      </c>
      <c r="B954" s="5">
        <v>43534.388198993</v>
      </c>
      <c r="C954" s="6">
        <v>1.047</v>
      </c>
      <c r="D954" s="6">
        <v>68.0</v>
      </c>
      <c r="E954" s="7" t="s">
        <v>7</v>
      </c>
      <c r="F954" s="7" t="s">
        <v>8</v>
      </c>
      <c r="G954" s="8"/>
    </row>
    <row r="955">
      <c r="A955" s="4">
        <v>43534.06540969908</v>
      </c>
      <c r="B955" s="5">
        <v>43534.3987118865</v>
      </c>
      <c r="C955" s="6">
        <v>1.047</v>
      </c>
      <c r="D955" s="6">
        <v>68.0</v>
      </c>
      <c r="E955" s="7" t="s">
        <v>7</v>
      </c>
      <c r="F955" s="7" t="s">
        <v>8</v>
      </c>
      <c r="G955" s="8"/>
    </row>
    <row r="956">
      <c r="A956" s="4">
        <v>43534.07582766203</v>
      </c>
      <c r="B956" s="5">
        <v>43534.4091345254</v>
      </c>
      <c r="C956" s="6">
        <v>1.047</v>
      </c>
      <c r="D956" s="6">
        <v>68.0</v>
      </c>
      <c r="E956" s="7" t="s">
        <v>7</v>
      </c>
      <c r="F956" s="7" t="s">
        <v>8</v>
      </c>
      <c r="G956" s="8"/>
    </row>
    <row r="957">
      <c r="A957" s="4">
        <v>43534.127921782405</v>
      </c>
      <c r="B957" s="5">
        <v>43534.4195561342</v>
      </c>
      <c r="C957" s="6">
        <v>1.047</v>
      </c>
      <c r="D957" s="6">
        <v>68.0</v>
      </c>
      <c r="E957" s="7" t="s">
        <v>7</v>
      </c>
      <c r="F957" s="7" t="s">
        <v>8</v>
      </c>
      <c r="G957" s="8"/>
    </row>
    <row r="958">
      <c r="A958" s="4">
        <v>43534.138362233796</v>
      </c>
      <c r="B958" s="5">
        <v>43534.4300006018</v>
      </c>
      <c r="C958" s="6">
        <v>1.047</v>
      </c>
      <c r="D958" s="6">
        <v>68.0</v>
      </c>
      <c r="E958" s="7" t="s">
        <v>7</v>
      </c>
      <c r="F958" s="7" t="s">
        <v>8</v>
      </c>
      <c r="G958" s="8"/>
    </row>
    <row r="959">
      <c r="A959" s="4">
        <v>43534.1487903125</v>
      </c>
      <c r="B959" s="5">
        <v>43534.4404332291</v>
      </c>
      <c r="C959" s="6">
        <v>1.047</v>
      </c>
      <c r="D959" s="6">
        <v>68.0</v>
      </c>
      <c r="E959" s="7" t="s">
        <v>7</v>
      </c>
      <c r="F959" s="7" t="s">
        <v>8</v>
      </c>
      <c r="G959" s="8"/>
    </row>
    <row r="960">
      <c r="A960" s="4">
        <v>43534.15923336806</v>
      </c>
      <c r="B960" s="5">
        <v>43534.4508667245</v>
      </c>
      <c r="C960" s="6">
        <v>1.047</v>
      </c>
      <c r="D960" s="6">
        <v>68.0</v>
      </c>
      <c r="E960" s="7" t="s">
        <v>7</v>
      </c>
      <c r="F960" s="7" t="s">
        <v>8</v>
      </c>
      <c r="G960" s="8"/>
    </row>
    <row r="961">
      <c r="A961" s="4">
        <v>43534.1696644676</v>
      </c>
      <c r="B961" s="5">
        <v>43534.4612992245</v>
      </c>
      <c r="C961" s="6">
        <v>1.047</v>
      </c>
      <c r="D961" s="6">
        <v>68.0</v>
      </c>
      <c r="E961" s="7" t="s">
        <v>7</v>
      </c>
      <c r="F961" s="7" t="s">
        <v>8</v>
      </c>
      <c r="G961" s="8"/>
    </row>
    <row r="962">
      <c r="A962" s="4">
        <v>43534.180094571755</v>
      </c>
      <c r="B962" s="5">
        <v>43534.47172</v>
      </c>
      <c r="C962" s="6">
        <v>1.047</v>
      </c>
      <c r="D962" s="6">
        <v>68.0</v>
      </c>
      <c r="E962" s="7" t="s">
        <v>7</v>
      </c>
      <c r="F962" s="7" t="s">
        <v>8</v>
      </c>
      <c r="G962" s="8"/>
    </row>
    <row r="963">
      <c r="A963" s="4">
        <v>43534.19050370371</v>
      </c>
      <c r="B963" s="5">
        <v>43534.4821387731</v>
      </c>
      <c r="C963" s="6">
        <v>1.047</v>
      </c>
      <c r="D963" s="6">
        <v>68.0</v>
      </c>
      <c r="E963" s="7" t="s">
        <v>7</v>
      </c>
      <c r="F963" s="7" t="s">
        <v>8</v>
      </c>
      <c r="G963" s="8"/>
    </row>
    <row r="964">
      <c r="A964" s="4">
        <v>43534.20095528935</v>
      </c>
      <c r="B964" s="5">
        <v>43534.492593993</v>
      </c>
      <c r="C964" s="6">
        <v>1.047</v>
      </c>
      <c r="D964" s="6">
        <v>68.0</v>
      </c>
      <c r="E964" s="7" t="s">
        <v>7</v>
      </c>
      <c r="F964" s="7" t="s">
        <v>8</v>
      </c>
      <c r="G964" s="8"/>
    </row>
    <row r="965">
      <c r="A965" s="4">
        <v>43534.21137961806</v>
      </c>
      <c r="B965" s="5">
        <v>43534.5030138078</v>
      </c>
      <c r="C965" s="6">
        <v>1.046</v>
      </c>
      <c r="D965" s="6">
        <v>68.0</v>
      </c>
      <c r="E965" s="7" t="s">
        <v>7</v>
      </c>
      <c r="F965" s="7" t="s">
        <v>8</v>
      </c>
      <c r="G965" s="8"/>
    </row>
    <row r="966">
      <c r="A966" s="4">
        <v>43534.22182763889</v>
      </c>
      <c r="B966" s="5">
        <v>43534.5134481712</v>
      </c>
      <c r="C966" s="6">
        <v>1.046</v>
      </c>
      <c r="D966" s="6">
        <v>68.0</v>
      </c>
      <c r="E966" s="7" t="s">
        <v>7</v>
      </c>
      <c r="F966" s="7" t="s">
        <v>8</v>
      </c>
      <c r="G966" s="8"/>
    </row>
    <row r="967">
      <c r="A967" s="4">
        <v>43534.23222680556</v>
      </c>
      <c r="B967" s="5">
        <v>43534.5238684722</v>
      </c>
      <c r="C967" s="6">
        <v>1.046</v>
      </c>
      <c r="D967" s="6">
        <v>68.0</v>
      </c>
      <c r="E967" s="7" t="s">
        <v>7</v>
      </c>
      <c r="F967" s="7" t="s">
        <v>8</v>
      </c>
      <c r="G967" s="8"/>
    </row>
    <row r="968">
      <c r="A968" s="4">
        <v>43534.24269346065</v>
      </c>
      <c r="B968" s="5">
        <v>43534.5343133912</v>
      </c>
      <c r="C968" s="6">
        <v>1.046</v>
      </c>
      <c r="D968" s="6">
        <v>68.0</v>
      </c>
      <c r="E968" s="7" t="s">
        <v>7</v>
      </c>
      <c r="F968" s="7" t="s">
        <v>8</v>
      </c>
      <c r="G968" s="8"/>
    </row>
    <row r="969">
      <c r="A969" s="4">
        <v>43534.253099062495</v>
      </c>
      <c r="B969" s="5">
        <v>43534.5447338773</v>
      </c>
      <c r="C969" s="6">
        <v>1.046</v>
      </c>
      <c r="D969" s="6">
        <v>68.0</v>
      </c>
      <c r="E969" s="7" t="s">
        <v>7</v>
      </c>
      <c r="F969" s="7" t="s">
        <v>8</v>
      </c>
      <c r="G969" s="8"/>
    </row>
    <row r="970">
      <c r="A970" s="4">
        <v>43534.26353863426</v>
      </c>
      <c r="B970" s="5">
        <v>43534.5551665972</v>
      </c>
      <c r="C970" s="6">
        <v>1.046</v>
      </c>
      <c r="D970" s="6">
        <v>68.0</v>
      </c>
      <c r="E970" s="7" t="s">
        <v>7</v>
      </c>
      <c r="F970" s="7" t="s">
        <v>8</v>
      </c>
      <c r="G970" s="8"/>
    </row>
    <row r="971">
      <c r="A971" s="4">
        <v>43534.273959293976</v>
      </c>
      <c r="B971" s="5">
        <v>43534.5655986111</v>
      </c>
      <c r="C971" s="6">
        <v>1.046</v>
      </c>
      <c r="D971" s="6">
        <v>68.0</v>
      </c>
      <c r="E971" s="7" t="s">
        <v>7</v>
      </c>
      <c r="F971" s="7" t="s">
        <v>8</v>
      </c>
      <c r="G971" s="8"/>
    </row>
    <row r="972">
      <c r="A972" s="4">
        <v>43534.28438585648</v>
      </c>
      <c r="B972" s="5">
        <v>43534.5760199884</v>
      </c>
      <c r="C972" s="6">
        <v>1.046</v>
      </c>
      <c r="D972" s="6">
        <v>68.0</v>
      </c>
      <c r="E972" s="7" t="s">
        <v>7</v>
      </c>
      <c r="F972" s="7" t="s">
        <v>8</v>
      </c>
      <c r="G972" s="8"/>
    </row>
    <row r="973">
      <c r="A973" s="4">
        <v>43534.29482840278</v>
      </c>
      <c r="B973" s="5">
        <v>43534.586465949</v>
      </c>
      <c r="C973" s="6">
        <v>1.046</v>
      </c>
      <c r="D973" s="6">
        <v>68.0</v>
      </c>
      <c r="E973" s="7" t="s">
        <v>7</v>
      </c>
      <c r="F973" s="7" t="s">
        <v>8</v>
      </c>
      <c r="G973" s="8"/>
    </row>
    <row r="974">
      <c r="A974" s="4">
        <v>43534.30526871528</v>
      </c>
      <c r="B974" s="5">
        <v>43534.5968983449</v>
      </c>
      <c r="C974" s="6">
        <v>1.046</v>
      </c>
      <c r="D974" s="6">
        <v>68.0</v>
      </c>
      <c r="E974" s="7" t="s">
        <v>7</v>
      </c>
      <c r="F974" s="7" t="s">
        <v>8</v>
      </c>
      <c r="G974" s="8"/>
    </row>
    <row r="975">
      <c r="A975" s="4">
        <v>43534.31567761574</v>
      </c>
      <c r="B975" s="5">
        <v>43534.6073177777</v>
      </c>
      <c r="C975" s="6">
        <v>1.046</v>
      </c>
      <c r="D975" s="6">
        <v>68.0</v>
      </c>
      <c r="E975" s="7" t="s">
        <v>7</v>
      </c>
      <c r="F975" s="7" t="s">
        <v>8</v>
      </c>
      <c r="G975" s="8"/>
    </row>
    <row r="976">
      <c r="A976" s="4">
        <v>43534.32610039352</v>
      </c>
      <c r="B976" s="5">
        <v>43534.6177380439</v>
      </c>
      <c r="C976" s="6">
        <v>1.046</v>
      </c>
      <c r="D976" s="6">
        <v>68.0</v>
      </c>
      <c r="E976" s="7" t="s">
        <v>7</v>
      </c>
      <c r="F976" s="7" t="s">
        <v>8</v>
      </c>
      <c r="G976" s="8"/>
    </row>
    <row r="977">
      <c r="A977" s="4">
        <v>43534.3365629051</v>
      </c>
      <c r="B977" s="5">
        <v>43534.6281940509</v>
      </c>
      <c r="C977" s="6">
        <v>1.046</v>
      </c>
      <c r="D977" s="6">
        <v>68.0</v>
      </c>
      <c r="E977" s="7" t="s">
        <v>7</v>
      </c>
      <c r="F977" s="7" t="s">
        <v>8</v>
      </c>
      <c r="G977" s="8"/>
    </row>
    <row r="978">
      <c r="A978" s="4">
        <v>43534.34698203704</v>
      </c>
      <c r="B978" s="5">
        <v>43534.6386143981</v>
      </c>
      <c r="C978" s="6">
        <v>1.046</v>
      </c>
      <c r="D978" s="6">
        <v>68.0</v>
      </c>
      <c r="E978" s="7" t="s">
        <v>7</v>
      </c>
      <c r="F978" s="7" t="s">
        <v>8</v>
      </c>
      <c r="G978" s="8"/>
    </row>
    <row r="979">
      <c r="A979" s="4">
        <v>43534.35739773148</v>
      </c>
      <c r="B979" s="5">
        <v>43534.6490353009</v>
      </c>
      <c r="C979" s="6">
        <v>1.046</v>
      </c>
      <c r="D979" s="6">
        <v>68.0</v>
      </c>
      <c r="E979" s="7" t="s">
        <v>7</v>
      </c>
      <c r="F979" s="7" t="s">
        <v>8</v>
      </c>
      <c r="G979" s="8"/>
    </row>
    <row r="980">
      <c r="A980" s="4">
        <v>43534.3678556713</v>
      </c>
      <c r="B980" s="5">
        <v>43534.6594917708</v>
      </c>
      <c r="C980" s="6">
        <v>1.046</v>
      </c>
      <c r="D980" s="6">
        <v>68.0</v>
      </c>
      <c r="E980" s="7" t="s">
        <v>7</v>
      </c>
      <c r="F980" s="7" t="s">
        <v>8</v>
      </c>
      <c r="G980" s="8"/>
    </row>
    <row r="981">
      <c r="A981" s="4">
        <v>43534.378278310185</v>
      </c>
      <c r="B981" s="5">
        <v>43534.6699139236</v>
      </c>
      <c r="C981" s="6">
        <v>1.046</v>
      </c>
      <c r="D981" s="6">
        <v>68.0</v>
      </c>
      <c r="E981" s="7" t="s">
        <v>7</v>
      </c>
      <c r="F981" s="7" t="s">
        <v>8</v>
      </c>
      <c r="G981" s="8"/>
    </row>
    <row r="982">
      <c r="A982" s="4">
        <v>43534.388731238425</v>
      </c>
      <c r="B982" s="5">
        <v>43534.6803587152</v>
      </c>
      <c r="C982" s="6">
        <v>1.046</v>
      </c>
      <c r="D982" s="6">
        <v>68.0</v>
      </c>
      <c r="E982" s="7" t="s">
        <v>7</v>
      </c>
      <c r="F982" s="7" t="s">
        <v>8</v>
      </c>
      <c r="G982" s="8"/>
    </row>
    <row r="983">
      <c r="A983" s="4">
        <v>43534.399144317125</v>
      </c>
      <c r="B983" s="5">
        <v>43534.6907786921</v>
      </c>
      <c r="C983" s="6">
        <v>1.046</v>
      </c>
      <c r="D983" s="6">
        <v>68.0</v>
      </c>
      <c r="E983" s="7" t="s">
        <v>7</v>
      </c>
      <c r="F983" s="7" t="s">
        <v>8</v>
      </c>
      <c r="G983" s="8"/>
    </row>
    <row r="984">
      <c r="A984" s="4">
        <v>43534.40957148148</v>
      </c>
      <c r="B984" s="5">
        <v>43534.7012115972</v>
      </c>
      <c r="C984" s="6">
        <v>1.046</v>
      </c>
      <c r="D984" s="6">
        <v>68.0</v>
      </c>
      <c r="E984" s="7" t="s">
        <v>7</v>
      </c>
      <c r="F984" s="7" t="s">
        <v>8</v>
      </c>
      <c r="G984" s="8"/>
    </row>
    <row r="985">
      <c r="A985" s="4">
        <v>43534.420005798616</v>
      </c>
      <c r="B985" s="5">
        <v>43534.7116438888</v>
      </c>
      <c r="C985" s="6">
        <v>1.046</v>
      </c>
      <c r="D985" s="6">
        <v>68.0</v>
      </c>
      <c r="E985" s="7" t="s">
        <v>7</v>
      </c>
      <c r="F985" s="7" t="s">
        <v>8</v>
      </c>
      <c r="G985" s="8"/>
    </row>
    <row r="986">
      <c r="A986" s="4">
        <v>43534.430424791666</v>
      </c>
      <c r="B986" s="5">
        <v>43534.7220651736</v>
      </c>
      <c r="C986" s="6">
        <v>1.046</v>
      </c>
      <c r="D986" s="6">
        <v>68.0</v>
      </c>
      <c r="E986" s="7" t="s">
        <v>7</v>
      </c>
      <c r="F986" s="7" t="s">
        <v>8</v>
      </c>
      <c r="G986" s="8"/>
    </row>
    <row r="987">
      <c r="A987" s="4">
        <v>43534.44084866898</v>
      </c>
      <c r="B987" s="5">
        <v>43534.7324871296</v>
      </c>
      <c r="C987" s="6">
        <v>1.046</v>
      </c>
      <c r="D987" s="6">
        <v>68.0</v>
      </c>
      <c r="E987" s="7" t="s">
        <v>7</v>
      </c>
      <c r="F987" s="7" t="s">
        <v>8</v>
      </c>
      <c r="G987" s="8"/>
    </row>
    <row r="988">
      <c r="A988" s="4">
        <v>43534.45127348379</v>
      </c>
      <c r="B988" s="5">
        <v>43534.7429083564</v>
      </c>
      <c r="C988" s="6">
        <v>1.046</v>
      </c>
      <c r="D988" s="6">
        <v>68.0</v>
      </c>
      <c r="E988" s="7" t="s">
        <v>7</v>
      </c>
      <c r="F988" s="7" t="s">
        <v>8</v>
      </c>
      <c r="G988" s="8"/>
    </row>
    <row r="989">
      <c r="A989" s="4">
        <v>43534.4616902662</v>
      </c>
      <c r="B989" s="5">
        <v>43534.7533298148</v>
      </c>
      <c r="C989" s="6">
        <v>1.046</v>
      </c>
      <c r="D989" s="6">
        <v>68.0</v>
      </c>
      <c r="E989" s="7" t="s">
        <v>7</v>
      </c>
      <c r="F989" s="7" t="s">
        <v>8</v>
      </c>
      <c r="G989" s="8"/>
    </row>
    <row r="990">
      <c r="A990" s="4">
        <v>43534.472120300925</v>
      </c>
      <c r="B990" s="5">
        <v>43534.7637509375</v>
      </c>
      <c r="C990" s="6">
        <v>1.046</v>
      </c>
      <c r="D990" s="6">
        <v>68.0</v>
      </c>
      <c r="E990" s="7" t="s">
        <v>7</v>
      </c>
      <c r="F990" s="7" t="s">
        <v>8</v>
      </c>
      <c r="G990" s="8"/>
    </row>
    <row r="991">
      <c r="A991" s="4">
        <v>43534.48255393519</v>
      </c>
      <c r="B991" s="5">
        <v>43534.7741714583</v>
      </c>
      <c r="C991" s="6">
        <v>1.046</v>
      </c>
      <c r="D991" s="6">
        <v>68.0</v>
      </c>
      <c r="E991" s="7" t="s">
        <v>7</v>
      </c>
      <c r="F991" s="7" t="s">
        <v>8</v>
      </c>
      <c r="G991" s="8"/>
    </row>
    <row r="992">
      <c r="A992" s="4">
        <v>43534.49295490741</v>
      </c>
      <c r="B992" s="5">
        <v>43534.7845931134</v>
      </c>
      <c r="C992" s="6">
        <v>1.046</v>
      </c>
      <c r="D992" s="6">
        <v>68.0</v>
      </c>
      <c r="E992" s="7" t="s">
        <v>7</v>
      </c>
      <c r="F992" s="7" t="s">
        <v>8</v>
      </c>
      <c r="G992" s="8"/>
    </row>
    <row r="993">
      <c r="A993" s="4">
        <v>43534.503380740745</v>
      </c>
      <c r="B993" s="5">
        <v>43534.7950145717</v>
      </c>
      <c r="C993" s="6">
        <v>1.046</v>
      </c>
      <c r="D993" s="6">
        <v>68.0</v>
      </c>
      <c r="E993" s="7" t="s">
        <v>7</v>
      </c>
      <c r="F993" s="7" t="s">
        <v>8</v>
      </c>
      <c r="G993" s="8"/>
    </row>
    <row r="994">
      <c r="A994" s="4">
        <v>43534.51409657407</v>
      </c>
      <c r="B994" s="5">
        <v>43534.8054356365</v>
      </c>
      <c r="C994" s="6">
        <v>1.046</v>
      </c>
      <c r="D994" s="6">
        <v>68.0</v>
      </c>
      <c r="E994" s="7" t="s">
        <v>7</v>
      </c>
      <c r="F994" s="7" t="s">
        <v>8</v>
      </c>
      <c r="G994" s="8"/>
    </row>
    <row r="995">
      <c r="A995" s="4">
        <v>43534.52421753472</v>
      </c>
      <c r="B995" s="5">
        <v>43534.8158570717</v>
      </c>
      <c r="C995" s="6">
        <v>1.046</v>
      </c>
      <c r="D995" s="6">
        <v>68.0</v>
      </c>
      <c r="E995" s="7" t="s">
        <v>7</v>
      </c>
      <c r="F995" s="7" t="s">
        <v>8</v>
      </c>
      <c r="G995" s="8"/>
    </row>
    <row r="996">
      <c r="A996" s="4">
        <v>43534.53467224537</v>
      </c>
      <c r="B996" s="5">
        <v>43534.826290081</v>
      </c>
      <c r="C996" s="6">
        <v>1.046</v>
      </c>
      <c r="D996" s="6">
        <v>68.0</v>
      </c>
      <c r="E996" s="7" t="s">
        <v>7</v>
      </c>
      <c r="F996" s="7" t="s">
        <v>8</v>
      </c>
      <c r="G996" s="8"/>
    </row>
    <row r="997">
      <c r="A997" s="4">
        <v>43534.5450690625</v>
      </c>
      <c r="B997" s="5">
        <v>43534.8367101273</v>
      </c>
      <c r="C997" s="6">
        <v>1.046</v>
      </c>
      <c r="D997" s="6">
        <v>68.0</v>
      </c>
      <c r="E997" s="7" t="s">
        <v>7</v>
      </c>
      <c r="F997" s="7" t="s">
        <v>8</v>
      </c>
      <c r="G997" s="8"/>
    </row>
    <row r="998">
      <c r="A998" s="4">
        <v>43534.55550390046</v>
      </c>
      <c r="B998" s="5">
        <v>43534.8471413078</v>
      </c>
      <c r="C998" s="6">
        <v>1.046</v>
      </c>
      <c r="D998" s="6">
        <v>68.0</v>
      </c>
      <c r="E998" s="7" t="s">
        <v>7</v>
      </c>
      <c r="F998" s="7" t="s">
        <v>8</v>
      </c>
      <c r="G998" s="8"/>
    </row>
    <row r="999">
      <c r="A999" s="4">
        <v>43534.56592376158</v>
      </c>
      <c r="B999" s="5">
        <v>43534.8575612384</v>
      </c>
      <c r="C999" s="6">
        <v>1.045</v>
      </c>
      <c r="D999" s="6">
        <v>68.0</v>
      </c>
      <c r="E999" s="7" t="s">
        <v>7</v>
      </c>
      <c r="F999" s="7" t="s">
        <v>8</v>
      </c>
      <c r="G999" s="8"/>
    </row>
    <row r="1000">
      <c r="A1000" s="4">
        <v>43534.57634590278</v>
      </c>
      <c r="B1000" s="5">
        <v>43534.867982581</v>
      </c>
      <c r="C1000" s="6">
        <v>1.046</v>
      </c>
      <c r="D1000" s="6">
        <v>68.0</v>
      </c>
      <c r="E1000" s="7" t="s">
        <v>7</v>
      </c>
      <c r="F1000" s="7" t="s">
        <v>8</v>
      </c>
      <c r="G1000" s="8"/>
    </row>
    <row r="1001">
      <c r="A1001" s="4">
        <v>43534.58677282407</v>
      </c>
      <c r="B1001" s="5">
        <v>43534.8784047569</v>
      </c>
      <c r="C1001" s="6">
        <v>1.046</v>
      </c>
      <c r="D1001" s="6">
        <v>68.0</v>
      </c>
      <c r="E1001" s="7" t="s">
        <v>7</v>
      </c>
      <c r="F1001" s="7" t="s">
        <v>8</v>
      </c>
      <c r="G1001" s="8"/>
    </row>
    <row r="1002">
      <c r="A1002" s="4">
        <v>43534.59718534722</v>
      </c>
      <c r="B1002" s="5">
        <v>43534.8888244328</v>
      </c>
      <c r="C1002" s="6">
        <v>1.046</v>
      </c>
      <c r="D1002" s="6">
        <v>68.0</v>
      </c>
      <c r="E1002" s="7" t="s">
        <v>7</v>
      </c>
      <c r="F1002" s="7" t="s">
        <v>8</v>
      </c>
      <c r="G1002" s="8"/>
    </row>
    <row r="1003">
      <c r="A1003" s="4">
        <v>43534.60761857639</v>
      </c>
      <c r="B1003" s="5">
        <v>43534.8992573032</v>
      </c>
      <c r="C1003" s="6">
        <v>1.046</v>
      </c>
      <c r="D1003" s="6">
        <v>68.0</v>
      </c>
      <c r="E1003" s="7" t="s">
        <v>7</v>
      </c>
      <c r="F1003" s="7" t="s">
        <v>8</v>
      </c>
      <c r="G1003" s="8"/>
    </row>
    <row r="1004">
      <c r="A1004" s="4">
        <v>43534.61804508102</v>
      </c>
      <c r="B1004" s="5">
        <v>43534.9096882523</v>
      </c>
      <c r="C1004" s="6">
        <v>1.046</v>
      </c>
      <c r="D1004" s="6">
        <v>68.0</v>
      </c>
      <c r="E1004" s="7" t="s">
        <v>7</v>
      </c>
      <c r="F1004" s="7" t="s">
        <v>8</v>
      </c>
      <c r="G1004" s="8"/>
    </row>
    <row r="1005">
      <c r="A1005" s="4">
        <v>43534.62849481481</v>
      </c>
      <c r="B1005" s="5">
        <v>43534.9201314699</v>
      </c>
      <c r="C1005" s="6">
        <v>1.046</v>
      </c>
      <c r="D1005" s="6">
        <v>68.0</v>
      </c>
      <c r="E1005" s="7" t="s">
        <v>7</v>
      </c>
      <c r="F1005" s="7" t="s">
        <v>8</v>
      </c>
      <c r="G1005" s="8"/>
    </row>
    <row r="1006">
      <c r="A1006" s="4">
        <v>43534.638920185185</v>
      </c>
      <c r="B1006" s="5">
        <v>43534.9305628703</v>
      </c>
      <c r="C1006" s="6">
        <v>1.046</v>
      </c>
      <c r="D1006" s="6">
        <v>68.0</v>
      </c>
      <c r="E1006" s="7" t="s">
        <v>7</v>
      </c>
      <c r="F1006" s="7" t="s">
        <v>8</v>
      </c>
      <c r="G1006" s="8"/>
    </row>
    <row r="1007">
      <c r="A1007" s="4">
        <v>43534.64936509259</v>
      </c>
      <c r="B1007" s="5">
        <v>43534.9410061226</v>
      </c>
      <c r="C1007" s="6">
        <v>1.046</v>
      </c>
      <c r="D1007" s="6">
        <v>68.0</v>
      </c>
      <c r="E1007" s="7" t="s">
        <v>7</v>
      </c>
      <c r="F1007" s="7" t="s">
        <v>8</v>
      </c>
      <c r="G1007" s="8"/>
    </row>
    <row r="1008">
      <c r="A1008" s="4">
        <v>43534.65979201389</v>
      </c>
      <c r="B1008" s="5">
        <v>43534.9514271527</v>
      </c>
      <c r="C1008" s="6">
        <v>1.045</v>
      </c>
      <c r="D1008" s="6">
        <v>68.0</v>
      </c>
      <c r="E1008" s="7" t="s">
        <v>7</v>
      </c>
      <c r="F1008" s="7" t="s">
        <v>8</v>
      </c>
      <c r="G1008" s="8"/>
    </row>
    <row r="1009">
      <c r="A1009" s="4">
        <v>43534.67021453704</v>
      </c>
      <c r="B1009" s="5">
        <v>43534.9618473726</v>
      </c>
      <c r="C1009" s="6">
        <v>1.045</v>
      </c>
      <c r="D1009" s="6">
        <v>68.0</v>
      </c>
      <c r="E1009" s="7" t="s">
        <v>7</v>
      </c>
      <c r="F1009" s="7" t="s">
        <v>8</v>
      </c>
      <c r="G1009" s="8"/>
    </row>
    <row r="1010">
      <c r="A1010" s="4">
        <v>43534.68062621528</v>
      </c>
      <c r="B1010" s="5">
        <v>43534.972268449</v>
      </c>
      <c r="C1010" s="6">
        <v>1.045</v>
      </c>
      <c r="D1010" s="6">
        <v>68.0</v>
      </c>
      <c r="E1010" s="7" t="s">
        <v>7</v>
      </c>
      <c r="F1010" s="7" t="s">
        <v>8</v>
      </c>
      <c r="G1010" s="8"/>
    </row>
    <row r="1011">
      <c r="A1011" s="4">
        <v>43534.69106413194</v>
      </c>
      <c r="B1011" s="5">
        <v>43534.9827008101</v>
      </c>
      <c r="C1011" s="6">
        <v>1.045</v>
      </c>
      <c r="D1011" s="6">
        <v>68.0</v>
      </c>
      <c r="E1011" s="7" t="s">
        <v>7</v>
      </c>
      <c r="F1011" s="7" t="s">
        <v>8</v>
      </c>
      <c r="G1011" s="8"/>
    </row>
    <row r="1012">
      <c r="A1012" s="4">
        <v>43534.70149317129</v>
      </c>
      <c r="B1012" s="5">
        <v>43534.993122037</v>
      </c>
      <c r="C1012" s="6">
        <v>1.046</v>
      </c>
      <c r="D1012" s="6">
        <v>68.0</v>
      </c>
      <c r="E1012" s="7" t="s">
        <v>7</v>
      </c>
      <c r="F1012" s="7" t="s">
        <v>8</v>
      </c>
      <c r="G1012" s="8"/>
    </row>
    <row r="1013">
      <c r="A1013" s="4">
        <v>43534.711919270834</v>
      </c>
      <c r="B1013" s="5">
        <v>43535.0035554513</v>
      </c>
      <c r="C1013" s="6">
        <v>1.045</v>
      </c>
      <c r="D1013" s="6">
        <v>68.0</v>
      </c>
      <c r="E1013" s="7" t="s">
        <v>7</v>
      </c>
      <c r="F1013" s="7" t="s">
        <v>8</v>
      </c>
      <c r="G1013" s="8"/>
    </row>
    <row r="1014">
      <c r="A1014" s="4">
        <v>43534.72234238426</v>
      </c>
      <c r="B1014" s="5">
        <v>43535.0139769675</v>
      </c>
      <c r="C1014" s="6">
        <v>1.045</v>
      </c>
      <c r="D1014" s="6">
        <v>68.0</v>
      </c>
      <c r="E1014" s="7" t="s">
        <v>7</v>
      </c>
      <c r="F1014" s="7" t="s">
        <v>8</v>
      </c>
      <c r="G1014" s="8"/>
    </row>
    <row r="1015">
      <c r="A1015" s="4">
        <v>43534.73275991898</v>
      </c>
      <c r="B1015" s="5">
        <v>43535.0243972916</v>
      </c>
      <c r="C1015" s="6">
        <v>1.045</v>
      </c>
      <c r="D1015" s="6">
        <v>68.0</v>
      </c>
      <c r="E1015" s="7" t="s">
        <v>7</v>
      </c>
      <c r="F1015" s="7" t="s">
        <v>8</v>
      </c>
      <c r="G1015" s="8"/>
    </row>
    <row r="1016">
      <c r="A1016" s="4">
        <v>43534.74318839121</v>
      </c>
      <c r="B1016" s="5">
        <v>43535.0348207754</v>
      </c>
      <c r="C1016" s="6">
        <v>1.045</v>
      </c>
      <c r="D1016" s="6">
        <v>68.0</v>
      </c>
      <c r="E1016" s="7" t="s">
        <v>7</v>
      </c>
      <c r="F1016" s="7" t="s">
        <v>8</v>
      </c>
      <c r="G1016" s="8"/>
    </row>
    <row r="1017">
      <c r="A1017" s="4">
        <v>43534.753605335645</v>
      </c>
      <c r="B1017" s="5">
        <v>43535.0452409375</v>
      </c>
      <c r="C1017" s="6">
        <v>1.045</v>
      </c>
      <c r="D1017" s="6">
        <v>68.0</v>
      </c>
      <c r="E1017" s="7" t="s">
        <v>7</v>
      </c>
      <c r="F1017" s="7" t="s">
        <v>8</v>
      </c>
      <c r="G1017" s="8"/>
    </row>
    <row r="1018">
      <c r="A1018" s="4">
        <v>43534.76403119213</v>
      </c>
      <c r="B1018" s="5">
        <v>43535.0556616435</v>
      </c>
      <c r="C1018" s="6">
        <v>1.045</v>
      </c>
      <c r="D1018" s="6">
        <v>68.0</v>
      </c>
      <c r="E1018" s="7" t="s">
        <v>7</v>
      </c>
      <c r="F1018" s="7" t="s">
        <v>8</v>
      </c>
      <c r="G1018" s="8"/>
    </row>
    <row r="1019">
      <c r="A1019" s="4">
        <v>43534.774447337964</v>
      </c>
      <c r="B1019" s="5">
        <v>43535.0660817939</v>
      </c>
      <c r="C1019" s="6">
        <v>1.045</v>
      </c>
      <c r="D1019" s="6">
        <v>68.0</v>
      </c>
      <c r="E1019" s="7" t="s">
        <v>7</v>
      </c>
      <c r="F1019" s="7" t="s">
        <v>8</v>
      </c>
      <c r="G1019" s="8"/>
    </row>
    <row r="1020">
      <c r="A1020" s="4">
        <v>43534.78486918981</v>
      </c>
      <c r="B1020" s="5">
        <v>43535.0765033912</v>
      </c>
      <c r="C1020" s="6">
        <v>1.045</v>
      </c>
      <c r="D1020" s="6">
        <v>68.0</v>
      </c>
      <c r="E1020" s="7" t="s">
        <v>7</v>
      </c>
      <c r="F1020" s="7" t="s">
        <v>8</v>
      </c>
      <c r="G1020" s="8"/>
    </row>
    <row r="1021">
      <c r="A1021" s="4">
        <v>43534.79528363426</v>
      </c>
      <c r="B1021" s="5">
        <v>43535.0869242939</v>
      </c>
      <c r="C1021" s="6">
        <v>1.045</v>
      </c>
      <c r="D1021" s="6">
        <v>68.0</v>
      </c>
      <c r="E1021" s="7" t="s">
        <v>7</v>
      </c>
      <c r="F1021" s="7" t="s">
        <v>8</v>
      </c>
      <c r="G1021" s="8"/>
    </row>
    <row r="1022">
      <c r="A1022" s="4">
        <v>43534.80576241898</v>
      </c>
      <c r="B1022" s="5">
        <v>43535.0973475578</v>
      </c>
      <c r="C1022" s="6">
        <v>1.045</v>
      </c>
      <c r="D1022" s="6">
        <v>68.0</v>
      </c>
      <c r="E1022" s="7" t="s">
        <v>7</v>
      </c>
      <c r="F1022" s="7" t="s">
        <v>8</v>
      </c>
      <c r="G1022" s="8"/>
    </row>
    <row r="1023">
      <c r="A1023" s="4">
        <v>43534.81614141204</v>
      </c>
      <c r="B1023" s="5">
        <v>43535.1077814467</v>
      </c>
      <c r="C1023" s="6">
        <v>1.045</v>
      </c>
      <c r="D1023" s="6">
        <v>68.0</v>
      </c>
      <c r="E1023" s="7" t="s">
        <v>7</v>
      </c>
      <c r="F1023" s="7" t="s">
        <v>8</v>
      </c>
      <c r="G1023" s="8"/>
    </row>
    <row r="1024">
      <c r="A1024" s="4">
        <v>43534.826568055556</v>
      </c>
      <c r="B1024" s="5">
        <v>43535.1182014351</v>
      </c>
      <c r="C1024" s="6">
        <v>1.045</v>
      </c>
      <c r="D1024" s="6">
        <v>68.0</v>
      </c>
      <c r="E1024" s="7" t="s">
        <v>7</v>
      </c>
      <c r="F1024" s="7" t="s">
        <v>8</v>
      </c>
      <c r="G1024" s="8"/>
    </row>
    <row r="1025">
      <c r="A1025" s="4">
        <v>43534.83700516204</v>
      </c>
      <c r="B1025" s="5">
        <v>43535.128623449</v>
      </c>
      <c r="C1025" s="6">
        <v>1.045</v>
      </c>
      <c r="D1025" s="6">
        <v>68.0</v>
      </c>
      <c r="E1025" s="7" t="s">
        <v>7</v>
      </c>
      <c r="F1025" s="7" t="s">
        <v>8</v>
      </c>
      <c r="G1025" s="8"/>
    </row>
    <row r="1026">
      <c r="A1026" s="4">
        <v>43534.8474216551</v>
      </c>
      <c r="B1026" s="5">
        <v>43535.1390566898</v>
      </c>
      <c r="C1026" s="6">
        <v>1.045</v>
      </c>
      <c r="D1026" s="6">
        <v>68.0</v>
      </c>
      <c r="E1026" s="7" t="s">
        <v>7</v>
      </c>
      <c r="F1026" s="7" t="s">
        <v>8</v>
      </c>
      <c r="G1026" s="8"/>
    </row>
    <row r="1027">
      <c r="A1027" s="4">
        <v>43534.85784413194</v>
      </c>
      <c r="B1027" s="5">
        <v>43535.1494776504</v>
      </c>
      <c r="C1027" s="6">
        <v>1.045</v>
      </c>
      <c r="D1027" s="6">
        <v>68.0</v>
      </c>
      <c r="E1027" s="7" t="s">
        <v>7</v>
      </c>
      <c r="F1027" s="7" t="s">
        <v>8</v>
      </c>
      <c r="G1027" s="8"/>
    </row>
    <row r="1028">
      <c r="A1028" s="4">
        <v>43534.868265625</v>
      </c>
      <c r="B1028" s="5">
        <v>43535.1598993981</v>
      </c>
      <c r="C1028" s="6">
        <v>1.045</v>
      </c>
      <c r="D1028" s="6">
        <v>68.0</v>
      </c>
      <c r="E1028" s="7" t="s">
        <v>7</v>
      </c>
      <c r="F1028" s="7" t="s">
        <v>8</v>
      </c>
      <c r="G1028" s="8"/>
    </row>
    <row r="1029">
      <c r="A1029" s="4">
        <v>43534.87868519676</v>
      </c>
      <c r="B1029" s="5">
        <v>43535.1703204745</v>
      </c>
      <c r="C1029" s="6">
        <v>1.045</v>
      </c>
      <c r="D1029" s="6">
        <v>68.0</v>
      </c>
      <c r="E1029" s="7" t="s">
        <v>7</v>
      </c>
      <c r="F1029" s="7" t="s">
        <v>8</v>
      </c>
      <c r="G1029" s="8"/>
    </row>
    <row r="1030">
      <c r="A1030" s="4">
        <v>43534.8891125463</v>
      </c>
      <c r="B1030" s="5">
        <v>43535.1807409606</v>
      </c>
      <c r="C1030" s="6">
        <v>1.045</v>
      </c>
      <c r="D1030" s="6">
        <v>68.0</v>
      </c>
      <c r="E1030" s="7" t="s">
        <v>7</v>
      </c>
      <c r="F1030" s="7" t="s">
        <v>8</v>
      </c>
      <c r="G1030" s="8"/>
    </row>
    <row r="1031">
      <c r="A1031" s="4">
        <v>43534.89952449074</v>
      </c>
      <c r="B1031" s="5">
        <v>43535.1911621643</v>
      </c>
      <c r="C1031" s="6">
        <v>1.045</v>
      </c>
      <c r="D1031" s="6">
        <v>68.0</v>
      </c>
      <c r="E1031" s="7" t="s">
        <v>7</v>
      </c>
      <c r="F1031" s="7" t="s">
        <v>8</v>
      </c>
      <c r="G1031" s="8"/>
    </row>
    <row r="1032">
      <c r="A1032" s="4">
        <v>43534.9099565625</v>
      </c>
      <c r="B1032" s="5">
        <v>43535.2015836689</v>
      </c>
      <c r="C1032" s="6">
        <v>1.045</v>
      </c>
      <c r="D1032" s="6">
        <v>68.0</v>
      </c>
      <c r="E1032" s="7" t="s">
        <v>7</v>
      </c>
      <c r="F1032" s="7" t="s">
        <v>8</v>
      </c>
      <c r="G1032" s="8"/>
    </row>
    <row r="1033">
      <c r="A1033" s="4">
        <v>43534.920369178246</v>
      </c>
      <c r="B1033" s="5">
        <v>43535.2120045254</v>
      </c>
      <c r="C1033" s="6">
        <v>1.045</v>
      </c>
      <c r="D1033" s="6">
        <v>68.0</v>
      </c>
      <c r="E1033" s="7" t="s">
        <v>7</v>
      </c>
      <c r="F1033" s="7" t="s">
        <v>8</v>
      </c>
      <c r="G1033" s="8"/>
    </row>
    <row r="1034">
      <c r="A1034" s="4">
        <v>43534.93080135417</v>
      </c>
      <c r="B1034" s="5">
        <v>43535.22242478</v>
      </c>
      <c r="C1034" s="6">
        <v>1.045</v>
      </c>
      <c r="D1034" s="6">
        <v>68.0</v>
      </c>
      <c r="E1034" s="7" t="s">
        <v>7</v>
      </c>
      <c r="F1034" s="7" t="s">
        <v>8</v>
      </c>
      <c r="G1034" s="8"/>
    </row>
    <row r="1035">
      <c r="A1035" s="4">
        <v>43534.94122325232</v>
      </c>
      <c r="B1035" s="5">
        <v>43535.2328588425</v>
      </c>
      <c r="C1035" s="6">
        <v>1.045</v>
      </c>
      <c r="D1035" s="6">
        <v>68.0</v>
      </c>
      <c r="E1035" s="7" t="s">
        <v>7</v>
      </c>
      <c r="F1035" s="7" t="s">
        <v>8</v>
      </c>
      <c r="G1035" s="8"/>
    </row>
    <row r="1036">
      <c r="A1036" s="4">
        <v>43534.95163966435</v>
      </c>
      <c r="B1036" s="5">
        <v>43535.2432792129</v>
      </c>
      <c r="C1036" s="6">
        <v>1.045</v>
      </c>
      <c r="D1036" s="6">
        <v>68.0</v>
      </c>
      <c r="E1036" s="7" t="s">
        <v>7</v>
      </c>
      <c r="F1036" s="7" t="s">
        <v>8</v>
      </c>
      <c r="G1036" s="8"/>
    </row>
    <row r="1037">
      <c r="A1037" s="4">
        <v>43534.962068877314</v>
      </c>
      <c r="B1037" s="5">
        <v>43535.2537019907</v>
      </c>
      <c r="C1037" s="6">
        <v>1.045</v>
      </c>
      <c r="D1037" s="6">
        <v>68.0</v>
      </c>
      <c r="E1037" s="7" t="s">
        <v>7</v>
      </c>
      <c r="F1037" s="7" t="s">
        <v>8</v>
      </c>
      <c r="G1037" s="8"/>
    </row>
    <row r="1038">
      <c r="A1038" s="4">
        <v>43534.97248631944</v>
      </c>
      <c r="B1038" s="5">
        <v>43535.2641210416</v>
      </c>
      <c r="C1038" s="6">
        <v>1.045</v>
      </c>
      <c r="D1038" s="6">
        <v>68.0</v>
      </c>
      <c r="E1038" s="7" t="s">
        <v>7</v>
      </c>
      <c r="F1038" s="7" t="s">
        <v>8</v>
      </c>
      <c r="G1038" s="8"/>
    </row>
    <row r="1039">
      <c r="A1039" s="4">
        <v>43534.982909479164</v>
      </c>
      <c r="B1039" s="5">
        <v>43535.2745410879</v>
      </c>
      <c r="C1039" s="6">
        <v>1.045</v>
      </c>
      <c r="D1039" s="6">
        <v>68.0</v>
      </c>
      <c r="E1039" s="7" t="s">
        <v>7</v>
      </c>
      <c r="F1039" s="7" t="s">
        <v>8</v>
      </c>
      <c r="G1039" s="8"/>
    </row>
    <row r="1040">
      <c r="A1040" s="4">
        <v>43534.99332780093</v>
      </c>
      <c r="B1040" s="5">
        <v>43535.2849612847</v>
      </c>
      <c r="C1040" s="6">
        <v>1.045</v>
      </c>
      <c r="D1040" s="6">
        <v>68.0</v>
      </c>
      <c r="E1040" s="7" t="s">
        <v>7</v>
      </c>
      <c r="F1040" s="7" t="s">
        <v>8</v>
      </c>
      <c r="G1040" s="8"/>
    </row>
    <row r="1041">
      <c r="A1041" s="4">
        <v>43535.00375048611</v>
      </c>
      <c r="B1041" s="5">
        <v>43535.2953835995</v>
      </c>
      <c r="C1041" s="6">
        <v>1.045</v>
      </c>
      <c r="D1041" s="6">
        <v>68.0</v>
      </c>
      <c r="E1041" s="7" t="s">
        <v>7</v>
      </c>
      <c r="F1041" s="7" t="s">
        <v>8</v>
      </c>
      <c r="G1041" s="8"/>
    </row>
    <row r="1042">
      <c r="A1042" s="4">
        <v>43535.0141769676</v>
      </c>
      <c r="B1042" s="5">
        <v>43535.3058053472</v>
      </c>
      <c r="C1042" s="6">
        <v>1.045</v>
      </c>
      <c r="D1042" s="6">
        <v>68.0</v>
      </c>
      <c r="E1042" s="7" t="s">
        <v>7</v>
      </c>
      <c r="F1042" s="7" t="s">
        <v>8</v>
      </c>
      <c r="G1042" s="8"/>
    </row>
    <row r="1043">
      <c r="A1043" s="4">
        <v>43535.024601261575</v>
      </c>
      <c r="B1043" s="5">
        <v>43535.3162398032</v>
      </c>
      <c r="C1043" s="6">
        <v>1.045</v>
      </c>
      <c r="D1043" s="6">
        <v>68.0</v>
      </c>
      <c r="E1043" s="7" t="s">
        <v>7</v>
      </c>
      <c r="F1043" s="7" t="s">
        <v>8</v>
      </c>
      <c r="G1043" s="8"/>
    </row>
    <row r="1044">
      <c r="A1044" s="4">
        <v>43535.03503121527</v>
      </c>
      <c r="B1044" s="5">
        <v>43535.3266602546</v>
      </c>
      <c r="C1044" s="6">
        <v>1.045</v>
      </c>
      <c r="D1044" s="6">
        <v>68.0</v>
      </c>
      <c r="E1044" s="7" t="s">
        <v>7</v>
      </c>
      <c r="F1044" s="7" t="s">
        <v>8</v>
      </c>
      <c r="G1044" s="8"/>
    </row>
    <row r="1045">
      <c r="A1045" s="4">
        <v>43535.04547077546</v>
      </c>
      <c r="B1045" s="5">
        <v>43535.3370924884</v>
      </c>
      <c r="C1045" s="6">
        <v>1.045</v>
      </c>
      <c r="D1045" s="6">
        <v>68.0</v>
      </c>
      <c r="E1045" s="7" t="s">
        <v>7</v>
      </c>
      <c r="F1045" s="7" t="s">
        <v>8</v>
      </c>
      <c r="G1045" s="8"/>
    </row>
    <row r="1046">
      <c r="A1046" s="4">
        <v>43535.055875254635</v>
      </c>
      <c r="B1046" s="5">
        <v>43535.3475132754</v>
      </c>
      <c r="C1046" s="6">
        <v>1.045</v>
      </c>
      <c r="D1046" s="6">
        <v>68.0</v>
      </c>
      <c r="E1046" s="7" t="s">
        <v>7</v>
      </c>
      <c r="F1046" s="7" t="s">
        <v>8</v>
      </c>
      <c r="G1046" s="8"/>
    </row>
    <row r="1047">
      <c r="A1047" s="4">
        <v>43535.0662984375</v>
      </c>
      <c r="B1047" s="5">
        <v>43535.3579335763</v>
      </c>
      <c r="C1047" s="6">
        <v>1.045</v>
      </c>
      <c r="D1047" s="6">
        <v>68.0</v>
      </c>
      <c r="E1047" s="7" t="s">
        <v>7</v>
      </c>
      <c r="F1047" s="7" t="s">
        <v>8</v>
      </c>
      <c r="G1047" s="8"/>
    </row>
    <row r="1048">
      <c r="A1048" s="4">
        <v>43535.07671390046</v>
      </c>
      <c r="B1048" s="5">
        <v>43535.3683543981</v>
      </c>
      <c r="C1048" s="6">
        <v>1.045</v>
      </c>
      <c r="D1048" s="6">
        <v>68.0</v>
      </c>
      <c r="E1048" s="7" t="s">
        <v>7</v>
      </c>
      <c r="F1048" s="7" t="s">
        <v>8</v>
      </c>
      <c r="G1048" s="8"/>
    </row>
    <row r="1049">
      <c r="A1049" s="4">
        <v>43535.08714888889</v>
      </c>
      <c r="B1049" s="5">
        <v>43535.378775</v>
      </c>
      <c r="C1049" s="6">
        <v>1.045</v>
      </c>
      <c r="D1049" s="6">
        <v>68.0</v>
      </c>
      <c r="E1049" s="7" t="s">
        <v>7</v>
      </c>
      <c r="F1049" s="7" t="s">
        <v>8</v>
      </c>
      <c r="G1049" s="8"/>
    </row>
    <row r="1050">
      <c r="A1050" s="4">
        <v>43535.09757471065</v>
      </c>
      <c r="B1050" s="5">
        <v>43535.3892082291</v>
      </c>
      <c r="C1050" s="6">
        <v>1.045</v>
      </c>
      <c r="D1050" s="6">
        <v>68.0</v>
      </c>
      <c r="E1050" s="7" t="s">
        <v>7</v>
      </c>
      <c r="F1050" s="7" t="s">
        <v>8</v>
      </c>
      <c r="G1050" s="8"/>
    </row>
    <row r="1051">
      <c r="A1051" s="4">
        <v>43535.10799240741</v>
      </c>
      <c r="B1051" s="5">
        <v>43535.399629618</v>
      </c>
      <c r="C1051" s="6">
        <v>1.045</v>
      </c>
      <c r="D1051" s="6">
        <v>68.0</v>
      </c>
      <c r="E1051" s="7" t="s">
        <v>7</v>
      </c>
      <c r="F1051" s="7" t="s">
        <v>8</v>
      </c>
      <c r="G1051" s="8"/>
    </row>
    <row r="1052">
      <c r="A1052" s="4">
        <v>43535.11841217593</v>
      </c>
      <c r="B1052" s="5">
        <v>43535.4100500347</v>
      </c>
      <c r="C1052" s="6">
        <v>1.045</v>
      </c>
      <c r="D1052" s="6">
        <v>68.0</v>
      </c>
      <c r="E1052" s="7" t="s">
        <v>7</v>
      </c>
      <c r="F1052" s="7" t="s">
        <v>8</v>
      </c>
      <c r="G1052" s="8"/>
    </row>
    <row r="1053">
      <c r="A1053" s="4">
        <v>43535.12883582176</v>
      </c>
      <c r="B1053" s="5">
        <v>43535.4204701967</v>
      </c>
      <c r="C1053" s="6">
        <v>1.045</v>
      </c>
      <c r="D1053" s="6">
        <v>68.0</v>
      </c>
      <c r="E1053" s="7" t="s">
        <v>7</v>
      </c>
      <c r="F1053" s="7" t="s">
        <v>8</v>
      </c>
      <c r="G1053" s="8"/>
    </row>
    <row r="1054">
      <c r="A1054" s="4">
        <v>43535.13925097222</v>
      </c>
      <c r="B1054" s="5">
        <v>43535.43089125</v>
      </c>
      <c r="C1054" s="6">
        <v>1.045</v>
      </c>
      <c r="D1054" s="6">
        <v>68.0</v>
      </c>
      <c r="E1054" s="7" t="s">
        <v>7</v>
      </c>
      <c r="F1054" s="7" t="s">
        <v>8</v>
      </c>
      <c r="G1054" s="8"/>
    </row>
    <row r="1055">
      <c r="A1055" s="4">
        <v>43535.149687627316</v>
      </c>
      <c r="B1055" s="5">
        <v>43535.4413244675</v>
      </c>
      <c r="C1055" s="6">
        <v>1.045</v>
      </c>
      <c r="D1055" s="6">
        <v>68.0</v>
      </c>
      <c r="E1055" s="7" t="s">
        <v>7</v>
      </c>
      <c r="F1055" s="7" t="s">
        <v>8</v>
      </c>
      <c r="G1055" s="8"/>
    </row>
    <row r="1056">
      <c r="A1056" s="4">
        <v>43535.16011225694</v>
      </c>
      <c r="B1056" s="5">
        <v>43535.4517467939</v>
      </c>
      <c r="C1056" s="6">
        <v>1.044</v>
      </c>
      <c r="D1056" s="6">
        <v>68.0</v>
      </c>
      <c r="E1056" s="7" t="s">
        <v>7</v>
      </c>
      <c r="F1056" s="7" t="s">
        <v>8</v>
      </c>
      <c r="G1056" s="8"/>
    </row>
    <row r="1057">
      <c r="A1057" s="4">
        <v>43535.17053621528</v>
      </c>
      <c r="B1057" s="5">
        <v>43535.4621676041</v>
      </c>
      <c r="C1057" s="6">
        <v>1.044</v>
      </c>
      <c r="D1057" s="6">
        <v>68.0</v>
      </c>
      <c r="E1057" s="7" t="s">
        <v>7</v>
      </c>
      <c r="F1057" s="7" t="s">
        <v>8</v>
      </c>
      <c r="G1057" s="8"/>
    </row>
    <row r="1058">
      <c r="A1058" s="4">
        <v>43535.180955937496</v>
      </c>
      <c r="B1058" s="5">
        <v>43535.4725886805</v>
      </c>
      <c r="C1058" s="6">
        <v>1.044</v>
      </c>
      <c r="D1058" s="6">
        <v>68.0</v>
      </c>
      <c r="E1058" s="7" t="s">
        <v>7</v>
      </c>
      <c r="F1058" s="7" t="s">
        <v>8</v>
      </c>
      <c r="G1058" s="8"/>
    </row>
    <row r="1059">
      <c r="A1059" s="4">
        <v>43535.191369085645</v>
      </c>
      <c r="B1059" s="5">
        <v>43535.4830085995</v>
      </c>
      <c r="C1059" s="6">
        <v>1.044</v>
      </c>
      <c r="D1059" s="6">
        <v>68.0</v>
      </c>
      <c r="E1059" s="7" t="s">
        <v>7</v>
      </c>
      <c r="F1059" s="7" t="s">
        <v>8</v>
      </c>
      <c r="G1059" s="8"/>
    </row>
    <row r="1060">
      <c r="A1060" s="4">
        <v>43535.202046805556</v>
      </c>
      <c r="B1060" s="5">
        <v>43535.4934292592</v>
      </c>
      <c r="C1060" s="6">
        <v>1.045</v>
      </c>
      <c r="D1060" s="6">
        <v>68.0</v>
      </c>
      <c r="E1060" s="7" t="s">
        <v>7</v>
      </c>
      <c r="F1060" s="7" t="s">
        <v>8</v>
      </c>
      <c r="G1060" s="8"/>
    </row>
    <row r="1061">
      <c r="A1061" s="4">
        <v>43535.21223974537</v>
      </c>
      <c r="B1061" s="5">
        <v>43535.5038731018</v>
      </c>
      <c r="C1061" s="6">
        <v>1.044</v>
      </c>
      <c r="D1061" s="6">
        <v>68.0</v>
      </c>
      <c r="E1061" s="7" t="s">
        <v>7</v>
      </c>
      <c r="F1061" s="7" t="s">
        <v>8</v>
      </c>
      <c r="G1061" s="8"/>
    </row>
    <row r="1062">
      <c r="A1062" s="4">
        <v>43535.22266626157</v>
      </c>
      <c r="B1062" s="5">
        <v>43535.5142941319</v>
      </c>
      <c r="C1062" s="6">
        <v>1.044</v>
      </c>
      <c r="D1062" s="6">
        <v>68.0</v>
      </c>
      <c r="E1062" s="7" t="s">
        <v>7</v>
      </c>
      <c r="F1062" s="7" t="s">
        <v>8</v>
      </c>
      <c r="G1062" s="8"/>
    </row>
    <row r="1063">
      <c r="A1063" s="4">
        <v>43535.23309119213</v>
      </c>
      <c r="B1063" s="5">
        <v>43535.5247287268</v>
      </c>
      <c r="C1063" s="6">
        <v>1.044</v>
      </c>
      <c r="D1063" s="6">
        <v>68.0</v>
      </c>
      <c r="E1063" s="7" t="s">
        <v>7</v>
      </c>
      <c r="F1063" s="7" t="s">
        <v>8</v>
      </c>
      <c r="G1063" s="8"/>
    </row>
    <row r="1064">
      <c r="A1064" s="4">
        <v>43535.243516689814</v>
      </c>
      <c r="B1064" s="5">
        <v>43535.5351520601</v>
      </c>
      <c r="C1064" s="6">
        <v>1.044</v>
      </c>
      <c r="D1064" s="6">
        <v>68.0</v>
      </c>
      <c r="E1064" s="7" t="s">
        <v>7</v>
      </c>
      <c r="F1064" s="7" t="s">
        <v>8</v>
      </c>
      <c r="G1064" s="8"/>
    </row>
    <row r="1065">
      <c r="A1065" s="4">
        <v>43535.25393450231</v>
      </c>
      <c r="B1065" s="5">
        <v>43535.5455738194</v>
      </c>
      <c r="C1065" s="6">
        <v>1.044</v>
      </c>
      <c r="D1065" s="6">
        <v>68.0</v>
      </c>
      <c r="E1065" s="7" t="s">
        <v>7</v>
      </c>
      <c r="F1065" s="7" t="s">
        <v>8</v>
      </c>
      <c r="G1065" s="8"/>
    </row>
    <row r="1066">
      <c r="A1066" s="4">
        <v>43535.26435736111</v>
      </c>
      <c r="B1066" s="5">
        <v>43535.5559963888</v>
      </c>
      <c r="C1066" s="6">
        <v>1.044</v>
      </c>
      <c r="D1066" s="6">
        <v>68.0</v>
      </c>
      <c r="E1066" s="7" t="s">
        <v>7</v>
      </c>
      <c r="F1066" s="7" t="s">
        <v>8</v>
      </c>
      <c r="G1066" s="8"/>
    </row>
    <row r="1067">
      <c r="A1067" s="4">
        <v>43535.27478047454</v>
      </c>
      <c r="B1067" s="5">
        <v>43535.5664189699</v>
      </c>
      <c r="C1067" s="6">
        <v>1.044</v>
      </c>
      <c r="D1067" s="6">
        <v>68.0</v>
      </c>
      <c r="E1067" s="7" t="s">
        <v>7</v>
      </c>
      <c r="F1067" s="7" t="s">
        <v>8</v>
      </c>
      <c r="G1067" s="8"/>
    </row>
    <row r="1068">
      <c r="A1068" s="4">
        <v>43535.285206678236</v>
      </c>
      <c r="B1068" s="5">
        <v>43535.5768400231</v>
      </c>
      <c r="C1068" s="6">
        <v>1.044</v>
      </c>
      <c r="D1068" s="6">
        <v>68.0</v>
      </c>
      <c r="E1068" s="7" t="s">
        <v>7</v>
      </c>
      <c r="F1068" s="7" t="s">
        <v>8</v>
      </c>
      <c r="G1068" s="8"/>
    </row>
    <row r="1069">
      <c r="A1069" s="4">
        <v>43535.295624189814</v>
      </c>
      <c r="B1069" s="5">
        <v>43535.5872598842</v>
      </c>
      <c r="C1069" s="6">
        <v>1.044</v>
      </c>
      <c r="D1069" s="6">
        <v>68.0</v>
      </c>
      <c r="E1069" s="7" t="s">
        <v>7</v>
      </c>
      <c r="F1069" s="7" t="s">
        <v>8</v>
      </c>
      <c r="G1069" s="8"/>
    </row>
    <row r="1070">
      <c r="A1070" s="4">
        <v>43535.306049074075</v>
      </c>
      <c r="B1070" s="5">
        <v>43535.5976827083</v>
      </c>
      <c r="C1070" s="6">
        <v>1.044</v>
      </c>
      <c r="D1070" s="6">
        <v>68.0</v>
      </c>
      <c r="E1070" s="7" t="s">
        <v>7</v>
      </c>
      <c r="F1070" s="7" t="s">
        <v>8</v>
      </c>
      <c r="G1070" s="8"/>
    </row>
    <row r="1071">
      <c r="A1071" s="4">
        <v>43535.31647269676</v>
      </c>
      <c r="B1071" s="5">
        <v>43535.6081026273</v>
      </c>
      <c r="C1071" s="6">
        <v>1.044</v>
      </c>
      <c r="D1071" s="6">
        <v>68.0</v>
      </c>
      <c r="E1071" s="7" t="s">
        <v>7</v>
      </c>
      <c r="F1071" s="7" t="s">
        <v>8</v>
      </c>
      <c r="G1071" s="8"/>
    </row>
    <row r="1072">
      <c r="A1072" s="4">
        <v>43535.32688584491</v>
      </c>
      <c r="B1072" s="5">
        <v>43535.6185243518</v>
      </c>
      <c r="C1072" s="6">
        <v>1.044</v>
      </c>
      <c r="D1072" s="6">
        <v>68.0</v>
      </c>
      <c r="E1072" s="7" t="s">
        <v>7</v>
      </c>
      <c r="F1072" s="7" t="s">
        <v>8</v>
      </c>
      <c r="G1072" s="8"/>
    </row>
    <row r="1073">
      <c r="A1073" s="4">
        <v>43535.337348807865</v>
      </c>
      <c r="B1073" s="5">
        <v>43535.6289799652</v>
      </c>
      <c r="C1073" s="6">
        <v>1.044</v>
      </c>
      <c r="D1073" s="6">
        <v>68.0</v>
      </c>
      <c r="E1073" s="7" t="s">
        <v>7</v>
      </c>
      <c r="F1073" s="7" t="s">
        <v>8</v>
      </c>
      <c r="G1073" s="8"/>
    </row>
    <row r="1074">
      <c r="A1074" s="4">
        <v>43535.34775936343</v>
      </c>
      <c r="B1074" s="5">
        <v>43535.6394013657</v>
      </c>
      <c r="C1074" s="6">
        <v>1.044</v>
      </c>
      <c r="D1074" s="6">
        <v>68.0</v>
      </c>
      <c r="E1074" s="7" t="s">
        <v>7</v>
      </c>
      <c r="F1074" s="7" t="s">
        <v>8</v>
      </c>
      <c r="G1074" s="8"/>
    </row>
    <row r="1075">
      <c r="A1075" s="4">
        <v>43535.358183344906</v>
      </c>
      <c r="B1075" s="5">
        <v>43535.6498234837</v>
      </c>
      <c r="C1075" s="6">
        <v>1.044</v>
      </c>
      <c r="D1075" s="6">
        <v>68.0</v>
      </c>
      <c r="E1075" s="7" t="s">
        <v>7</v>
      </c>
      <c r="F1075" s="7" t="s">
        <v>8</v>
      </c>
      <c r="G1075" s="8"/>
    </row>
    <row r="1076">
      <c r="A1076" s="4">
        <v>43535.36860383102</v>
      </c>
      <c r="B1076" s="5">
        <v>43535.6602462384</v>
      </c>
      <c r="C1076" s="6">
        <v>1.044</v>
      </c>
      <c r="D1076" s="6">
        <v>68.0</v>
      </c>
      <c r="E1076" s="7" t="s">
        <v>7</v>
      </c>
      <c r="F1076" s="7" t="s">
        <v>8</v>
      </c>
      <c r="G1076" s="8"/>
    </row>
    <row r="1077">
      <c r="A1077" s="4">
        <v>43535.3790353125</v>
      </c>
      <c r="B1077" s="5">
        <v>43535.6706780671</v>
      </c>
      <c r="C1077" s="6">
        <v>1.044</v>
      </c>
      <c r="D1077" s="6">
        <v>68.0</v>
      </c>
      <c r="E1077" s="7" t="s">
        <v>7</v>
      </c>
      <c r="F1077" s="7" t="s">
        <v>8</v>
      </c>
      <c r="G1077" s="8"/>
    </row>
    <row r="1078">
      <c r="A1078" s="4">
        <v>43535.38947797454</v>
      </c>
      <c r="B1078" s="5">
        <v>43535.6811006134</v>
      </c>
      <c r="C1078" s="6">
        <v>1.044</v>
      </c>
      <c r="D1078" s="6">
        <v>68.0</v>
      </c>
      <c r="E1078" s="7" t="s">
        <v>7</v>
      </c>
      <c r="F1078" s="7" t="s">
        <v>8</v>
      </c>
      <c r="G1078" s="8"/>
    </row>
    <row r="1079">
      <c r="A1079" s="4">
        <v>43535.39989239583</v>
      </c>
      <c r="B1079" s="5">
        <v>43535.6915242129</v>
      </c>
      <c r="C1079" s="6">
        <v>1.044</v>
      </c>
      <c r="D1079" s="6">
        <v>68.0</v>
      </c>
      <c r="E1079" s="7" t="s">
        <v>7</v>
      </c>
      <c r="F1079" s="7" t="s">
        <v>8</v>
      </c>
      <c r="G1079" s="8"/>
    </row>
    <row r="1080">
      <c r="A1080" s="4">
        <v>43535.41040228009</v>
      </c>
      <c r="B1080" s="5">
        <v>43535.7019801967</v>
      </c>
      <c r="C1080" s="6">
        <v>1.044</v>
      </c>
      <c r="D1080" s="6">
        <v>68.0</v>
      </c>
      <c r="E1080" s="7" t="s">
        <v>7</v>
      </c>
      <c r="F1080" s="7" t="s">
        <v>8</v>
      </c>
      <c r="G1080" s="8"/>
    </row>
    <row r="1081">
      <c r="A1081" s="4">
        <v>43535.42076662037</v>
      </c>
      <c r="B1081" s="5">
        <v>43535.7124001851</v>
      </c>
      <c r="C1081" s="6">
        <v>1.044</v>
      </c>
      <c r="D1081" s="6">
        <v>68.0</v>
      </c>
      <c r="E1081" s="7" t="s">
        <v>7</v>
      </c>
      <c r="F1081" s="7" t="s">
        <v>8</v>
      </c>
      <c r="G1081" s="8"/>
    </row>
    <row r="1082">
      <c r="A1082" s="4">
        <v>43535.43121733796</v>
      </c>
      <c r="B1082" s="5">
        <v>43535.7228452777</v>
      </c>
      <c r="C1082" s="6">
        <v>1.044</v>
      </c>
      <c r="D1082" s="6">
        <v>68.0</v>
      </c>
      <c r="E1082" s="7" t="s">
        <v>7</v>
      </c>
      <c r="F1082" s="7" t="s">
        <v>8</v>
      </c>
      <c r="G1082" s="8"/>
    </row>
    <row r="1083">
      <c r="A1083" s="4">
        <v>43535.44163722222</v>
      </c>
      <c r="B1083" s="5">
        <v>43535.7332645717</v>
      </c>
      <c r="C1083" s="6">
        <v>1.044</v>
      </c>
      <c r="D1083" s="6">
        <v>68.0</v>
      </c>
      <c r="E1083" s="7" t="s">
        <v>7</v>
      </c>
      <c r="F1083" s="7" t="s">
        <v>8</v>
      </c>
      <c r="G1083" s="8"/>
    </row>
    <row r="1084">
      <c r="A1084" s="4">
        <v>43535.45205252315</v>
      </c>
      <c r="B1084" s="5">
        <v>43535.7436867824</v>
      </c>
      <c r="C1084" s="6">
        <v>1.044</v>
      </c>
      <c r="D1084" s="6">
        <v>68.0</v>
      </c>
      <c r="E1084" s="7" t="s">
        <v>7</v>
      </c>
      <c r="F1084" s="7" t="s">
        <v>8</v>
      </c>
      <c r="G1084" s="8"/>
    </row>
    <row r="1085">
      <c r="A1085" s="4">
        <v>43535.462476643515</v>
      </c>
      <c r="B1085" s="5">
        <v>43535.7541070601</v>
      </c>
      <c r="C1085" s="6">
        <v>1.044</v>
      </c>
      <c r="D1085" s="6">
        <v>68.0</v>
      </c>
      <c r="E1085" s="7" t="s">
        <v>7</v>
      </c>
      <c r="F1085" s="7" t="s">
        <v>8</v>
      </c>
      <c r="G1085" s="8"/>
    </row>
    <row r="1086">
      <c r="A1086" s="4">
        <v>43535.472898645836</v>
      </c>
      <c r="B1086" s="5">
        <v>43535.7645292939</v>
      </c>
      <c r="C1086" s="6">
        <v>1.044</v>
      </c>
      <c r="D1086" s="6">
        <v>68.0</v>
      </c>
      <c r="E1086" s="7" t="s">
        <v>7</v>
      </c>
      <c r="F1086" s="7" t="s">
        <v>8</v>
      </c>
      <c r="G1086" s="8"/>
    </row>
    <row r="1087">
      <c r="A1087" s="4">
        <v>43535.483316620375</v>
      </c>
      <c r="B1087" s="5">
        <v>43535.7749500115</v>
      </c>
      <c r="C1087" s="6">
        <v>1.044</v>
      </c>
      <c r="D1087" s="6">
        <v>68.0</v>
      </c>
      <c r="E1087" s="7" t="s">
        <v>7</v>
      </c>
      <c r="F1087" s="7" t="s">
        <v>8</v>
      </c>
      <c r="G1087" s="8"/>
    </row>
    <row r="1088">
      <c r="A1088" s="4">
        <v>43535.49373631945</v>
      </c>
      <c r="B1088" s="5">
        <v>43535.7853697453</v>
      </c>
      <c r="C1088" s="6">
        <v>1.044</v>
      </c>
      <c r="D1088" s="6">
        <v>68.0</v>
      </c>
      <c r="E1088" s="7" t="s">
        <v>7</v>
      </c>
      <c r="F1088" s="7" t="s">
        <v>8</v>
      </c>
      <c r="G1088" s="8"/>
    </row>
    <row r="1089">
      <c r="A1089" s="4">
        <v>43535.50414875</v>
      </c>
      <c r="B1089" s="5">
        <v>43535.7957898842</v>
      </c>
      <c r="C1089" s="6">
        <v>1.044</v>
      </c>
      <c r="D1089" s="6">
        <v>68.0</v>
      </c>
      <c r="E1089" s="7" t="s">
        <v>7</v>
      </c>
      <c r="F1089" s="7" t="s">
        <v>8</v>
      </c>
      <c r="G1089" s="8"/>
    </row>
    <row r="1090">
      <c r="A1090" s="4">
        <v>43535.514643726856</v>
      </c>
      <c r="B1090" s="5">
        <v>43535.8062120023</v>
      </c>
      <c r="C1090" s="6">
        <v>1.044</v>
      </c>
      <c r="D1090" s="6">
        <v>68.0</v>
      </c>
      <c r="E1090" s="7" t="s">
        <v>7</v>
      </c>
      <c r="F1090" s="7" t="s">
        <v>8</v>
      </c>
      <c r="G1090" s="8"/>
    </row>
    <row r="1091">
      <c r="A1091" s="4">
        <v>43535.52499755787</v>
      </c>
      <c r="B1091" s="5">
        <v>43535.8166323263</v>
      </c>
      <c r="C1091" s="6">
        <v>1.044</v>
      </c>
      <c r="D1091" s="6">
        <v>68.0</v>
      </c>
      <c r="E1091" s="7" t="s">
        <v>7</v>
      </c>
      <c r="F1091" s="7" t="s">
        <v>8</v>
      </c>
      <c r="G1091" s="8"/>
    </row>
    <row r="1092">
      <c r="A1092" s="4">
        <v>43535.53542211806</v>
      </c>
      <c r="B1092" s="5">
        <v>43535.8270539583</v>
      </c>
      <c r="C1092" s="6">
        <v>1.044</v>
      </c>
      <c r="D1092" s="6">
        <v>68.0</v>
      </c>
      <c r="E1092" s="7" t="s">
        <v>7</v>
      </c>
      <c r="F1092" s="7" t="s">
        <v>8</v>
      </c>
      <c r="G1092" s="8"/>
    </row>
    <row r="1093">
      <c r="A1093" s="4">
        <v>43535.54584460648</v>
      </c>
      <c r="B1093" s="5">
        <v>43535.8374761689</v>
      </c>
      <c r="C1093" s="6">
        <v>1.044</v>
      </c>
      <c r="D1093" s="6">
        <v>68.0</v>
      </c>
      <c r="E1093" s="7" t="s">
        <v>7</v>
      </c>
      <c r="F1093" s="7" t="s">
        <v>8</v>
      </c>
      <c r="G1093" s="8"/>
    </row>
    <row r="1094">
      <c r="A1094" s="4">
        <v>43535.5562784838</v>
      </c>
      <c r="B1094" s="5">
        <v>43535.8479096759</v>
      </c>
      <c r="C1094" s="6">
        <v>1.044</v>
      </c>
      <c r="D1094" s="6">
        <v>68.0</v>
      </c>
      <c r="E1094" s="7" t="s">
        <v>7</v>
      </c>
      <c r="F1094" s="7" t="s">
        <v>8</v>
      </c>
      <c r="G1094" s="8"/>
    </row>
    <row r="1095">
      <c r="A1095" s="4">
        <v>43535.56670667824</v>
      </c>
      <c r="B1095" s="5">
        <v>43535.8583296527</v>
      </c>
      <c r="C1095" s="6">
        <v>1.044</v>
      </c>
      <c r="D1095" s="6">
        <v>68.0</v>
      </c>
      <c r="E1095" s="7" t="s">
        <v>7</v>
      </c>
      <c r="F1095" s="7" t="s">
        <v>8</v>
      </c>
      <c r="G1095" s="8"/>
    </row>
    <row r="1096">
      <c r="A1096" s="4">
        <v>43535.577118009256</v>
      </c>
      <c r="B1096" s="5">
        <v>43535.8687505092</v>
      </c>
      <c r="C1096" s="6">
        <v>1.044</v>
      </c>
      <c r="D1096" s="6">
        <v>68.0</v>
      </c>
      <c r="E1096" s="7" t="s">
        <v>7</v>
      </c>
      <c r="F1096" s="7" t="s">
        <v>8</v>
      </c>
      <c r="G1096" s="8"/>
    </row>
    <row r="1097">
      <c r="A1097" s="4">
        <v>43535.58754173611</v>
      </c>
      <c r="B1097" s="5">
        <v>43535.8791735069</v>
      </c>
      <c r="C1097" s="6">
        <v>1.044</v>
      </c>
      <c r="D1097" s="6">
        <v>68.0</v>
      </c>
      <c r="E1097" s="7" t="s">
        <v>7</v>
      </c>
      <c r="F1097" s="7" t="s">
        <v>8</v>
      </c>
      <c r="G1097" s="8"/>
    </row>
    <row r="1098">
      <c r="A1098" s="4">
        <v>43535.59796702546</v>
      </c>
      <c r="B1098" s="5">
        <v>43535.8896054629</v>
      </c>
      <c r="C1098" s="6">
        <v>1.044</v>
      </c>
      <c r="D1098" s="6">
        <v>68.0</v>
      </c>
      <c r="E1098" s="7" t="s">
        <v>7</v>
      </c>
      <c r="F1098" s="7" t="s">
        <v>8</v>
      </c>
      <c r="G1098" s="8"/>
    </row>
    <row r="1099">
      <c r="A1099" s="4">
        <v>43535.60839555555</v>
      </c>
      <c r="B1099" s="5">
        <v>43535.900027118</v>
      </c>
      <c r="C1099" s="6">
        <v>1.044</v>
      </c>
      <c r="D1099" s="6">
        <v>68.0</v>
      </c>
      <c r="E1099" s="7" t="s">
        <v>7</v>
      </c>
      <c r="F1099" s="7" t="s">
        <v>8</v>
      </c>
      <c r="G1099" s="8"/>
    </row>
    <row r="1100">
      <c r="A1100" s="4">
        <v>43535.618819282405</v>
      </c>
      <c r="B1100" s="5">
        <v>43535.9104576736</v>
      </c>
      <c r="C1100" s="6">
        <v>1.044</v>
      </c>
      <c r="D1100" s="6">
        <v>68.0</v>
      </c>
      <c r="E1100" s="7" t="s">
        <v>7</v>
      </c>
      <c r="F1100" s="7" t="s">
        <v>8</v>
      </c>
      <c r="G1100" s="8"/>
    </row>
    <row r="1101">
      <c r="A1101" s="4">
        <v>43535.62936239583</v>
      </c>
      <c r="B1101" s="5">
        <v>43535.9208781481</v>
      </c>
      <c r="C1101" s="6">
        <v>1.044</v>
      </c>
      <c r="D1101" s="6">
        <v>68.0</v>
      </c>
      <c r="E1101" s="7" t="s">
        <v>7</v>
      </c>
      <c r="F1101" s="7" t="s">
        <v>8</v>
      </c>
      <c r="G1101" s="8"/>
    </row>
    <row r="1102">
      <c r="A1102" s="4">
        <v>43535.63966738426</v>
      </c>
      <c r="B1102" s="5">
        <v>43535.9312992824</v>
      </c>
      <c r="C1102" s="6">
        <v>1.044</v>
      </c>
      <c r="D1102" s="6">
        <v>68.0</v>
      </c>
      <c r="E1102" s="7" t="s">
        <v>7</v>
      </c>
      <c r="F1102" s="7" t="s">
        <v>8</v>
      </c>
      <c r="G1102" s="8"/>
    </row>
    <row r="1103">
      <c r="A1103" s="4">
        <v>43535.65008226852</v>
      </c>
      <c r="B1103" s="5">
        <v>43535.9417218865</v>
      </c>
      <c r="C1103" s="6">
        <v>1.044</v>
      </c>
      <c r="D1103" s="6">
        <v>68.0</v>
      </c>
      <c r="E1103" s="7" t="s">
        <v>7</v>
      </c>
      <c r="F1103" s="7" t="s">
        <v>8</v>
      </c>
      <c r="G1103" s="8"/>
    </row>
    <row r="1104">
      <c r="A1104" s="4">
        <v>43535.660510023146</v>
      </c>
      <c r="B1104" s="5">
        <v>43535.9521426041</v>
      </c>
      <c r="C1104" s="6">
        <v>1.044</v>
      </c>
      <c r="D1104" s="6">
        <v>68.0</v>
      </c>
      <c r="E1104" s="7" t="s">
        <v>7</v>
      </c>
      <c r="F1104" s="7" t="s">
        <v>8</v>
      </c>
      <c r="G1104" s="8"/>
    </row>
    <row r="1105">
      <c r="A1105" s="4">
        <v>43535.67094412037</v>
      </c>
      <c r="B1105" s="5">
        <v>43535.962563287</v>
      </c>
      <c r="C1105" s="6">
        <v>1.044</v>
      </c>
      <c r="D1105" s="6">
        <v>68.0</v>
      </c>
      <c r="E1105" s="7" t="s">
        <v>7</v>
      </c>
      <c r="F1105" s="7" t="s">
        <v>8</v>
      </c>
      <c r="G1105" s="8"/>
    </row>
    <row r="1106">
      <c r="A1106" s="4">
        <v>43535.68136</v>
      </c>
      <c r="B1106" s="5">
        <v>43535.972985243</v>
      </c>
      <c r="C1106" s="6">
        <v>1.044</v>
      </c>
      <c r="D1106" s="6">
        <v>68.0</v>
      </c>
      <c r="E1106" s="7" t="s">
        <v>7</v>
      </c>
      <c r="F1106" s="7" t="s">
        <v>8</v>
      </c>
      <c r="G1106" s="8"/>
    </row>
    <row r="1107">
      <c r="A1107" s="4">
        <v>43535.691771134254</v>
      </c>
      <c r="B1107" s="5">
        <v>43535.9834068402</v>
      </c>
      <c r="C1107" s="6">
        <v>1.044</v>
      </c>
      <c r="D1107" s="6">
        <v>68.0</v>
      </c>
      <c r="E1107" s="7" t="s">
        <v>7</v>
      </c>
      <c r="F1107" s="7" t="s">
        <v>8</v>
      </c>
      <c r="G1107" s="8"/>
    </row>
    <row r="1108">
      <c r="A1108" s="4">
        <v>43535.70218482639</v>
      </c>
      <c r="B1108" s="5">
        <v>43535.9938285069</v>
      </c>
      <c r="C1108" s="6">
        <v>1.044</v>
      </c>
      <c r="D1108" s="6">
        <v>68.0</v>
      </c>
      <c r="E1108" s="7" t="s">
        <v>7</v>
      </c>
      <c r="F1108" s="7" t="s">
        <v>8</v>
      </c>
      <c r="G1108" s="8"/>
    </row>
    <row r="1109">
      <c r="A1109" s="4">
        <v>43535.71261311343</v>
      </c>
      <c r="B1109" s="5">
        <v>43536.0042513425</v>
      </c>
      <c r="C1109" s="6">
        <v>1.044</v>
      </c>
      <c r="D1109" s="6">
        <v>68.0</v>
      </c>
      <c r="E1109" s="7" t="s">
        <v>7</v>
      </c>
      <c r="F1109" s="7" t="s">
        <v>8</v>
      </c>
      <c r="G1109" s="8"/>
    </row>
    <row r="1110">
      <c r="A1110" s="4">
        <v>43535.72303616898</v>
      </c>
      <c r="B1110" s="5">
        <v>43536.0146726388</v>
      </c>
      <c r="C1110" s="6">
        <v>1.044</v>
      </c>
      <c r="D1110" s="6">
        <v>68.0</v>
      </c>
      <c r="E1110" s="7" t="s">
        <v>7</v>
      </c>
      <c r="F1110" s="7" t="s">
        <v>8</v>
      </c>
      <c r="G1110" s="8"/>
    </row>
    <row r="1111">
      <c r="A1111" s="4">
        <v>43535.73346240741</v>
      </c>
      <c r="B1111" s="5">
        <v>43536.0250938078</v>
      </c>
      <c r="C1111" s="6">
        <v>1.044</v>
      </c>
      <c r="D1111" s="6">
        <v>68.0</v>
      </c>
      <c r="E1111" s="7" t="s">
        <v>7</v>
      </c>
      <c r="F1111" s="7" t="s">
        <v>8</v>
      </c>
      <c r="G1111" s="8"/>
    </row>
    <row r="1112">
      <c r="A1112" s="4">
        <v>43535.74388686343</v>
      </c>
      <c r="B1112" s="5">
        <v>43536.0355147222</v>
      </c>
      <c r="C1112" s="6">
        <v>1.044</v>
      </c>
      <c r="D1112" s="6">
        <v>68.0</v>
      </c>
      <c r="E1112" s="7" t="s">
        <v>7</v>
      </c>
      <c r="F1112" s="7" t="s">
        <v>8</v>
      </c>
      <c r="G1112" s="8"/>
    </row>
    <row r="1113">
      <c r="A1113" s="4">
        <v>43535.75430188657</v>
      </c>
      <c r="B1113" s="5">
        <v>43536.0459350115</v>
      </c>
      <c r="C1113" s="6">
        <v>1.044</v>
      </c>
      <c r="D1113" s="6">
        <v>68.0</v>
      </c>
      <c r="E1113" s="7" t="s">
        <v>7</v>
      </c>
      <c r="F1113" s="7" t="s">
        <v>8</v>
      </c>
      <c r="G1113" s="8"/>
    </row>
    <row r="1114">
      <c r="A1114" s="4">
        <v>43535.76473180555</v>
      </c>
      <c r="B1114" s="5">
        <v>43536.0563677314</v>
      </c>
      <c r="C1114" s="6">
        <v>1.044</v>
      </c>
      <c r="D1114" s="6">
        <v>68.0</v>
      </c>
      <c r="E1114" s="7" t="s">
        <v>7</v>
      </c>
      <c r="F1114" s="7" t="s">
        <v>8</v>
      </c>
      <c r="G1114" s="8"/>
    </row>
    <row r="1115">
      <c r="A1115" s="4">
        <v>43535.7751547338</v>
      </c>
      <c r="B1115" s="5">
        <v>43536.0667898032</v>
      </c>
      <c r="C1115" s="6">
        <v>1.044</v>
      </c>
      <c r="D1115" s="6">
        <v>68.0</v>
      </c>
      <c r="E1115" s="7" t="s">
        <v>7</v>
      </c>
      <c r="F1115" s="7" t="s">
        <v>8</v>
      </c>
      <c r="G1115" s="8"/>
    </row>
    <row r="1116">
      <c r="A1116" s="4">
        <v>43535.78559</v>
      </c>
      <c r="B1116" s="5">
        <v>43536.0772218634</v>
      </c>
      <c r="C1116" s="6">
        <v>1.043</v>
      </c>
      <c r="D1116" s="6">
        <v>68.0</v>
      </c>
      <c r="E1116" s="7" t="s">
        <v>7</v>
      </c>
      <c r="F1116" s="7" t="s">
        <v>8</v>
      </c>
      <c r="G1116" s="8"/>
    </row>
    <row r="1117">
      <c r="A1117" s="4">
        <v>43535.79603211806</v>
      </c>
      <c r="B1117" s="5">
        <v>43536.0876557638</v>
      </c>
      <c r="C1117" s="6">
        <v>1.043</v>
      </c>
      <c r="D1117" s="6">
        <v>68.0</v>
      </c>
      <c r="E1117" s="7" t="s">
        <v>7</v>
      </c>
      <c r="F1117" s="7" t="s">
        <v>8</v>
      </c>
      <c r="G1117" s="8"/>
    </row>
    <row r="1118">
      <c r="A1118" s="4">
        <v>43535.806443368056</v>
      </c>
      <c r="B1118" s="5">
        <v>43536.0980774189</v>
      </c>
      <c r="C1118" s="6">
        <v>1.044</v>
      </c>
      <c r="D1118" s="6">
        <v>68.0</v>
      </c>
      <c r="E1118" s="7" t="s">
        <v>7</v>
      </c>
      <c r="F1118" s="7" t="s">
        <v>8</v>
      </c>
      <c r="G1118" s="8"/>
    </row>
    <row r="1119">
      <c r="A1119" s="4">
        <v>43535.816867685186</v>
      </c>
      <c r="B1119" s="5">
        <v>43536.1084992245</v>
      </c>
      <c r="C1119" s="6">
        <v>1.044</v>
      </c>
      <c r="D1119" s="6">
        <v>68.0</v>
      </c>
      <c r="E1119" s="7" t="s">
        <v>7</v>
      </c>
      <c r="F1119" s="7" t="s">
        <v>8</v>
      </c>
      <c r="G1119" s="8"/>
    </row>
    <row r="1120">
      <c r="A1120" s="4">
        <v>43535.827298379634</v>
      </c>
      <c r="B1120" s="5">
        <v>43536.1189320717</v>
      </c>
      <c r="C1120" s="6">
        <v>1.043</v>
      </c>
      <c r="D1120" s="6">
        <v>68.0</v>
      </c>
      <c r="E1120" s="7" t="s">
        <v>7</v>
      </c>
      <c r="F1120" s="7" t="s">
        <v>8</v>
      </c>
      <c r="G1120" s="8"/>
    </row>
    <row r="1121">
      <c r="A1121" s="4">
        <v>43535.83772601852</v>
      </c>
      <c r="B1121" s="5">
        <v>43536.1293530555</v>
      </c>
      <c r="C1121" s="6">
        <v>1.044</v>
      </c>
      <c r="D1121" s="6">
        <v>68.0</v>
      </c>
      <c r="E1121" s="7" t="s">
        <v>7</v>
      </c>
      <c r="F1121" s="7" t="s">
        <v>8</v>
      </c>
      <c r="G1121" s="8"/>
    </row>
    <row r="1122">
      <c r="A1122" s="4">
        <v>43535.84814173611</v>
      </c>
      <c r="B1122" s="5">
        <v>43536.1397758101</v>
      </c>
      <c r="C1122" s="6">
        <v>1.043</v>
      </c>
      <c r="D1122" s="6">
        <v>68.0</v>
      </c>
      <c r="E1122" s="7" t="s">
        <v>7</v>
      </c>
      <c r="F1122" s="7" t="s">
        <v>8</v>
      </c>
      <c r="G1122" s="8"/>
    </row>
    <row r="1123">
      <c r="A1123" s="4">
        <v>43535.858572129626</v>
      </c>
      <c r="B1123" s="5">
        <v>43536.1501976388</v>
      </c>
      <c r="C1123" s="6">
        <v>1.044</v>
      </c>
      <c r="D1123" s="6">
        <v>68.0</v>
      </c>
      <c r="E1123" s="7" t="s">
        <v>7</v>
      </c>
      <c r="F1123" s="7" t="s">
        <v>8</v>
      </c>
      <c r="G1123" s="8"/>
    </row>
    <row r="1124">
      <c r="A1124" s="4">
        <v>43535.868985277775</v>
      </c>
      <c r="B1124" s="5">
        <v>43536.1606182986</v>
      </c>
      <c r="C1124" s="6">
        <v>1.043</v>
      </c>
      <c r="D1124" s="6">
        <v>68.0</v>
      </c>
      <c r="E1124" s="7" t="s">
        <v>7</v>
      </c>
      <c r="F1124" s="7" t="s">
        <v>8</v>
      </c>
      <c r="G1124" s="8"/>
    </row>
    <row r="1125">
      <c r="A1125" s="4">
        <v>43535.87941415509</v>
      </c>
      <c r="B1125" s="5">
        <v>43536.1710509259</v>
      </c>
      <c r="C1125" s="6">
        <v>1.043</v>
      </c>
      <c r="D1125" s="6">
        <v>68.0</v>
      </c>
      <c r="E1125" s="7" t="s">
        <v>7</v>
      </c>
      <c r="F1125" s="7" t="s">
        <v>8</v>
      </c>
      <c r="G1125" s="8"/>
    </row>
    <row r="1126">
      <c r="A1126" s="4">
        <v>43535.88984238426</v>
      </c>
      <c r="B1126" s="5">
        <v>43536.1814716088</v>
      </c>
      <c r="C1126" s="6">
        <v>1.043</v>
      </c>
      <c r="D1126" s="6">
        <v>68.0</v>
      </c>
      <c r="E1126" s="7" t="s">
        <v>7</v>
      </c>
      <c r="F1126" s="7" t="s">
        <v>8</v>
      </c>
      <c r="G1126" s="8"/>
    </row>
    <row r="1127">
      <c r="A1127" s="4">
        <v>43535.90026033565</v>
      </c>
      <c r="B1127" s="5">
        <v>43536.1918922569</v>
      </c>
      <c r="C1127" s="6">
        <v>1.043</v>
      </c>
      <c r="D1127" s="6">
        <v>68.0</v>
      </c>
      <c r="E1127" s="7" t="s">
        <v>7</v>
      </c>
      <c r="F1127" s="7" t="s">
        <v>8</v>
      </c>
      <c r="G1127" s="8"/>
    </row>
    <row r="1128">
      <c r="A1128" s="4">
        <v>43535.91068409722</v>
      </c>
      <c r="B1128" s="5">
        <v>43536.202313993</v>
      </c>
      <c r="C1128" s="6">
        <v>1.043</v>
      </c>
      <c r="D1128" s="6">
        <v>68.0</v>
      </c>
      <c r="E1128" s="7" t="s">
        <v>7</v>
      </c>
      <c r="F1128" s="7" t="s">
        <v>8</v>
      </c>
      <c r="G1128" s="8"/>
    </row>
    <row r="1129">
      <c r="A1129" s="4">
        <v>43535.92111026621</v>
      </c>
      <c r="B1129" s="5">
        <v>43536.2127370254</v>
      </c>
      <c r="C1129" s="6">
        <v>1.043</v>
      </c>
      <c r="D1129" s="6">
        <v>68.0</v>
      </c>
      <c r="E1129" s="7" t="s">
        <v>7</v>
      </c>
      <c r="F1129" s="7" t="s">
        <v>8</v>
      </c>
      <c r="G1129" s="8"/>
    </row>
    <row r="1130">
      <c r="A1130" s="4">
        <v>43535.93169405093</v>
      </c>
      <c r="B1130" s="5">
        <v>43536.2231571064</v>
      </c>
      <c r="C1130" s="6">
        <v>1.043</v>
      </c>
      <c r="D1130" s="6">
        <v>68.0</v>
      </c>
      <c r="E1130" s="7" t="s">
        <v>7</v>
      </c>
      <c r="F1130" s="7" t="s">
        <v>8</v>
      </c>
      <c r="G1130" s="8"/>
    </row>
    <row r="1131">
      <c r="A1131" s="4">
        <v>43535.94194256944</v>
      </c>
      <c r="B1131" s="5">
        <v>43536.2335784259</v>
      </c>
      <c r="C1131" s="6">
        <v>1.043</v>
      </c>
      <c r="D1131" s="6">
        <v>68.0</v>
      </c>
      <c r="E1131" s="7" t="s">
        <v>7</v>
      </c>
      <c r="F1131" s="7" t="s">
        <v>8</v>
      </c>
      <c r="G1131" s="8"/>
    </row>
    <row r="1132">
      <c r="A1132" s="4">
        <v>43535.95237554398</v>
      </c>
      <c r="B1132" s="5">
        <v>43536.2439987384</v>
      </c>
      <c r="C1132" s="6">
        <v>1.043</v>
      </c>
      <c r="D1132" s="6">
        <v>68.0</v>
      </c>
      <c r="E1132" s="7" t="s">
        <v>7</v>
      </c>
      <c r="F1132" s="7" t="s">
        <v>8</v>
      </c>
      <c r="G1132" s="8"/>
    </row>
    <row r="1133">
      <c r="A1133" s="4">
        <v>43535.96281596065</v>
      </c>
      <c r="B1133" s="5">
        <v>43536.2544532986</v>
      </c>
      <c r="C1133" s="6">
        <v>1.044</v>
      </c>
      <c r="D1133" s="6">
        <v>68.0</v>
      </c>
      <c r="E1133" s="7" t="s">
        <v>7</v>
      </c>
      <c r="F1133" s="7" t="s">
        <v>8</v>
      </c>
      <c r="G1133" s="8"/>
    </row>
    <row r="1134">
      <c r="A1134" s="4">
        <v>43535.97323804398</v>
      </c>
      <c r="B1134" s="5">
        <v>43536.2648753124</v>
      </c>
      <c r="C1134" s="6">
        <v>1.043</v>
      </c>
      <c r="D1134" s="6">
        <v>68.0</v>
      </c>
      <c r="E1134" s="7" t="s">
        <v>7</v>
      </c>
      <c r="F1134" s="7" t="s">
        <v>8</v>
      </c>
      <c r="G1134" s="8"/>
    </row>
    <row r="1135">
      <c r="A1135" s="4">
        <v>43535.9836650463</v>
      </c>
      <c r="B1135" s="5">
        <v>43536.275295868</v>
      </c>
      <c r="C1135" s="6">
        <v>1.043</v>
      </c>
      <c r="D1135" s="6">
        <v>68.0</v>
      </c>
      <c r="E1135" s="7" t="s">
        <v>7</v>
      </c>
      <c r="F1135" s="7" t="s">
        <v>8</v>
      </c>
      <c r="G1135" s="8"/>
    </row>
    <row r="1136">
      <c r="A1136" s="4">
        <v>43535.99410542824</v>
      </c>
      <c r="B1136" s="5">
        <v>43536.2857411458</v>
      </c>
      <c r="C1136" s="6">
        <v>1.043</v>
      </c>
      <c r="D1136" s="6">
        <v>68.0</v>
      </c>
      <c r="E1136" s="7" t="s">
        <v>7</v>
      </c>
      <c r="F1136" s="7" t="s">
        <v>8</v>
      </c>
      <c r="G1136" s="8"/>
    </row>
    <row r="1137">
      <c r="A1137" s="4">
        <v>43536.00453484953</v>
      </c>
      <c r="B1137" s="5">
        <v>43536.2961633912</v>
      </c>
      <c r="C1137" s="6">
        <v>1.043</v>
      </c>
      <c r="D1137" s="6">
        <v>68.0</v>
      </c>
      <c r="E1137" s="7" t="s">
        <v>7</v>
      </c>
      <c r="F1137" s="7" t="s">
        <v>8</v>
      </c>
      <c r="G1137" s="8"/>
    </row>
    <row r="1138">
      <c r="A1138" s="4">
        <v>43536.01496136574</v>
      </c>
      <c r="B1138" s="5">
        <v>43536.3065955902</v>
      </c>
      <c r="C1138" s="6">
        <v>1.043</v>
      </c>
      <c r="D1138" s="6">
        <v>68.0</v>
      </c>
      <c r="E1138" s="7" t="s">
        <v>7</v>
      </c>
      <c r="F1138" s="7" t="s">
        <v>8</v>
      </c>
      <c r="G1138" s="8"/>
    </row>
    <row r="1139">
      <c r="A1139" s="4">
        <v>43536.02538497685</v>
      </c>
      <c r="B1139" s="5">
        <v>43536.3170175463</v>
      </c>
      <c r="C1139" s="6">
        <v>1.043</v>
      </c>
      <c r="D1139" s="6">
        <v>68.0</v>
      </c>
      <c r="E1139" s="7" t="s">
        <v>7</v>
      </c>
      <c r="F1139" s="7" t="s">
        <v>8</v>
      </c>
      <c r="G1139" s="8"/>
    </row>
    <row r="1140">
      <c r="A1140" s="4">
        <v>43536.035809479166</v>
      </c>
      <c r="B1140" s="5">
        <v>43536.327439456</v>
      </c>
      <c r="C1140" s="6">
        <v>1.043</v>
      </c>
      <c r="D1140" s="6">
        <v>68.0</v>
      </c>
      <c r="E1140" s="7" t="s">
        <v>7</v>
      </c>
      <c r="F1140" s="7" t="s">
        <v>8</v>
      </c>
      <c r="G1140" s="8"/>
    </row>
    <row r="1141">
      <c r="A1141" s="4">
        <v>43536.04623975694</v>
      </c>
      <c r="B1141" s="5">
        <v>43536.3378733796</v>
      </c>
      <c r="C1141" s="6">
        <v>1.043</v>
      </c>
      <c r="D1141" s="6">
        <v>68.0</v>
      </c>
      <c r="E1141" s="7" t="s">
        <v>7</v>
      </c>
      <c r="F1141" s="7" t="s">
        <v>8</v>
      </c>
      <c r="G1141" s="8"/>
    </row>
    <row r="1142">
      <c r="A1142" s="4">
        <v>43536.05666611111</v>
      </c>
      <c r="B1142" s="5">
        <v>43536.3482959259</v>
      </c>
      <c r="C1142" s="6">
        <v>1.043</v>
      </c>
      <c r="D1142" s="6">
        <v>68.0</v>
      </c>
      <c r="E1142" s="7" t="s">
        <v>7</v>
      </c>
      <c r="F1142" s="7" t="s">
        <v>8</v>
      </c>
      <c r="G1142" s="8"/>
    </row>
    <row r="1143">
      <c r="A1143" s="4">
        <v>43536.06708596065</v>
      </c>
      <c r="B1143" s="5">
        <v>43536.3587164467</v>
      </c>
      <c r="C1143" s="6">
        <v>1.043</v>
      </c>
      <c r="D1143" s="6">
        <v>68.0</v>
      </c>
      <c r="E1143" s="7" t="s">
        <v>7</v>
      </c>
      <c r="F1143" s="7" t="s">
        <v>8</v>
      </c>
      <c r="G1143" s="8"/>
    </row>
    <row r="1144">
      <c r="A1144" s="4">
        <v>43536.0775125463</v>
      </c>
      <c r="B1144" s="5">
        <v>43536.3691378703</v>
      </c>
      <c r="C1144" s="6">
        <v>1.043</v>
      </c>
      <c r="D1144" s="6">
        <v>68.0</v>
      </c>
      <c r="E1144" s="7" t="s">
        <v>7</v>
      </c>
      <c r="F1144" s="7" t="s">
        <v>8</v>
      </c>
      <c r="G1144" s="8"/>
    </row>
    <row r="1145">
      <c r="A1145" s="4">
        <v>43536.08792576389</v>
      </c>
      <c r="B1145" s="5">
        <v>43536.3795605439</v>
      </c>
      <c r="C1145" s="6">
        <v>1.043</v>
      </c>
      <c r="D1145" s="6">
        <v>68.0</v>
      </c>
      <c r="E1145" s="7" t="s">
        <v>7</v>
      </c>
      <c r="F1145" s="7" t="s">
        <v>8</v>
      </c>
      <c r="G1145" s="8"/>
    </row>
    <row r="1146">
      <c r="A1146" s="4">
        <v>43536.09834711805</v>
      </c>
      <c r="B1146" s="5">
        <v>43536.3899801041</v>
      </c>
      <c r="C1146" s="6">
        <v>1.043</v>
      </c>
      <c r="D1146" s="6">
        <v>68.0</v>
      </c>
      <c r="E1146" s="7" t="s">
        <v>7</v>
      </c>
      <c r="F1146" s="7" t="s">
        <v>8</v>
      </c>
      <c r="G1146" s="8"/>
    </row>
    <row r="1147">
      <c r="A1147" s="4">
        <v>43536.10876012732</v>
      </c>
      <c r="B1147" s="5">
        <v>43536.4004012037</v>
      </c>
      <c r="C1147" s="6">
        <v>1.043</v>
      </c>
      <c r="D1147" s="6">
        <v>68.0</v>
      </c>
      <c r="E1147" s="7" t="s">
        <v>7</v>
      </c>
      <c r="F1147" s="7" t="s">
        <v>8</v>
      </c>
      <c r="G1147" s="8"/>
    </row>
    <row r="1148">
      <c r="A1148" s="4">
        <v>43536.11918961805</v>
      </c>
      <c r="B1148" s="5">
        <v>43536.4108216319</v>
      </c>
      <c r="C1148" s="6">
        <v>1.043</v>
      </c>
      <c r="D1148" s="6">
        <v>68.0</v>
      </c>
      <c r="E1148" s="7" t="s">
        <v>7</v>
      </c>
      <c r="F1148" s="7" t="s">
        <v>8</v>
      </c>
      <c r="G1148" s="8"/>
    </row>
    <row r="1149">
      <c r="A1149" s="4">
        <v>43536.12961631945</v>
      </c>
      <c r="B1149" s="5">
        <v>43536.4212446064</v>
      </c>
      <c r="C1149" s="6">
        <v>1.043</v>
      </c>
      <c r="D1149" s="6">
        <v>68.0</v>
      </c>
      <c r="E1149" s="7" t="s">
        <v>7</v>
      </c>
      <c r="F1149" s="7" t="s">
        <v>8</v>
      </c>
      <c r="G1149" s="8"/>
    </row>
    <row r="1150">
      <c r="A1150" s="4">
        <v>43536.14002697916</v>
      </c>
      <c r="B1150" s="5">
        <v>43536.4316662152</v>
      </c>
      <c r="C1150" s="6">
        <v>1.043</v>
      </c>
      <c r="D1150" s="6">
        <v>68.0</v>
      </c>
      <c r="E1150" s="7" t="s">
        <v>7</v>
      </c>
      <c r="F1150" s="7" t="s">
        <v>8</v>
      </c>
      <c r="G1150" s="8"/>
    </row>
    <row r="1151">
      <c r="A1151" s="4">
        <v>43536.150455497685</v>
      </c>
      <c r="B1151" s="5">
        <v>43536.4420871759</v>
      </c>
      <c r="C1151" s="6">
        <v>1.043</v>
      </c>
      <c r="D1151" s="6">
        <v>68.0</v>
      </c>
      <c r="E1151" s="7" t="s">
        <v>7</v>
      </c>
      <c r="F1151" s="7" t="s">
        <v>8</v>
      </c>
      <c r="G1151" s="8"/>
    </row>
    <row r="1152">
      <c r="A1152" s="4">
        <v>43536.16087827546</v>
      </c>
      <c r="B1152" s="5">
        <v>43536.4525084953</v>
      </c>
      <c r="C1152" s="6">
        <v>1.043</v>
      </c>
      <c r="D1152" s="6">
        <v>68.0</v>
      </c>
      <c r="E1152" s="7" t="s">
        <v>7</v>
      </c>
      <c r="F1152" s="7" t="s">
        <v>8</v>
      </c>
      <c r="G1152" s="8"/>
    </row>
    <row r="1153">
      <c r="A1153" s="4">
        <v>43536.17129162037</v>
      </c>
      <c r="B1153" s="5">
        <v>43536.4629273263</v>
      </c>
      <c r="C1153" s="6">
        <v>1.043</v>
      </c>
      <c r="D1153" s="6">
        <v>68.0</v>
      </c>
      <c r="E1153" s="7" t="s">
        <v>7</v>
      </c>
      <c r="F1153" s="7" t="s">
        <v>8</v>
      </c>
      <c r="G1153" s="8"/>
    </row>
    <row r="1154">
      <c r="A1154" s="4">
        <v>43536.18171186342</v>
      </c>
      <c r="B1154" s="5">
        <v>43536.4733458217</v>
      </c>
      <c r="C1154" s="6">
        <v>1.043</v>
      </c>
      <c r="D1154" s="6">
        <v>68.0</v>
      </c>
      <c r="E1154" s="7" t="s">
        <v>7</v>
      </c>
      <c r="F1154" s="7" t="s">
        <v>8</v>
      </c>
      <c r="G1154" s="8"/>
    </row>
    <row r="1155">
      <c r="A1155" s="4">
        <v>43536.192136157406</v>
      </c>
      <c r="B1155" s="5">
        <v>43536.4837667939</v>
      </c>
      <c r="C1155" s="6">
        <v>1.043</v>
      </c>
      <c r="D1155" s="6">
        <v>68.0</v>
      </c>
      <c r="E1155" s="7" t="s">
        <v>7</v>
      </c>
      <c r="F1155" s="7" t="s">
        <v>8</v>
      </c>
      <c r="G1155" s="8"/>
    </row>
    <row r="1156">
      <c r="A1156" s="4">
        <v>43536.20255420139</v>
      </c>
      <c r="B1156" s="5">
        <v>43536.4941874652</v>
      </c>
      <c r="C1156" s="6">
        <v>1.043</v>
      </c>
      <c r="D1156" s="6">
        <v>68.0</v>
      </c>
      <c r="E1156" s="7" t="s">
        <v>7</v>
      </c>
      <c r="F1156" s="7" t="s">
        <v>8</v>
      </c>
      <c r="G1156" s="8"/>
    </row>
    <row r="1157">
      <c r="A1157" s="4">
        <v>43536.21297494213</v>
      </c>
      <c r="B1157" s="5">
        <v>43536.5046098842</v>
      </c>
      <c r="C1157" s="6">
        <v>1.043</v>
      </c>
      <c r="D1157" s="6">
        <v>68.0</v>
      </c>
      <c r="E1157" s="7" t="s">
        <v>7</v>
      </c>
      <c r="F1157" s="7" t="s">
        <v>8</v>
      </c>
      <c r="G1157" s="8"/>
    </row>
    <row r="1158">
      <c r="A1158" s="4">
        <v>43536.22340246528</v>
      </c>
      <c r="B1158" s="5">
        <v>43536.5150311458</v>
      </c>
      <c r="C1158" s="6">
        <v>1.043</v>
      </c>
      <c r="D1158" s="6">
        <v>68.0</v>
      </c>
      <c r="E1158" s="7" t="s">
        <v>7</v>
      </c>
      <c r="F1158" s="7" t="s">
        <v>8</v>
      </c>
      <c r="G1158" s="8"/>
    </row>
    <row r="1159">
      <c r="A1159" s="4">
        <v>43536.23382708333</v>
      </c>
      <c r="B1159" s="5">
        <v>43536.5254531713</v>
      </c>
      <c r="C1159" s="6">
        <v>1.043</v>
      </c>
      <c r="D1159" s="6">
        <v>68.0</v>
      </c>
      <c r="E1159" s="7" t="s">
        <v>7</v>
      </c>
      <c r="F1159" s="7" t="s">
        <v>8</v>
      </c>
      <c r="G1159" s="8"/>
    </row>
    <row r="1160">
      <c r="A1160" s="4">
        <v>43536.244240092594</v>
      </c>
      <c r="B1160" s="5">
        <v>43536.5358730324</v>
      </c>
      <c r="C1160" s="6">
        <v>1.043</v>
      </c>
      <c r="D1160" s="6">
        <v>68.0</v>
      </c>
      <c r="E1160" s="7" t="s">
        <v>7</v>
      </c>
      <c r="F1160" s="7" t="s">
        <v>8</v>
      </c>
      <c r="G1160" s="8"/>
    </row>
    <row r="1161">
      <c r="A1161" s="4">
        <v>43536.25466152778</v>
      </c>
      <c r="B1161" s="5">
        <v>43536.5462947916</v>
      </c>
      <c r="C1161" s="6">
        <v>1.043</v>
      </c>
      <c r="D1161" s="6">
        <v>68.0</v>
      </c>
      <c r="E1161" s="7" t="s">
        <v>7</v>
      </c>
      <c r="F1161" s="7" t="s">
        <v>8</v>
      </c>
      <c r="G1161" s="8"/>
    </row>
    <row r="1162">
      <c r="A1162" s="4">
        <v>43536.265091724534</v>
      </c>
      <c r="B1162" s="5">
        <v>43536.5567147685</v>
      </c>
      <c r="C1162" s="6">
        <v>1.043</v>
      </c>
      <c r="D1162" s="6">
        <v>68.0</v>
      </c>
      <c r="E1162" s="7" t="s">
        <v>7</v>
      </c>
      <c r="F1162" s="7" t="s">
        <v>8</v>
      </c>
      <c r="G1162" s="8"/>
    </row>
    <row r="1163">
      <c r="A1163" s="4">
        <v>43536.27550150463</v>
      </c>
      <c r="B1163" s="5">
        <v>43536.5671372222</v>
      </c>
      <c r="C1163" s="6">
        <v>1.043</v>
      </c>
      <c r="D1163" s="6">
        <v>68.0</v>
      </c>
      <c r="E1163" s="7" t="s">
        <v>7</v>
      </c>
      <c r="F1163" s="7" t="s">
        <v>8</v>
      </c>
      <c r="G1163" s="8"/>
    </row>
    <row r="1164">
      <c r="A1164" s="4">
        <v>43536.2859340625</v>
      </c>
      <c r="B1164" s="5">
        <v>43536.5775587615</v>
      </c>
      <c r="C1164" s="6">
        <v>1.043</v>
      </c>
      <c r="D1164" s="6">
        <v>68.0</v>
      </c>
      <c r="E1164" s="7" t="s">
        <v>7</v>
      </c>
      <c r="F1164" s="7" t="s">
        <v>8</v>
      </c>
      <c r="G1164" s="8"/>
    </row>
    <row r="1165">
      <c r="A1165" s="4">
        <v>43536.296349502314</v>
      </c>
      <c r="B1165" s="5">
        <v>43536.587978831</v>
      </c>
      <c r="C1165" s="6">
        <v>1.043</v>
      </c>
      <c r="D1165" s="6">
        <v>68.0</v>
      </c>
      <c r="E1165" s="7" t="s">
        <v>7</v>
      </c>
      <c r="F1165" s="7" t="s">
        <v>8</v>
      </c>
      <c r="G1165" s="8"/>
    </row>
    <row r="1166">
      <c r="A1166" s="4">
        <v>43536.30677940972</v>
      </c>
      <c r="B1166" s="5">
        <v>43536.5984003587</v>
      </c>
      <c r="C1166" s="6">
        <v>1.043</v>
      </c>
      <c r="D1166" s="6">
        <v>68.0</v>
      </c>
      <c r="E1166" s="7" t="s">
        <v>7</v>
      </c>
      <c r="F1166" s="7" t="s">
        <v>8</v>
      </c>
      <c r="G1166" s="8"/>
    </row>
    <row r="1167">
      <c r="A1167" s="4">
        <v>43536.31719822917</v>
      </c>
      <c r="B1167" s="5">
        <v>43536.6088209953</v>
      </c>
      <c r="C1167" s="6">
        <v>1.043</v>
      </c>
      <c r="D1167" s="6">
        <v>68.0</v>
      </c>
      <c r="E1167" s="7" t="s">
        <v>7</v>
      </c>
      <c r="F1167" s="7" t="s">
        <v>8</v>
      </c>
      <c r="G1167" s="8"/>
    </row>
    <row r="1168">
      <c r="A1168" s="4">
        <v>43536.327612442125</v>
      </c>
      <c r="B1168" s="5">
        <v>43536.6192425694</v>
      </c>
      <c r="C1168" s="6">
        <v>1.043</v>
      </c>
      <c r="D1168" s="6">
        <v>68.0</v>
      </c>
      <c r="E1168" s="7" t="s">
        <v>7</v>
      </c>
      <c r="F1168" s="7" t="s">
        <v>8</v>
      </c>
      <c r="G1168" s="8"/>
    </row>
    <row r="1169">
      <c r="A1169" s="4">
        <v>43536.33803741898</v>
      </c>
      <c r="B1169" s="5">
        <v>43536.629663831</v>
      </c>
      <c r="C1169" s="6">
        <v>1.043</v>
      </c>
      <c r="D1169" s="6">
        <v>68.0</v>
      </c>
      <c r="E1169" s="7" t="s">
        <v>7</v>
      </c>
      <c r="F1169" s="7" t="s">
        <v>8</v>
      </c>
      <c r="G1169" s="8"/>
    </row>
    <row r="1170">
      <c r="A1170" s="4">
        <v>43536.34847435185</v>
      </c>
      <c r="B1170" s="5">
        <v>43536.6401098032</v>
      </c>
      <c r="C1170" s="6">
        <v>1.043</v>
      </c>
      <c r="D1170" s="6">
        <v>68.0</v>
      </c>
      <c r="E1170" s="7" t="s">
        <v>7</v>
      </c>
      <c r="F1170" s="7" t="s">
        <v>8</v>
      </c>
      <c r="G1170" s="8"/>
    </row>
    <row r="1171">
      <c r="A1171" s="4">
        <v>43536.35889207176</v>
      </c>
      <c r="B1171" s="5">
        <v>43536.6505311689</v>
      </c>
      <c r="C1171" s="6">
        <v>1.043</v>
      </c>
      <c r="D1171" s="6">
        <v>68.0</v>
      </c>
      <c r="E1171" s="7" t="s">
        <v>7</v>
      </c>
      <c r="F1171" s="7" t="s">
        <v>8</v>
      </c>
      <c r="G1171" s="8"/>
    </row>
    <row r="1172">
      <c r="A1172" s="4">
        <v>43536.3693225</v>
      </c>
      <c r="B1172" s="5">
        <v>43536.6609524652</v>
      </c>
      <c r="C1172" s="6">
        <v>1.042</v>
      </c>
      <c r="D1172" s="6">
        <v>68.0</v>
      </c>
      <c r="E1172" s="7" t="s">
        <v>7</v>
      </c>
      <c r="F1172" s="7" t="s">
        <v>8</v>
      </c>
      <c r="G1172" s="8"/>
    </row>
    <row r="1173">
      <c r="A1173" s="4">
        <v>43536.37973811342</v>
      </c>
      <c r="B1173" s="5">
        <v>43536.6713735648</v>
      </c>
      <c r="C1173" s="6">
        <v>1.043</v>
      </c>
      <c r="D1173" s="6">
        <v>68.0</v>
      </c>
      <c r="E1173" s="7" t="s">
        <v>7</v>
      </c>
      <c r="F1173" s="7" t="s">
        <v>8</v>
      </c>
      <c r="G1173" s="8"/>
    </row>
    <row r="1174">
      <c r="A1174" s="4">
        <v>43536.39016863426</v>
      </c>
      <c r="B1174" s="5">
        <v>43536.6818061689</v>
      </c>
      <c r="C1174" s="6">
        <v>1.043</v>
      </c>
      <c r="D1174" s="6">
        <v>68.0</v>
      </c>
      <c r="E1174" s="7" t="s">
        <v>7</v>
      </c>
      <c r="F1174" s="7" t="s">
        <v>8</v>
      </c>
      <c r="G1174" s="8"/>
    </row>
    <row r="1175">
      <c r="A1175" s="4">
        <v>43536.40059297453</v>
      </c>
      <c r="B1175" s="5">
        <v>43536.6922277314</v>
      </c>
      <c r="C1175" s="6">
        <v>1.043</v>
      </c>
      <c r="D1175" s="6">
        <v>68.0</v>
      </c>
      <c r="E1175" s="7" t="s">
        <v>7</v>
      </c>
      <c r="F1175" s="7" t="s">
        <v>8</v>
      </c>
      <c r="G1175" s="8"/>
    </row>
    <row r="1176">
      <c r="A1176" s="4">
        <v>43536.41101510417</v>
      </c>
      <c r="B1176" s="5">
        <v>43536.7026494328</v>
      </c>
      <c r="C1176" s="6">
        <v>1.043</v>
      </c>
      <c r="D1176" s="6">
        <v>68.0</v>
      </c>
      <c r="E1176" s="7" t="s">
        <v>7</v>
      </c>
      <c r="F1176" s="7" t="s">
        <v>8</v>
      </c>
      <c r="G1176" s="8"/>
    </row>
    <row r="1177">
      <c r="A1177" s="4">
        <v>43536.421430069444</v>
      </c>
      <c r="B1177" s="5">
        <v>43536.7130698495</v>
      </c>
      <c r="C1177" s="6">
        <v>1.042</v>
      </c>
      <c r="D1177" s="6">
        <v>68.0</v>
      </c>
      <c r="E1177" s="7" t="s">
        <v>7</v>
      </c>
      <c r="F1177" s="7" t="s">
        <v>8</v>
      </c>
      <c r="G1177" s="8"/>
    </row>
    <row r="1178">
      <c r="A1178" s="4">
        <v>43536.43188892362</v>
      </c>
      <c r="B1178" s="5">
        <v>43536.7234900115</v>
      </c>
      <c r="C1178" s="6">
        <v>1.043</v>
      </c>
      <c r="D1178" s="6">
        <v>68.0</v>
      </c>
      <c r="E1178" s="7" t="s">
        <v>7</v>
      </c>
      <c r="F1178" s="7" t="s">
        <v>8</v>
      </c>
      <c r="G1178" s="8"/>
    </row>
    <row r="1179">
      <c r="A1179" s="4">
        <v>43536.44233612268</v>
      </c>
      <c r="B1179" s="5">
        <v>43536.7339226157</v>
      </c>
      <c r="C1179" s="6">
        <v>1.043</v>
      </c>
      <c r="D1179" s="6">
        <v>68.0</v>
      </c>
      <c r="E1179" s="7" t="s">
        <v>7</v>
      </c>
      <c r="F1179" s="7" t="s">
        <v>8</v>
      </c>
      <c r="G1179" s="8"/>
    </row>
    <row r="1180">
      <c r="A1180" s="4">
        <v>43536.452716875</v>
      </c>
      <c r="B1180" s="5">
        <v>43536.7443547222</v>
      </c>
      <c r="C1180" s="6">
        <v>1.042</v>
      </c>
      <c r="D1180" s="6">
        <v>68.0</v>
      </c>
      <c r="E1180" s="7" t="s">
        <v>7</v>
      </c>
      <c r="F1180" s="7" t="s">
        <v>8</v>
      </c>
      <c r="G1180" s="8"/>
    </row>
    <row r="1181">
      <c r="A1181" s="4">
        <v>43536.46333758102</v>
      </c>
      <c r="B1181" s="5">
        <v>43536.7547879745</v>
      </c>
      <c r="C1181" s="6">
        <v>1.042</v>
      </c>
      <c r="D1181" s="6">
        <v>68.0</v>
      </c>
      <c r="E1181" s="7" t="s">
        <v>7</v>
      </c>
      <c r="F1181" s="7" t="s">
        <v>8</v>
      </c>
      <c r="G1181" s="8"/>
    </row>
    <row r="1182">
      <c r="A1182" s="4">
        <v>43536.47356958334</v>
      </c>
      <c r="B1182" s="5">
        <v>43536.7652094907</v>
      </c>
      <c r="C1182" s="6">
        <v>1.042</v>
      </c>
      <c r="D1182" s="6">
        <v>68.0</v>
      </c>
      <c r="E1182" s="7" t="s">
        <v>7</v>
      </c>
      <c r="F1182" s="7" t="s">
        <v>8</v>
      </c>
      <c r="G1182" s="8"/>
    </row>
    <row r="1183">
      <c r="A1183" s="4">
        <v>43536.48402027778</v>
      </c>
      <c r="B1183" s="5">
        <v>43536.7756529513</v>
      </c>
      <c r="C1183" s="6">
        <v>1.043</v>
      </c>
      <c r="D1183" s="6">
        <v>68.0</v>
      </c>
      <c r="E1183" s="7" t="s">
        <v>7</v>
      </c>
      <c r="F1183" s="7" t="s">
        <v>8</v>
      </c>
      <c r="G1183" s="8"/>
    </row>
    <row r="1184">
      <c r="A1184" s="4">
        <v>43536.494437546295</v>
      </c>
      <c r="B1184" s="5">
        <v>43536.7860736111</v>
      </c>
      <c r="C1184" s="6">
        <v>1.042</v>
      </c>
      <c r="D1184" s="6">
        <v>68.0</v>
      </c>
      <c r="E1184" s="7" t="s">
        <v>7</v>
      </c>
      <c r="F1184" s="7" t="s">
        <v>8</v>
      </c>
      <c r="G1184" s="8"/>
    </row>
    <row r="1185">
      <c r="A1185" s="4">
        <v>43536.50486396991</v>
      </c>
      <c r="B1185" s="5">
        <v>43536.7964953587</v>
      </c>
      <c r="C1185" s="6">
        <v>1.042</v>
      </c>
      <c r="D1185" s="6">
        <v>68.0</v>
      </c>
      <c r="E1185" s="7" t="s">
        <v>7</v>
      </c>
      <c r="F1185" s="7" t="s">
        <v>8</v>
      </c>
      <c r="G1185" s="8"/>
    </row>
    <row r="1186">
      <c r="A1186" s="4">
        <v>43536.51528034722</v>
      </c>
      <c r="B1186" s="5">
        <v>43536.8069176388</v>
      </c>
      <c r="C1186" s="6">
        <v>1.042</v>
      </c>
      <c r="D1186" s="6">
        <v>68.0</v>
      </c>
      <c r="E1186" s="7" t="s">
        <v>7</v>
      </c>
      <c r="F1186" s="7" t="s">
        <v>8</v>
      </c>
      <c r="G1186" s="8"/>
    </row>
    <row r="1187">
      <c r="A1187" s="4">
        <v>43536.52570597222</v>
      </c>
      <c r="B1187" s="5">
        <v>43536.817338831</v>
      </c>
      <c r="C1187" s="6">
        <v>1.042</v>
      </c>
      <c r="D1187" s="6">
        <v>68.0</v>
      </c>
      <c r="E1187" s="7" t="s">
        <v>7</v>
      </c>
      <c r="F1187" s="7" t="s">
        <v>8</v>
      </c>
      <c r="G1187" s="8"/>
    </row>
    <row r="1188">
      <c r="A1188" s="4">
        <v>43536.53612630787</v>
      </c>
      <c r="B1188" s="5">
        <v>43536.8277591203</v>
      </c>
      <c r="C1188" s="6">
        <v>1.042</v>
      </c>
      <c r="D1188" s="6">
        <v>68.0</v>
      </c>
      <c r="E1188" s="7" t="s">
        <v>7</v>
      </c>
      <c r="F1188" s="7" t="s">
        <v>8</v>
      </c>
      <c r="G1188" s="8"/>
    </row>
    <row r="1189">
      <c r="A1189" s="4">
        <v>43536.546542083335</v>
      </c>
      <c r="B1189" s="5">
        <v>43536.8381795833</v>
      </c>
      <c r="C1189" s="6">
        <v>1.042</v>
      </c>
      <c r="D1189" s="6">
        <v>68.0</v>
      </c>
      <c r="E1189" s="7" t="s">
        <v>7</v>
      </c>
      <c r="F1189" s="7" t="s">
        <v>8</v>
      </c>
      <c r="G1189" s="8"/>
    </row>
    <row r="1190">
      <c r="A1190" s="4">
        <v>43536.556963854164</v>
      </c>
      <c r="B1190" s="5">
        <v>43536.8486020717</v>
      </c>
      <c r="C1190" s="6">
        <v>1.042</v>
      </c>
      <c r="D1190" s="6">
        <v>68.0</v>
      </c>
      <c r="E1190" s="7" t="s">
        <v>7</v>
      </c>
      <c r="F1190" s="7" t="s">
        <v>8</v>
      </c>
      <c r="G1190" s="8"/>
    </row>
    <row r="1191">
      <c r="A1191" s="4">
        <v>43536.56738952546</v>
      </c>
      <c r="B1191" s="5">
        <v>43536.859024375</v>
      </c>
      <c r="C1191" s="6">
        <v>1.042</v>
      </c>
      <c r="D1191" s="6">
        <v>68.0</v>
      </c>
      <c r="E1191" s="7" t="s">
        <v>7</v>
      </c>
      <c r="F1191" s="7" t="s">
        <v>8</v>
      </c>
      <c r="G1191" s="8"/>
    </row>
    <row r="1192">
      <c r="A1192" s="4">
        <v>43536.57782530093</v>
      </c>
      <c r="B1192" s="5">
        <v>43536.8694567476</v>
      </c>
      <c r="C1192" s="6">
        <v>1.042</v>
      </c>
      <c r="D1192" s="6">
        <v>68.0</v>
      </c>
      <c r="E1192" s="7" t="s">
        <v>7</v>
      </c>
      <c r="F1192" s="7" t="s">
        <v>8</v>
      </c>
      <c r="G1192" s="8"/>
    </row>
    <row r="1193">
      <c r="A1193" s="4">
        <v>43536.58824518519</v>
      </c>
      <c r="B1193" s="5">
        <v>43536.8798762152</v>
      </c>
      <c r="C1193" s="6">
        <v>1.042</v>
      </c>
      <c r="D1193" s="6">
        <v>68.0</v>
      </c>
      <c r="E1193" s="7" t="s">
        <v>7</v>
      </c>
      <c r="F1193" s="7" t="s">
        <v>8</v>
      </c>
      <c r="G1193" s="8"/>
    </row>
    <row r="1194">
      <c r="A1194" s="4">
        <v>43536.598659062496</v>
      </c>
      <c r="B1194" s="5">
        <v>43536.890295949</v>
      </c>
      <c r="C1194" s="6">
        <v>1.042</v>
      </c>
      <c r="D1194" s="6">
        <v>68.0</v>
      </c>
      <c r="E1194" s="7" t="s">
        <v>7</v>
      </c>
      <c r="F1194" s="7" t="s">
        <v>8</v>
      </c>
      <c r="G1194" s="8"/>
    </row>
    <row r="1195">
      <c r="A1195" s="4">
        <v>43536.609132708334</v>
      </c>
      <c r="B1195" s="5">
        <v>43536.9007164583</v>
      </c>
      <c r="C1195" s="6">
        <v>1.042</v>
      </c>
      <c r="D1195" s="6">
        <v>68.0</v>
      </c>
      <c r="E1195" s="7" t="s">
        <v>7</v>
      </c>
      <c r="F1195" s="7" t="s">
        <v>8</v>
      </c>
      <c r="G1195" s="8"/>
    </row>
    <row r="1196">
      <c r="A1196" s="4">
        <v>43536.619504675924</v>
      </c>
      <c r="B1196" s="5">
        <v>43536.9111380208</v>
      </c>
      <c r="C1196" s="6">
        <v>1.042</v>
      </c>
      <c r="D1196" s="6">
        <v>68.0</v>
      </c>
      <c r="E1196" s="7" t="s">
        <v>7</v>
      </c>
      <c r="F1196" s="7" t="s">
        <v>8</v>
      </c>
      <c r="G1196" s="8"/>
    </row>
    <row r="1197">
      <c r="A1197" s="4">
        <v>43536.62992194445</v>
      </c>
      <c r="B1197" s="5">
        <v>43536.9215597916</v>
      </c>
      <c r="C1197" s="6">
        <v>1.042</v>
      </c>
      <c r="D1197" s="6">
        <v>68.0</v>
      </c>
      <c r="E1197" s="7" t="s">
        <v>7</v>
      </c>
      <c r="F1197" s="7" t="s">
        <v>8</v>
      </c>
      <c r="G1197" s="8"/>
    </row>
    <row r="1198">
      <c r="A1198" s="4">
        <v>43536.64035736111</v>
      </c>
      <c r="B1198" s="5">
        <v>43536.9319925578</v>
      </c>
      <c r="C1198" s="6">
        <v>1.042</v>
      </c>
      <c r="D1198" s="6">
        <v>68.0</v>
      </c>
      <c r="E1198" s="7" t="s">
        <v>7</v>
      </c>
      <c r="F1198" s="7" t="s">
        <v>8</v>
      </c>
      <c r="G1198" s="8"/>
    </row>
    <row r="1199">
      <c r="A1199" s="4">
        <v>43536.65077190972</v>
      </c>
      <c r="B1199" s="5">
        <v>43536.9424146527</v>
      </c>
      <c r="C1199" s="6">
        <v>1.042</v>
      </c>
      <c r="D1199" s="6">
        <v>68.0</v>
      </c>
      <c r="E1199" s="7" t="s">
        <v>7</v>
      </c>
      <c r="F1199" s="7" t="s">
        <v>8</v>
      </c>
      <c r="G1199" s="8"/>
    </row>
    <row r="1200">
      <c r="A1200" s="4">
        <v>43536.66121116898</v>
      </c>
      <c r="B1200" s="5">
        <v>43536.9528478009</v>
      </c>
      <c r="C1200" s="6">
        <v>1.042</v>
      </c>
      <c r="D1200" s="6">
        <v>68.0</v>
      </c>
      <c r="E1200" s="7" t="s">
        <v>7</v>
      </c>
      <c r="F1200" s="7" t="s">
        <v>8</v>
      </c>
      <c r="G1200" s="8"/>
    </row>
    <row r="1201">
      <c r="A1201" s="4">
        <v>43536.67162969908</v>
      </c>
      <c r="B1201" s="5">
        <v>43536.9632704976</v>
      </c>
      <c r="C1201" s="6">
        <v>1.042</v>
      </c>
      <c r="D1201" s="6">
        <v>68.0</v>
      </c>
      <c r="E1201" s="7" t="s">
        <v>7</v>
      </c>
      <c r="F1201" s="7" t="s">
        <v>8</v>
      </c>
      <c r="G1201" s="8"/>
    </row>
    <row r="1202">
      <c r="A1202" s="4">
        <v>43536.68206928241</v>
      </c>
      <c r="B1202" s="5">
        <v>43536.9737044675</v>
      </c>
      <c r="C1202" s="6">
        <v>1.042</v>
      </c>
      <c r="D1202" s="6">
        <v>68.0</v>
      </c>
      <c r="E1202" s="7" t="s">
        <v>7</v>
      </c>
      <c r="F1202" s="7" t="s">
        <v>8</v>
      </c>
      <c r="G1202" s="8"/>
    </row>
    <row r="1203">
      <c r="A1203" s="4">
        <v>43536.69249210648</v>
      </c>
      <c r="B1203" s="5">
        <v>43536.9841276041</v>
      </c>
      <c r="C1203" s="6">
        <v>1.042</v>
      </c>
      <c r="D1203" s="6">
        <v>68.0</v>
      </c>
      <c r="E1203" s="7" t="s">
        <v>7</v>
      </c>
      <c r="F1203" s="7" t="s">
        <v>8</v>
      </c>
      <c r="G1203" s="8"/>
    </row>
    <row r="1204">
      <c r="A1204" s="4">
        <v>43536.702906805556</v>
      </c>
      <c r="B1204" s="5">
        <v>43536.9945466435</v>
      </c>
      <c r="C1204" s="6">
        <v>1.042</v>
      </c>
      <c r="D1204" s="6">
        <v>68.0</v>
      </c>
      <c r="E1204" s="7" t="s">
        <v>7</v>
      </c>
      <c r="F1204" s="7" t="s">
        <v>8</v>
      </c>
      <c r="G1204" s="8"/>
    </row>
    <row r="1205">
      <c r="A1205" s="4">
        <v>43536.7133502662</v>
      </c>
      <c r="B1205" s="5">
        <v>43537.0049805208</v>
      </c>
      <c r="C1205" s="6">
        <v>1.042</v>
      </c>
      <c r="D1205" s="6">
        <v>68.0</v>
      </c>
      <c r="E1205" s="7" t="s">
        <v>7</v>
      </c>
      <c r="F1205" s="7" t="s">
        <v>8</v>
      </c>
      <c r="G1205" s="8"/>
    </row>
    <row r="1206">
      <c r="A1206" s="4">
        <v>43536.72376862269</v>
      </c>
      <c r="B1206" s="5">
        <v>43537.0154012962</v>
      </c>
      <c r="C1206" s="6">
        <v>1.042</v>
      </c>
      <c r="D1206" s="6">
        <v>68.0</v>
      </c>
      <c r="E1206" s="7" t="s">
        <v>7</v>
      </c>
      <c r="F1206" s="7" t="s">
        <v>8</v>
      </c>
      <c r="G1206" s="8"/>
    </row>
    <row r="1207">
      <c r="A1207" s="4">
        <v>43536.73418561343</v>
      </c>
      <c r="B1207" s="5">
        <v>43537.0258217708</v>
      </c>
      <c r="C1207" s="6">
        <v>1.042</v>
      </c>
      <c r="D1207" s="6">
        <v>68.0</v>
      </c>
      <c r="E1207" s="7" t="s">
        <v>7</v>
      </c>
      <c r="F1207" s="7" t="s">
        <v>8</v>
      </c>
      <c r="G1207" s="8"/>
    </row>
    <row r="1208">
      <c r="A1208" s="4">
        <v>43536.744608657405</v>
      </c>
      <c r="B1208" s="5">
        <v>43537.036242824</v>
      </c>
      <c r="C1208" s="6">
        <v>1.042</v>
      </c>
      <c r="D1208" s="6">
        <v>68.0</v>
      </c>
      <c r="E1208" s="7" t="s">
        <v>7</v>
      </c>
      <c r="F1208" s="7" t="s">
        <v>8</v>
      </c>
      <c r="G1208" s="8"/>
    </row>
    <row r="1209">
      <c r="A1209" s="4">
        <v>43536.75502028935</v>
      </c>
      <c r="B1209" s="5">
        <v>43537.0466629282</v>
      </c>
      <c r="C1209" s="6">
        <v>1.042</v>
      </c>
      <c r="D1209" s="6">
        <v>68.0</v>
      </c>
      <c r="E1209" s="7" t="s">
        <v>7</v>
      </c>
      <c r="F1209" s="7" t="s">
        <v>8</v>
      </c>
      <c r="G1209" s="8"/>
    </row>
    <row r="1210">
      <c r="A1210" s="4">
        <v>43536.765451307874</v>
      </c>
      <c r="B1210" s="5">
        <v>43537.0570830787</v>
      </c>
      <c r="C1210" s="6">
        <v>1.042</v>
      </c>
      <c r="D1210" s="6">
        <v>68.0</v>
      </c>
      <c r="E1210" s="7" t="s">
        <v>7</v>
      </c>
      <c r="F1210" s="7" t="s">
        <v>8</v>
      </c>
      <c r="G1210" s="8"/>
    </row>
    <row r="1211">
      <c r="A1211" s="4">
        <v>43536.77587666667</v>
      </c>
      <c r="B1211" s="5">
        <v>43537.0675166319</v>
      </c>
      <c r="C1211" s="6">
        <v>1.042</v>
      </c>
      <c r="D1211" s="6">
        <v>68.0</v>
      </c>
      <c r="E1211" s="7" t="s">
        <v>7</v>
      </c>
      <c r="F1211" s="7" t="s">
        <v>8</v>
      </c>
      <c r="G1211" s="8"/>
    </row>
    <row r="1212">
      <c r="A1212" s="4">
        <v>43536.78630796296</v>
      </c>
      <c r="B1212" s="5">
        <v>43537.0779370601</v>
      </c>
      <c r="C1212" s="6">
        <v>1.042</v>
      </c>
      <c r="D1212" s="6">
        <v>68.0</v>
      </c>
      <c r="E1212" s="7" t="s">
        <v>7</v>
      </c>
      <c r="F1212" s="7" t="s">
        <v>8</v>
      </c>
      <c r="G1212" s="8"/>
    </row>
    <row r="1213">
      <c r="A1213" s="4">
        <v>43536.79673025463</v>
      </c>
      <c r="B1213" s="5">
        <v>43537.0883695254</v>
      </c>
      <c r="C1213" s="6">
        <v>1.042</v>
      </c>
      <c r="D1213" s="6">
        <v>68.0</v>
      </c>
      <c r="E1213" s="7" t="s">
        <v>7</v>
      </c>
      <c r="F1213" s="7" t="s">
        <v>8</v>
      </c>
      <c r="G1213" s="8"/>
    </row>
    <row r="1214">
      <c r="A1214" s="4">
        <v>43536.80715959491</v>
      </c>
      <c r="B1214" s="5">
        <v>43537.098791493</v>
      </c>
      <c r="C1214" s="6">
        <v>1.042</v>
      </c>
      <c r="D1214" s="6">
        <v>68.0</v>
      </c>
      <c r="E1214" s="7" t="s">
        <v>7</v>
      </c>
      <c r="F1214" s="7" t="s">
        <v>8</v>
      </c>
      <c r="G1214" s="8"/>
    </row>
    <row r="1215">
      <c r="A1215" s="4">
        <v>43536.81758239583</v>
      </c>
      <c r="B1215" s="5">
        <v>43537.1092131597</v>
      </c>
      <c r="C1215" s="6">
        <v>1.041</v>
      </c>
      <c r="D1215" s="6">
        <v>68.0</v>
      </c>
      <c r="E1215" s="7" t="s">
        <v>7</v>
      </c>
      <c r="F1215" s="7" t="s">
        <v>8</v>
      </c>
      <c r="G1215" s="8"/>
    </row>
    <row r="1216">
      <c r="A1216" s="4">
        <v>43536.82800289352</v>
      </c>
      <c r="B1216" s="5">
        <v>43537.1196357291</v>
      </c>
      <c r="C1216" s="6">
        <v>1.042</v>
      </c>
      <c r="D1216" s="6">
        <v>68.0</v>
      </c>
      <c r="E1216" s="7" t="s">
        <v>7</v>
      </c>
      <c r="F1216" s="7" t="s">
        <v>8</v>
      </c>
      <c r="G1216" s="8"/>
    </row>
    <row r="1217">
      <c r="A1217" s="4">
        <v>43536.8384263426</v>
      </c>
      <c r="B1217" s="5">
        <v>43537.1300575115</v>
      </c>
      <c r="C1217" s="6">
        <v>1.042</v>
      </c>
      <c r="D1217" s="6">
        <v>68.0</v>
      </c>
      <c r="E1217" s="7" t="s">
        <v>7</v>
      </c>
      <c r="F1217" s="7" t="s">
        <v>8</v>
      </c>
      <c r="G1217" s="8"/>
    </row>
    <row r="1218">
      <c r="A1218" s="4">
        <v>43536.848844988424</v>
      </c>
      <c r="B1218" s="5">
        <v>43537.1404792939</v>
      </c>
      <c r="C1218" s="6">
        <v>1.042</v>
      </c>
      <c r="D1218" s="6">
        <v>68.0</v>
      </c>
      <c r="E1218" s="7" t="s">
        <v>7</v>
      </c>
      <c r="F1218" s="7" t="s">
        <v>8</v>
      </c>
      <c r="G1218" s="8"/>
    </row>
    <row r="1219">
      <c r="A1219" s="4">
        <v>43536.85926650463</v>
      </c>
      <c r="B1219" s="5">
        <v>43537.150900324</v>
      </c>
      <c r="C1219" s="6">
        <v>1.041</v>
      </c>
      <c r="D1219" s="6">
        <v>68.0</v>
      </c>
      <c r="E1219" s="7" t="s">
        <v>7</v>
      </c>
      <c r="F1219" s="7" t="s">
        <v>8</v>
      </c>
      <c r="G1219" s="8"/>
    </row>
    <row r="1220">
      <c r="A1220" s="4">
        <v>43536.86968743056</v>
      </c>
      <c r="B1220" s="5">
        <v>43537.1613198611</v>
      </c>
      <c r="C1220" s="6">
        <v>1.041</v>
      </c>
      <c r="D1220" s="6">
        <v>68.0</v>
      </c>
      <c r="E1220" s="7" t="s">
        <v>7</v>
      </c>
      <c r="F1220" s="7" t="s">
        <v>8</v>
      </c>
      <c r="G1220" s="8"/>
    </row>
    <row r="1221">
      <c r="A1221" s="4">
        <v>43536.880099988426</v>
      </c>
      <c r="B1221" s="5">
        <v>43537.1717403935</v>
      </c>
      <c r="C1221" s="6">
        <v>1.042</v>
      </c>
      <c r="D1221" s="6">
        <v>68.0</v>
      </c>
      <c r="E1221" s="7" t="s">
        <v>7</v>
      </c>
      <c r="F1221" s="7" t="s">
        <v>8</v>
      </c>
      <c r="G1221" s="8"/>
    </row>
    <row r="1222">
      <c r="A1222" s="4">
        <v>43536.890521712965</v>
      </c>
      <c r="B1222" s="5">
        <v>43537.182161956</v>
      </c>
      <c r="C1222" s="6">
        <v>1.042</v>
      </c>
      <c r="D1222" s="6">
        <v>68.0</v>
      </c>
      <c r="E1222" s="7" t="s">
        <v>7</v>
      </c>
      <c r="F1222" s="7" t="s">
        <v>8</v>
      </c>
      <c r="G1222" s="8"/>
    </row>
    <row r="1223">
      <c r="A1223" s="4">
        <v>43536.90094324074</v>
      </c>
      <c r="B1223" s="5">
        <v>43537.1925832291</v>
      </c>
      <c r="C1223" s="6">
        <v>1.042</v>
      </c>
      <c r="D1223" s="6">
        <v>68.0</v>
      </c>
      <c r="E1223" s="7" t="s">
        <v>7</v>
      </c>
      <c r="F1223" s="7" t="s">
        <v>8</v>
      </c>
      <c r="G1223" s="8"/>
    </row>
    <row r="1224">
      <c r="A1224" s="4">
        <v>43536.911370856484</v>
      </c>
      <c r="B1224" s="5">
        <v>43537.2030049652</v>
      </c>
      <c r="C1224" s="6">
        <v>1.042</v>
      </c>
      <c r="D1224" s="6">
        <v>68.0</v>
      </c>
      <c r="E1224" s="7" t="s">
        <v>7</v>
      </c>
      <c r="F1224" s="7" t="s">
        <v>8</v>
      </c>
      <c r="G1224" s="8"/>
    </row>
    <row r="1225">
      <c r="A1225" s="4">
        <v>43536.921827314814</v>
      </c>
      <c r="B1225" s="5">
        <v>43537.2134616319</v>
      </c>
      <c r="C1225" s="6">
        <v>1.041</v>
      </c>
      <c r="D1225" s="6">
        <v>68.0</v>
      </c>
      <c r="E1225" s="7" t="s">
        <v>7</v>
      </c>
      <c r="F1225" s="7" t="s">
        <v>8</v>
      </c>
      <c r="G1225" s="8"/>
    </row>
    <row r="1226">
      <c r="A1226" s="4">
        <v>43536.93224350695</v>
      </c>
      <c r="B1226" s="5">
        <v>43537.2238833796</v>
      </c>
      <c r="C1226" s="6">
        <v>1.042</v>
      </c>
      <c r="D1226" s="6">
        <v>68.0</v>
      </c>
      <c r="E1226" s="7" t="s">
        <v>7</v>
      </c>
      <c r="F1226" s="7" t="s">
        <v>8</v>
      </c>
      <c r="G1226" s="8"/>
    </row>
    <row r="1227">
      <c r="A1227" s="4">
        <v>43536.9426784838</v>
      </c>
      <c r="B1227" s="5">
        <v>43537.2343039814</v>
      </c>
      <c r="C1227" s="6">
        <v>1.042</v>
      </c>
      <c r="D1227" s="6">
        <v>68.0</v>
      </c>
      <c r="E1227" s="7" t="s">
        <v>7</v>
      </c>
      <c r="F1227" s="7" t="s">
        <v>8</v>
      </c>
      <c r="G1227" s="8"/>
    </row>
    <row r="1228">
      <c r="A1228" s="4">
        <v>43536.95309418981</v>
      </c>
      <c r="B1228" s="5">
        <v>43537.2447247569</v>
      </c>
      <c r="C1228" s="6">
        <v>1.041</v>
      </c>
      <c r="D1228" s="6">
        <v>68.0</v>
      </c>
      <c r="E1228" s="7" t="s">
        <v>7</v>
      </c>
      <c r="F1228" s="7" t="s">
        <v>8</v>
      </c>
      <c r="G1228" s="8"/>
    </row>
    <row r="1229">
      <c r="A1229" s="4">
        <v>43536.963505231484</v>
      </c>
      <c r="B1229" s="5">
        <v>43537.2551448726</v>
      </c>
      <c r="C1229" s="6">
        <v>1.041</v>
      </c>
      <c r="D1229" s="6">
        <v>68.0</v>
      </c>
      <c r="E1229" s="7" t="s">
        <v>7</v>
      </c>
      <c r="F1229" s="7" t="s">
        <v>8</v>
      </c>
      <c r="G1229" s="8"/>
    </row>
    <row r="1230">
      <c r="A1230" s="4">
        <v>43536.97393645834</v>
      </c>
      <c r="B1230" s="5">
        <v>43537.2655685995</v>
      </c>
      <c r="C1230" s="6">
        <v>1.041</v>
      </c>
      <c r="D1230" s="6">
        <v>68.0</v>
      </c>
      <c r="E1230" s="7" t="s">
        <v>7</v>
      </c>
      <c r="F1230" s="7" t="s">
        <v>8</v>
      </c>
      <c r="G1230" s="8"/>
    </row>
    <row r="1231">
      <c r="A1231" s="4">
        <v>43536.984377326386</v>
      </c>
      <c r="B1231" s="5">
        <v>43537.2760006944</v>
      </c>
      <c r="C1231" s="6">
        <v>1.041</v>
      </c>
      <c r="D1231" s="6">
        <v>68.0</v>
      </c>
      <c r="E1231" s="7" t="s">
        <v>7</v>
      </c>
      <c r="F1231" s="7" t="s">
        <v>8</v>
      </c>
      <c r="G1231" s="8"/>
    </row>
    <row r="1232">
      <c r="A1232" s="4">
        <v>43536.994789108794</v>
      </c>
      <c r="B1232" s="5">
        <v>43537.286420787</v>
      </c>
      <c r="C1232" s="6">
        <v>1.041</v>
      </c>
      <c r="D1232" s="6">
        <v>68.0</v>
      </c>
      <c r="E1232" s="7" t="s">
        <v>7</v>
      </c>
      <c r="F1232" s="7" t="s">
        <v>8</v>
      </c>
      <c r="G1232" s="8"/>
    </row>
    <row r="1233">
      <c r="A1233" s="4">
        <v>43537.005221597225</v>
      </c>
      <c r="B1233" s="5">
        <v>43537.2968421875</v>
      </c>
      <c r="C1233" s="6">
        <v>1.041</v>
      </c>
      <c r="D1233" s="6">
        <v>68.0</v>
      </c>
      <c r="E1233" s="7" t="s">
        <v>7</v>
      </c>
      <c r="F1233" s="7" t="s">
        <v>8</v>
      </c>
      <c r="G1233" s="8"/>
    </row>
    <row r="1234">
      <c r="A1234" s="4">
        <v>43537.01563296297</v>
      </c>
      <c r="B1234" s="5">
        <v>43537.3072661342</v>
      </c>
      <c r="C1234" s="6">
        <v>1.041</v>
      </c>
      <c r="D1234" s="6">
        <v>68.0</v>
      </c>
      <c r="E1234" s="7" t="s">
        <v>7</v>
      </c>
      <c r="F1234" s="7" t="s">
        <v>8</v>
      </c>
      <c r="G1234" s="8"/>
    </row>
    <row r="1235">
      <c r="A1235" s="4">
        <v>43537.02604791667</v>
      </c>
      <c r="B1235" s="5">
        <v>43537.3176875694</v>
      </c>
      <c r="C1235" s="6">
        <v>1.041</v>
      </c>
      <c r="D1235" s="6">
        <v>68.0</v>
      </c>
      <c r="E1235" s="7" t="s">
        <v>7</v>
      </c>
      <c r="F1235" s="7" t="s">
        <v>8</v>
      </c>
      <c r="G1235" s="8"/>
    </row>
    <row r="1236">
      <c r="A1236" s="4">
        <v>43537.03647820602</v>
      </c>
      <c r="B1236" s="5">
        <v>43537.3281083796</v>
      </c>
      <c r="C1236" s="6">
        <v>1.041</v>
      </c>
      <c r="D1236" s="6">
        <v>68.0</v>
      </c>
      <c r="E1236" s="7" t="s">
        <v>7</v>
      </c>
      <c r="F1236" s="7" t="s">
        <v>8</v>
      </c>
      <c r="G1236" s="8"/>
    </row>
    <row r="1237">
      <c r="A1237" s="4">
        <v>43537.04688995371</v>
      </c>
      <c r="B1237" s="5">
        <v>43537.338531574</v>
      </c>
      <c r="C1237" s="6">
        <v>1.041</v>
      </c>
      <c r="D1237" s="6">
        <v>68.0</v>
      </c>
      <c r="E1237" s="7" t="s">
        <v>7</v>
      </c>
      <c r="F1237" s="7" t="s">
        <v>8</v>
      </c>
      <c r="G1237" s="8"/>
    </row>
    <row r="1238">
      <c r="A1238" s="4">
        <v>43537.057320092594</v>
      </c>
      <c r="B1238" s="5">
        <v>43537.3489527893</v>
      </c>
      <c r="C1238" s="6">
        <v>1.041</v>
      </c>
      <c r="D1238" s="6">
        <v>68.0</v>
      </c>
      <c r="E1238" s="7" t="s">
        <v>7</v>
      </c>
      <c r="F1238" s="7" t="s">
        <v>8</v>
      </c>
      <c r="G1238" s="8"/>
    </row>
    <row r="1239">
      <c r="A1239" s="4">
        <v>43537.06773916667</v>
      </c>
      <c r="B1239" s="5">
        <v>43537.3593748148</v>
      </c>
      <c r="C1239" s="6">
        <v>1.041</v>
      </c>
      <c r="D1239" s="6">
        <v>68.0</v>
      </c>
      <c r="E1239" s="7" t="s">
        <v>7</v>
      </c>
      <c r="F1239" s="7" t="s">
        <v>8</v>
      </c>
      <c r="G1239" s="8"/>
    </row>
    <row r="1240">
      <c r="A1240" s="4">
        <v>43537.07815670139</v>
      </c>
      <c r="B1240" s="5">
        <v>43537.3697960532</v>
      </c>
      <c r="C1240" s="6">
        <v>1.041</v>
      </c>
      <c r="D1240" s="6">
        <v>68.0</v>
      </c>
      <c r="E1240" s="7" t="s">
        <v>7</v>
      </c>
      <c r="F1240" s="7" t="s">
        <v>8</v>
      </c>
      <c r="G1240" s="8"/>
    </row>
    <row r="1241">
      <c r="A1241" s="4">
        <v>43537.08858170139</v>
      </c>
      <c r="B1241" s="5">
        <v>43537.3802182986</v>
      </c>
      <c r="C1241" s="6">
        <v>1.041</v>
      </c>
      <c r="D1241" s="6">
        <v>68.0</v>
      </c>
      <c r="E1241" s="7" t="s">
        <v>7</v>
      </c>
      <c r="F1241" s="7" t="s">
        <v>8</v>
      </c>
      <c r="G1241" s="8"/>
    </row>
    <row r="1242">
      <c r="A1242" s="4">
        <v>43537.09902807871</v>
      </c>
      <c r="B1242" s="5">
        <v>43537.390660706</v>
      </c>
      <c r="C1242" s="6">
        <v>1.041</v>
      </c>
      <c r="D1242" s="6">
        <v>68.0</v>
      </c>
      <c r="E1242" s="7" t="s">
        <v>7</v>
      </c>
      <c r="F1242" s="7" t="s">
        <v>8</v>
      </c>
      <c r="G1242" s="8"/>
    </row>
    <row r="1243">
      <c r="A1243" s="4">
        <v>43537.10948290509</v>
      </c>
      <c r="B1243" s="5">
        <v>43537.4011167824</v>
      </c>
      <c r="C1243" s="6">
        <v>1.041</v>
      </c>
      <c r="D1243" s="6">
        <v>68.0</v>
      </c>
      <c r="E1243" s="7" t="s">
        <v>7</v>
      </c>
      <c r="F1243" s="7" t="s">
        <v>8</v>
      </c>
      <c r="G1243" s="8"/>
    </row>
    <row r="1244">
      <c r="A1244" s="4">
        <v>43537.11990847222</v>
      </c>
      <c r="B1244" s="5">
        <v>43537.4115368865</v>
      </c>
      <c r="C1244" s="6">
        <v>1.041</v>
      </c>
      <c r="D1244" s="6">
        <v>68.0</v>
      </c>
      <c r="E1244" s="7" t="s">
        <v>7</v>
      </c>
      <c r="F1244" s="7" t="s">
        <v>8</v>
      </c>
      <c r="G1244" s="8"/>
    </row>
    <row r="1245">
      <c r="A1245" s="4">
        <v>43537.13034212963</v>
      </c>
      <c r="B1245" s="5">
        <v>43537.4219683449</v>
      </c>
      <c r="C1245" s="6">
        <v>1.041</v>
      </c>
      <c r="D1245" s="6">
        <v>68.0</v>
      </c>
      <c r="E1245" s="7" t="s">
        <v>7</v>
      </c>
      <c r="F1245" s="7" t="s">
        <v>8</v>
      </c>
      <c r="G1245" s="8"/>
    </row>
    <row r="1246">
      <c r="A1246" s="4">
        <v>43537.140761574075</v>
      </c>
      <c r="B1246" s="5">
        <v>43537.4324016203</v>
      </c>
      <c r="C1246" s="6">
        <v>1.041</v>
      </c>
      <c r="D1246" s="6">
        <v>68.0</v>
      </c>
      <c r="E1246" s="7" t="s">
        <v>7</v>
      </c>
      <c r="F1246" s="7" t="s">
        <v>8</v>
      </c>
      <c r="G1246" s="8"/>
    </row>
    <row r="1247">
      <c r="A1247" s="4">
        <v>43537.15120256944</v>
      </c>
      <c r="B1247" s="5">
        <v>43537.4428372685</v>
      </c>
      <c r="C1247" s="6">
        <v>1.041</v>
      </c>
      <c r="D1247" s="6">
        <v>68.0</v>
      </c>
      <c r="E1247" s="7" t="s">
        <v>7</v>
      </c>
      <c r="F1247" s="7" t="s">
        <v>8</v>
      </c>
      <c r="G1247" s="8"/>
    </row>
    <row r="1248">
      <c r="A1248" s="4">
        <v>43537.16162842592</v>
      </c>
      <c r="B1248" s="5">
        <v>43537.4532590509</v>
      </c>
      <c r="C1248" s="6">
        <v>1.041</v>
      </c>
      <c r="D1248" s="6">
        <v>68.0</v>
      </c>
      <c r="E1248" s="7" t="s">
        <v>7</v>
      </c>
      <c r="F1248" s="7" t="s">
        <v>8</v>
      </c>
      <c r="G1248" s="8"/>
    </row>
    <row r="1249">
      <c r="A1249" s="4">
        <v>43537.172043576385</v>
      </c>
      <c r="B1249" s="5">
        <v>43537.463680162</v>
      </c>
      <c r="C1249" s="6">
        <v>1.041</v>
      </c>
      <c r="D1249" s="6">
        <v>68.0</v>
      </c>
      <c r="E1249" s="7" t="s">
        <v>7</v>
      </c>
      <c r="F1249" s="7" t="s">
        <v>8</v>
      </c>
      <c r="G1249" s="8"/>
    </row>
    <row r="1250">
      <c r="A1250" s="4">
        <v>43537.18247935185</v>
      </c>
      <c r="B1250" s="5">
        <v>43537.4741015277</v>
      </c>
      <c r="C1250" s="6">
        <v>1.041</v>
      </c>
      <c r="D1250" s="6">
        <v>68.0</v>
      </c>
      <c r="E1250" s="7" t="s">
        <v>7</v>
      </c>
      <c r="F1250" s="7" t="s">
        <v>8</v>
      </c>
      <c r="G1250" s="8"/>
    </row>
    <row r="1251">
      <c r="A1251" s="4">
        <v>43537.192888668986</v>
      </c>
      <c r="B1251" s="5">
        <v>43537.4845243055</v>
      </c>
      <c r="C1251" s="6">
        <v>1.041</v>
      </c>
      <c r="D1251" s="6">
        <v>68.0</v>
      </c>
      <c r="E1251" s="7" t="s">
        <v>7</v>
      </c>
      <c r="F1251" s="7" t="s">
        <v>8</v>
      </c>
      <c r="G1251" s="8"/>
    </row>
    <row r="1252">
      <c r="A1252" s="4">
        <v>43537.20332068287</v>
      </c>
      <c r="B1252" s="5">
        <v>43537.4949550347</v>
      </c>
      <c r="C1252" s="6">
        <v>1.041</v>
      </c>
      <c r="D1252" s="6">
        <v>68.0</v>
      </c>
      <c r="E1252" s="7" t="s">
        <v>7</v>
      </c>
      <c r="F1252" s="7" t="s">
        <v>8</v>
      </c>
      <c r="G1252" s="8"/>
    </row>
    <row r="1253">
      <c r="A1253" s="4">
        <v>43537.21374697916</v>
      </c>
      <c r="B1253" s="5">
        <v>43537.5053765625</v>
      </c>
      <c r="C1253" s="6">
        <v>1.041</v>
      </c>
      <c r="D1253" s="6">
        <v>68.0</v>
      </c>
      <c r="E1253" s="7" t="s">
        <v>7</v>
      </c>
      <c r="F1253" s="7" t="s">
        <v>8</v>
      </c>
      <c r="G1253" s="8"/>
    </row>
    <row r="1254">
      <c r="A1254" s="4">
        <v>43537.22416923611</v>
      </c>
      <c r="B1254" s="5">
        <v>43537.5157969791</v>
      </c>
      <c r="C1254" s="6">
        <v>1.041</v>
      </c>
      <c r="D1254" s="6">
        <v>68.0</v>
      </c>
      <c r="E1254" s="7" t="s">
        <v>7</v>
      </c>
      <c r="F1254" s="7" t="s">
        <v>8</v>
      </c>
      <c r="G1254" s="8"/>
    </row>
    <row r="1255">
      <c r="A1255" s="4">
        <v>43537.234579675925</v>
      </c>
      <c r="B1255" s="5">
        <v>43537.5262174537</v>
      </c>
      <c r="C1255" s="6">
        <v>1.041</v>
      </c>
      <c r="D1255" s="6">
        <v>68.0</v>
      </c>
      <c r="E1255" s="7" t="s">
        <v>7</v>
      </c>
      <c r="F1255" s="7" t="s">
        <v>8</v>
      </c>
      <c r="G1255" s="8"/>
    </row>
    <row r="1256">
      <c r="A1256" s="4">
        <v>43537.24500292824</v>
      </c>
      <c r="B1256" s="5">
        <v>43537.5366396759</v>
      </c>
      <c r="C1256" s="6">
        <v>1.041</v>
      </c>
      <c r="D1256" s="6">
        <v>68.0</v>
      </c>
      <c r="E1256" s="7" t="s">
        <v>7</v>
      </c>
      <c r="F1256" s="7" t="s">
        <v>8</v>
      </c>
      <c r="G1256" s="8"/>
    </row>
    <row r="1257">
      <c r="A1257" s="4">
        <v>43537.25544760417</v>
      </c>
      <c r="B1257" s="5">
        <v>43537.5470824189</v>
      </c>
      <c r="C1257" s="6">
        <v>1.041</v>
      </c>
      <c r="D1257" s="6">
        <v>68.0</v>
      </c>
      <c r="E1257" s="7" t="s">
        <v>7</v>
      </c>
      <c r="F1257" s="7" t="s">
        <v>8</v>
      </c>
      <c r="G1257" s="8"/>
    </row>
    <row r="1258">
      <c r="A1258" s="4">
        <v>43537.26589285879</v>
      </c>
      <c r="B1258" s="5">
        <v>43537.5575269444</v>
      </c>
      <c r="C1258" s="6">
        <v>1.041</v>
      </c>
      <c r="D1258" s="6">
        <v>68.0</v>
      </c>
      <c r="E1258" s="7" t="s">
        <v>7</v>
      </c>
      <c r="F1258" s="7" t="s">
        <v>8</v>
      </c>
      <c r="G1258" s="8"/>
    </row>
    <row r="1259">
      <c r="A1259" s="4">
        <v>43537.27633707176</v>
      </c>
      <c r="B1259" s="5">
        <v>43537.5679714699</v>
      </c>
      <c r="C1259" s="6">
        <v>1.041</v>
      </c>
      <c r="D1259" s="6">
        <v>68.0</v>
      </c>
      <c r="E1259" s="7" t="s">
        <v>7</v>
      </c>
      <c r="F1259" s="7" t="s">
        <v>8</v>
      </c>
      <c r="G1259" s="8"/>
    </row>
    <row r="1260">
      <c r="A1260" s="4">
        <v>43537.2867667824</v>
      </c>
      <c r="B1260" s="5">
        <v>43537.5783928819</v>
      </c>
      <c r="C1260" s="6">
        <v>1.041</v>
      </c>
      <c r="D1260" s="6">
        <v>68.0</v>
      </c>
      <c r="E1260" s="7" t="s">
        <v>7</v>
      </c>
      <c r="F1260" s="7" t="s">
        <v>8</v>
      </c>
      <c r="G1260" s="8"/>
    </row>
    <row r="1261">
      <c r="A1261" s="4">
        <v>43537.29717806713</v>
      </c>
      <c r="B1261" s="5">
        <v>43537.588813206</v>
      </c>
      <c r="C1261" s="6">
        <v>1.041</v>
      </c>
      <c r="D1261" s="6">
        <v>68.0</v>
      </c>
      <c r="E1261" s="7" t="s">
        <v>7</v>
      </c>
      <c r="F1261" s="7" t="s">
        <v>8</v>
      </c>
      <c r="G1261" s="8"/>
    </row>
    <row r="1262">
      <c r="A1262" s="4">
        <v>43537.3075999537</v>
      </c>
      <c r="B1262" s="5">
        <v>43537.5992346412</v>
      </c>
      <c r="C1262" s="6">
        <v>1.041</v>
      </c>
      <c r="D1262" s="6">
        <v>68.0</v>
      </c>
      <c r="E1262" s="7" t="s">
        <v>7</v>
      </c>
      <c r="F1262" s="7" t="s">
        <v>8</v>
      </c>
      <c r="G1262" s="8"/>
    </row>
    <row r="1263">
      <c r="A1263" s="4">
        <v>43537.31802385417</v>
      </c>
      <c r="B1263" s="5">
        <v>43537.6096566666</v>
      </c>
      <c r="C1263" s="6">
        <v>1.041</v>
      </c>
      <c r="D1263" s="6">
        <v>68.0</v>
      </c>
      <c r="E1263" s="7" t="s">
        <v>7</v>
      </c>
      <c r="F1263" s="7" t="s">
        <v>8</v>
      </c>
      <c r="G1263" s="8"/>
    </row>
    <row r="1264">
      <c r="A1264" s="4">
        <v>43537.328439942125</v>
      </c>
      <c r="B1264" s="5">
        <v>43537.6200772569</v>
      </c>
      <c r="C1264" s="6">
        <v>1.041</v>
      </c>
      <c r="D1264" s="6">
        <v>68.0</v>
      </c>
      <c r="E1264" s="7" t="s">
        <v>7</v>
      </c>
      <c r="F1264" s="7" t="s">
        <v>8</v>
      </c>
      <c r="G1264" s="8"/>
    </row>
    <row r="1265">
      <c r="A1265" s="4">
        <v>43537.33890752315</v>
      </c>
      <c r="B1265" s="5">
        <v>43537.6305440509</v>
      </c>
      <c r="C1265" s="6">
        <v>1.041</v>
      </c>
      <c r="D1265" s="6">
        <v>68.0</v>
      </c>
      <c r="E1265" s="7" t="s">
        <v>7</v>
      </c>
      <c r="F1265" s="7" t="s">
        <v>8</v>
      </c>
      <c r="G1265" s="8"/>
    </row>
    <row r="1266">
      <c r="A1266" s="4">
        <v>43537.34932896991</v>
      </c>
      <c r="B1266" s="5">
        <v>43537.6409646759</v>
      </c>
      <c r="C1266" s="6">
        <v>1.041</v>
      </c>
      <c r="D1266" s="6">
        <v>68.0</v>
      </c>
      <c r="E1266" s="7" t="s">
        <v>7</v>
      </c>
      <c r="F1266" s="7" t="s">
        <v>8</v>
      </c>
      <c r="G1266" s="8"/>
    </row>
    <row r="1267">
      <c r="A1267" s="4">
        <v>43537.35975145834</v>
      </c>
      <c r="B1267" s="5">
        <v>43537.651385787</v>
      </c>
      <c r="C1267" s="6">
        <v>1.041</v>
      </c>
      <c r="D1267" s="6">
        <v>68.0</v>
      </c>
      <c r="E1267" s="7" t="s">
        <v>7</v>
      </c>
      <c r="F1267" s="7" t="s">
        <v>8</v>
      </c>
      <c r="G1267" s="8"/>
    </row>
    <row r="1268">
      <c r="A1268" s="4">
        <v>43537.370168043984</v>
      </c>
      <c r="B1268" s="5">
        <v>43537.6618059953</v>
      </c>
      <c r="C1268" s="6">
        <v>1.041</v>
      </c>
      <c r="D1268" s="6">
        <v>68.0</v>
      </c>
      <c r="E1268" s="7" t="s">
        <v>7</v>
      </c>
      <c r="F1268" s="7" t="s">
        <v>8</v>
      </c>
      <c r="G1268" s="8"/>
    </row>
    <row r="1269">
      <c r="A1269" s="4">
        <v>43537.38059105324</v>
      </c>
      <c r="B1269" s="5">
        <v>43537.6722278703</v>
      </c>
      <c r="C1269" s="6">
        <v>1.041</v>
      </c>
      <c r="D1269" s="6">
        <v>68.0</v>
      </c>
      <c r="E1269" s="7" t="s">
        <v>7</v>
      </c>
      <c r="F1269" s="7" t="s">
        <v>8</v>
      </c>
      <c r="G1269" s="8"/>
    </row>
    <row r="1270">
      <c r="A1270" s="4">
        <v>43537.39102112269</v>
      </c>
      <c r="B1270" s="5">
        <v>43537.6826609953</v>
      </c>
      <c r="C1270" s="6">
        <v>1.04</v>
      </c>
      <c r="D1270" s="6">
        <v>68.0</v>
      </c>
      <c r="E1270" s="7" t="s">
        <v>7</v>
      </c>
      <c r="F1270" s="7" t="s">
        <v>8</v>
      </c>
      <c r="G1270" s="8"/>
    </row>
    <row r="1271">
      <c r="A1271" s="4">
        <v>43537.40146407408</v>
      </c>
      <c r="B1271" s="5">
        <v>43537.6930932986</v>
      </c>
      <c r="C1271" s="6">
        <v>1.04</v>
      </c>
      <c r="D1271" s="6">
        <v>68.0</v>
      </c>
      <c r="E1271" s="7" t="s">
        <v>7</v>
      </c>
      <c r="F1271" s="7" t="s">
        <v>8</v>
      </c>
      <c r="G1271" s="8"/>
    </row>
    <row r="1272">
      <c r="A1272" s="4">
        <v>43537.411887662034</v>
      </c>
      <c r="B1272" s="5">
        <v>43537.7035151157</v>
      </c>
      <c r="C1272" s="6">
        <v>1.04</v>
      </c>
      <c r="D1272" s="6">
        <v>68.0</v>
      </c>
      <c r="E1272" s="7" t="s">
        <v>7</v>
      </c>
      <c r="F1272" s="7" t="s">
        <v>8</v>
      </c>
      <c r="G1272" s="8"/>
    </row>
    <row r="1273">
      <c r="A1273" s="4">
        <v>43537.4222969213</v>
      </c>
      <c r="B1273" s="5">
        <v>43537.7139357986</v>
      </c>
      <c r="C1273" s="6">
        <v>1.041</v>
      </c>
      <c r="D1273" s="6">
        <v>68.0</v>
      </c>
      <c r="E1273" s="7" t="s">
        <v>7</v>
      </c>
      <c r="F1273" s="7" t="s">
        <v>8</v>
      </c>
      <c r="G1273" s="8"/>
    </row>
    <row r="1274">
      <c r="A1274" s="4">
        <v>43537.43272283565</v>
      </c>
      <c r="B1274" s="5">
        <v>43537.7243575926</v>
      </c>
      <c r="C1274" s="6">
        <v>1.041</v>
      </c>
      <c r="D1274" s="6">
        <v>68.0</v>
      </c>
      <c r="E1274" s="7" t="s">
        <v>7</v>
      </c>
      <c r="F1274" s="7" t="s">
        <v>8</v>
      </c>
      <c r="G1274" s="8"/>
    </row>
    <row r="1275">
      <c r="A1275" s="4">
        <v>43537.443139027775</v>
      </c>
      <c r="B1275" s="5">
        <v>43537.7347788194</v>
      </c>
      <c r="C1275" s="6">
        <v>1.041</v>
      </c>
      <c r="D1275" s="6">
        <v>68.0</v>
      </c>
      <c r="E1275" s="7" t="s">
        <v>7</v>
      </c>
      <c r="F1275" s="7" t="s">
        <v>8</v>
      </c>
      <c r="G1275" s="8"/>
    </row>
    <row r="1276">
      <c r="A1276" s="4">
        <v>43537.45358114583</v>
      </c>
      <c r="B1276" s="5">
        <v>43537.7452117129</v>
      </c>
      <c r="C1276" s="6">
        <v>1.04</v>
      </c>
      <c r="D1276" s="6">
        <v>68.0</v>
      </c>
      <c r="E1276" s="7" t="s">
        <v>7</v>
      </c>
      <c r="F1276" s="7" t="s">
        <v>8</v>
      </c>
      <c r="G1276" s="8"/>
    </row>
    <row r="1277">
      <c r="A1277" s="4">
        <v>43537.46400569445</v>
      </c>
      <c r="B1277" s="5">
        <v>43537.7556343055</v>
      </c>
      <c r="C1277" s="6">
        <v>1.041</v>
      </c>
      <c r="D1277" s="6">
        <v>68.0</v>
      </c>
      <c r="E1277" s="7" t="s">
        <v>7</v>
      </c>
      <c r="F1277" s="7" t="s">
        <v>8</v>
      </c>
      <c r="G1277" s="8"/>
    </row>
    <row r="1278">
      <c r="A1278" s="4">
        <v>43537.47441996528</v>
      </c>
      <c r="B1278" s="5">
        <v>43537.7660549652</v>
      </c>
      <c r="C1278" s="6">
        <v>1.04</v>
      </c>
      <c r="D1278" s="6">
        <v>68.0</v>
      </c>
      <c r="E1278" s="7" t="s">
        <v>7</v>
      </c>
      <c r="F1278" s="7" t="s">
        <v>8</v>
      </c>
      <c r="G1278" s="8"/>
    </row>
    <row r="1279">
      <c r="A1279" s="4">
        <v>43537.48484048611</v>
      </c>
      <c r="B1279" s="5">
        <v>43537.7764759953</v>
      </c>
      <c r="C1279" s="6">
        <v>1.041</v>
      </c>
      <c r="D1279" s="6">
        <v>68.0</v>
      </c>
      <c r="E1279" s="7" t="s">
        <v>7</v>
      </c>
      <c r="F1279" s="7" t="s">
        <v>8</v>
      </c>
      <c r="G1279" s="8"/>
    </row>
    <row r="1280">
      <c r="A1280" s="4">
        <v>43537.49529482639</v>
      </c>
      <c r="B1280" s="5">
        <v>43537.7869325694</v>
      </c>
      <c r="C1280" s="6">
        <v>1.041</v>
      </c>
      <c r="D1280" s="6">
        <v>68.0</v>
      </c>
      <c r="E1280" s="7" t="s">
        <v>7</v>
      </c>
      <c r="F1280" s="7" t="s">
        <v>8</v>
      </c>
      <c r="G1280" s="8"/>
    </row>
    <row r="1281">
      <c r="A1281" s="4">
        <v>43537.505719374996</v>
      </c>
      <c r="B1281" s="5">
        <v>43537.7973530787</v>
      </c>
      <c r="C1281" s="6">
        <v>1.04</v>
      </c>
      <c r="D1281" s="6">
        <v>68.0</v>
      </c>
      <c r="E1281" s="7" t="s">
        <v>7</v>
      </c>
      <c r="F1281" s="7" t="s">
        <v>8</v>
      </c>
      <c r="G1281" s="8"/>
    </row>
    <row r="1282">
      <c r="A1282" s="4">
        <v>43537.51614541667</v>
      </c>
      <c r="B1282" s="5">
        <v>43537.8077750231</v>
      </c>
      <c r="C1282" s="6">
        <v>1.04</v>
      </c>
      <c r="D1282" s="6">
        <v>68.0</v>
      </c>
      <c r="E1282" s="7" t="s">
        <v>7</v>
      </c>
      <c r="F1282" s="7" t="s">
        <v>8</v>
      </c>
      <c r="G1282" s="8"/>
    </row>
    <row r="1283">
      <c r="A1283" s="4">
        <v>43537.526559756945</v>
      </c>
      <c r="B1283" s="5">
        <v>43537.8181951041</v>
      </c>
      <c r="C1283" s="6">
        <v>1.04</v>
      </c>
      <c r="D1283" s="6">
        <v>68.0</v>
      </c>
      <c r="E1283" s="7" t="s">
        <v>7</v>
      </c>
      <c r="F1283" s="7" t="s">
        <v>8</v>
      </c>
      <c r="G1283" s="8"/>
    </row>
    <row r="1284">
      <c r="A1284" s="4">
        <v>43537.536992361114</v>
      </c>
      <c r="B1284" s="5">
        <v>43537.828627118</v>
      </c>
      <c r="C1284" s="6">
        <v>1.041</v>
      </c>
      <c r="D1284" s="6">
        <v>68.0</v>
      </c>
      <c r="E1284" s="7" t="s">
        <v>7</v>
      </c>
      <c r="F1284" s="7" t="s">
        <v>8</v>
      </c>
      <c r="G1284" s="8"/>
    </row>
    <row r="1285">
      <c r="A1285" s="4">
        <v>43537.547408321756</v>
      </c>
      <c r="B1285" s="5">
        <v>43537.8390479745</v>
      </c>
      <c r="C1285" s="6">
        <v>1.04</v>
      </c>
      <c r="D1285" s="6">
        <v>68.0</v>
      </c>
      <c r="E1285" s="7" t="s">
        <v>7</v>
      </c>
      <c r="F1285" s="7" t="s">
        <v>8</v>
      </c>
      <c r="G1285" s="8"/>
    </row>
    <row r="1286">
      <c r="A1286" s="4">
        <v>43537.55782672454</v>
      </c>
      <c r="B1286" s="5">
        <v>43537.8494664814</v>
      </c>
      <c r="C1286" s="6">
        <v>1.04</v>
      </c>
      <c r="D1286" s="6">
        <v>68.0</v>
      </c>
      <c r="E1286" s="7" t="s">
        <v>7</v>
      </c>
      <c r="F1286" s="7" t="s">
        <v>8</v>
      </c>
      <c r="G1286" s="8"/>
    </row>
    <row r="1287">
      <c r="A1287" s="4">
        <v>43537.5682493287</v>
      </c>
      <c r="B1287" s="5">
        <v>43537.8598879398</v>
      </c>
      <c r="C1287" s="6">
        <v>1.04</v>
      </c>
      <c r="D1287" s="6">
        <v>68.0</v>
      </c>
      <c r="E1287" s="7" t="s">
        <v>7</v>
      </c>
      <c r="F1287" s="7" t="s">
        <v>8</v>
      </c>
      <c r="G1287" s="8"/>
    </row>
    <row r="1288">
      <c r="A1288" s="4">
        <v>43537.578684374996</v>
      </c>
      <c r="B1288" s="5">
        <v>43537.8703198263</v>
      </c>
      <c r="C1288" s="6">
        <v>1.04</v>
      </c>
      <c r="D1288" s="6">
        <v>68.0</v>
      </c>
      <c r="E1288" s="7" t="s">
        <v>7</v>
      </c>
      <c r="F1288" s="7" t="s">
        <v>8</v>
      </c>
      <c r="G1288" s="8"/>
    </row>
    <row r="1289">
      <c r="A1289" s="4">
        <v>43537.58913791667</v>
      </c>
      <c r="B1289" s="5">
        <v>43537.8807648379</v>
      </c>
      <c r="C1289" s="6">
        <v>1.04</v>
      </c>
      <c r="D1289" s="6">
        <v>68.0</v>
      </c>
      <c r="E1289" s="7" t="s">
        <v>7</v>
      </c>
      <c r="F1289" s="7" t="s">
        <v>8</v>
      </c>
      <c r="G1289" s="8"/>
    </row>
    <row r="1290">
      <c r="A1290" s="4">
        <v>43537.599607199074</v>
      </c>
      <c r="B1290" s="5">
        <v>43537.8911856712</v>
      </c>
      <c r="C1290" s="6">
        <v>1.04</v>
      </c>
      <c r="D1290" s="6">
        <v>68.0</v>
      </c>
      <c r="E1290" s="7" t="s">
        <v>7</v>
      </c>
      <c r="F1290" s="7" t="s">
        <v>8</v>
      </c>
      <c r="G1290" s="8"/>
    </row>
    <row r="1291">
      <c r="A1291" s="4">
        <v>43537.60997800926</v>
      </c>
      <c r="B1291" s="5">
        <v>43537.9016080902</v>
      </c>
      <c r="C1291" s="6">
        <v>1.04</v>
      </c>
      <c r="D1291" s="6">
        <v>68.0</v>
      </c>
      <c r="E1291" s="7" t="s">
        <v>7</v>
      </c>
      <c r="F1291" s="7" t="s">
        <v>8</v>
      </c>
      <c r="G1291" s="8"/>
    </row>
    <row r="1292">
      <c r="A1292" s="4">
        <v>43537.62040327546</v>
      </c>
      <c r="B1292" s="5">
        <v>43537.912042037</v>
      </c>
      <c r="C1292" s="6">
        <v>1.04</v>
      </c>
      <c r="D1292" s="6">
        <v>68.0</v>
      </c>
      <c r="E1292" s="7" t="s">
        <v>7</v>
      </c>
      <c r="F1292" s="7" t="s">
        <v>8</v>
      </c>
      <c r="G1292" s="8"/>
    </row>
    <row r="1293">
      <c r="A1293" s="4">
        <v>43537.63082633102</v>
      </c>
      <c r="B1293" s="5">
        <v>43537.9224641087</v>
      </c>
      <c r="C1293" s="6">
        <v>1.04</v>
      </c>
      <c r="D1293" s="6">
        <v>68.0</v>
      </c>
      <c r="E1293" s="7" t="s">
        <v>7</v>
      </c>
      <c r="F1293" s="7" t="s">
        <v>8</v>
      </c>
      <c r="G1293" s="8"/>
    </row>
    <row r="1294">
      <c r="A1294" s="4">
        <v>43537.64134454861</v>
      </c>
      <c r="B1294" s="5">
        <v>43537.9328961458</v>
      </c>
      <c r="C1294" s="6">
        <v>1.04</v>
      </c>
      <c r="D1294" s="6">
        <v>68.0</v>
      </c>
      <c r="E1294" s="7" t="s">
        <v>7</v>
      </c>
      <c r="F1294" s="7" t="s">
        <v>8</v>
      </c>
      <c r="G1294" s="8"/>
    </row>
    <row r="1295">
      <c r="A1295" s="4">
        <v>43537.65168446759</v>
      </c>
      <c r="B1295" s="5">
        <v>43537.9433170949</v>
      </c>
      <c r="C1295" s="6">
        <v>1.04</v>
      </c>
      <c r="D1295" s="6">
        <v>68.0</v>
      </c>
      <c r="E1295" s="7" t="s">
        <v>7</v>
      </c>
      <c r="F1295" s="7" t="s">
        <v>8</v>
      </c>
      <c r="G1295" s="8"/>
    </row>
    <row r="1296">
      <c r="A1296" s="4">
        <v>43537.66211105324</v>
      </c>
      <c r="B1296" s="5">
        <v>43537.953738912</v>
      </c>
      <c r="C1296" s="6">
        <v>1.04</v>
      </c>
      <c r="D1296" s="6">
        <v>68.0</v>
      </c>
      <c r="E1296" s="7" t="s">
        <v>7</v>
      </c>
      <c r="F1296" s="7" t="s">
        <v>8</v>
      </c>
      <c r="G1296" s="8"/>
    </row>
    <row r="1297">
      <c r="A1297" s="4">
        <v>43537.672535335645</v>
      </c>
      <c r="B1297" s="5">
        <v>43537.9641708449</v>
      </c>
      <c r="C1297" s="6">
        <v>1.04</v>
      </c>
      <c r="D1297" s="6">
        <v>68.0</v>
      </c>
      <c r="E1297" s="7" t="s">
        <v>7</v>
      </c>
      <c r="F1297" s="7" t="s">
        <v>8</v>
      </c>
      <c r="G1297" s="8"/>
    </row>
    <row r="1298">
      <c r="A1298" s="4">
        <v>43537.68301833334</v>
      </c>
      <c r="B1298" s="5">
        <v>43537.9745910648</v>
      </c>
      <c r="C1298" s="6">
        <v>1.04</v>
      </c>
      <c r="D1298" s="6">
        <v>68.0</v>
      </c>
      <c r="E1298" s="7" t="s">
        <v>7</v>
      </c>
      <c r="F1298" s="7" t="s">
        <v>8</v>
      </c>
      <c r="G1298" s="8"/>
    </row>
    <row r="1299">
      <c r="A1299" s="4">
        <v>43537.693413263885</v>
      </c>
      <c r="B1299" s="5">
        <v>43537.985037199</v>
      </c>
      <c r="C1299" s="6">
        <v>1.04</v>
      </c>
      <c r="D1299" s="6">
        <v>68.0</v>
      </c>
      <c r="E1299" s="7" t="s">
        <v>7</v>
      </c>
      <c r="F1299" s="7" t="s">
        <v>8</v>
      </c>
      <c r="G1299" s="8"/>
    </row>
    <row r="1300">
      <c r="A1300" s="4">
        <v>43537.7038177662</v>
      </c>
      <c r="B1300" s="5">
        <v>43537.9954573032</v>
      </c>
      <c r="C1300" s="6">
        <v>1.04</v>
      </c>
      <c r="D1300" s="6">
        <v>68.0</v>
      </c>
      <c r="E1300" s="7" t="s">
        <v>7</v>
      </c>
      <c r="F1300" s="7" t="s">
        <v>8</v>
      </c>
      <c r="G1300" s="8"/>
    </row>
    <row r="1301">
      <c r="A1301" s="4">
        <v>43537.71426988426</v>
      </c>
      <c r="B1301" s="5">
        <v>43538.0059012847</v>
      </c>
      <c r="C1301" s="6">
        <v>1.04</v>
      </c>
      <c r="D1301" s="6">
        <v>68.0</v>
      </c>
      <c r="E1301" s="7" t="s">
        <v>7</v>
      </c>
      <c r="F1301" s="7" t="s">
        <v>8</v>
      </c>
      <c r="G1301" s="8"/>
    </row>
    <row r="1302">
      <c r="A1302" s="4">
        <v>43537.72468802083</v>
      </c>
      <c r="B1302" s="5">
        <v>43538.0163216319</v>
      </c>
      <c r="C1302" s="6">
        <v>1.04</v>
      </c>
      <c r="D1302" s="6">
        <v>68.0</v>
      </c>
      <c r="E1302" s="7" t="s">
        <v>7</v>
      </c>
      <c r="F1302" s="7" t="s">
        <v>8</v>
      </c>
      <c r="G1302" s="8"/>
    </row>
    <row r="1303">
      <c r="A1303" s="4">
        <v>43537.73509864583</v>
      </c>
      <c r="B1303" s="5">
        <v>43538.0267422106</v>
      </c>
      <c r="C1303" s="6">
        <v>1.04</v>
      </c>
      <c r="D1303" s="6">
        <v>68.0</v>
      </c>
      <c r="E1303" s="7" t="s">
        <v>7</v>
      </c>
      <c r="F1303" s="7" t="s">
        <v>8</v>
      </c>
      <c r="G1303" s="8"/>
    </row>
    <row r="1304">
      <c r="A1304" s="4">
        <v>43537.74552462963</v>
      </c>
      <c r="B1304" s="5">
        <v>43538.0371611805</v>
      </c>
      <c r="C1304" s="6">
        <v>1.04</v>
      </c>
      <c r="D1304" s="6">
        <v>68.0</v>
      </c>
      <c r="E1304" s="7" t="s">
        <v>7</v>
      </c>
      <c r="F1304" s="7" t="s">
        <v>8</v>
      </c>
      <c r="G1304" s="8"/>
    </row>
    <row r="1305">
      <c r="A1305" s="4">
        <v>43537.75594793982</v>
      </c>
      <c r="B1305" s="5">
        <v>43538.0475817939</v>
      </c>
      <c r="C1305" s="6">
        <v>1.04</v>
      </c>
      <c r="D1305" s="6">
        <v>68.0</v>
      </c>
      <c r="E1305" s="7" t="s">
        <v>7</v>
      </c>
      <c r="F1305" s="7" t="s">
        <v>8</v>
      </c>
      <c r="G1305" s="8"/>
    </row>
    <row r="1306">
      <c r="A1306" s="4">
        <v>43537.766394328704</v>
      </c>
      <c r="B1306" s="5">
        <v>43538.0580259837</v>
      </c>
      <c r="C1306" s="6">
        <v>1.04</v>
      </c>
      <c r="D1306" s="6">
        <v>68.0</v>
      </c>
      <c r="E1306" s="7" t="s">
        <v>7</v>
      </c>
      <c r="F1306" s="7" t="s">
        <v>8</v>
      </c>
      <c r="G1306" s="8"/>
    </row>
    <row r="1307">
      <c r="A1307" s="4">
        <v>43537.77680965277</v>
      </c>
      <c r="B1307" s="5">
        <v>43538.0684473958</v>
      </c>
      <c r="C1307" s="6">
        <v>1.04</v>
      </c>
      <c r="D1307" s="6">
        <v>68.0</v>
      </c>
      <c r="E1307" s="7" t="s">
        <v>7</v>
      </c>
      <c r="F1307" s="7" t="s">
        <v>8</v>
      </c>
      <c r="G1307" s="8"/>
    </row>
    <row r="1308">
      <c r="A1308" s="4">
        <v>43537.787267997686</v>
      </c>
      <c r="B1308" s="5">
        <v>43538.0789036226</v>
      </c>
      <c r="C1308" s="6">
        <v>1.04</v>
      </c>
      <c r="D1308" s="6">
        <v>68.0</v>
      </c>
      <c r="E1308" s="7" t="s">
        <v>7</v>
      </c>
      <c r="F1308" s="7" t="s">
        <v>8</v>
      </c>
      <c r="G1308" s="8"/>
    </row>
    <row r="1309">
      <c r="A1309" s="4">
        <v>43537.79768633102</v>
      </c>
      <c r="B1309" s="5">
        <v>43538.0893233912</v>
      </c>
      <c r="C1309" s="6">
        <v>1.04</v>
      </c>
      <c r="D1309" s="6">
        <v>68.0</v>
      </c>
      <c r="E1309" s="7" t="s">
        <v>7</v>
      </c>
      <c r="F1309" s="7" t="s">
        <v>8</v>
      </c>
      <c r="G1309" s="8"/>
    </row>
    <row r="1310">
      <c r="A1310" s="4">
        <v>43537.808107812496</v>
      </c>
      <c r="B1310" s="5">
        <v>43538.0997439236</v>
      </c>
      <c r="C1310" s="6">
        <v>1.04</v>
      </c>
      <c r="D1310" s="6">
        <v>68.0</v>
      </c>
      <c r="E1310" s="7" t="s">
        <v>7</v>
      </c>
      <c r="F1310" s="7" t="s">
        <v>8</v>
      </c>
      <c r="G1310" s="8"/>
    </row>
    <row r="1311">
      <c r="A1311" s="4">
        <v>43537.81853738426</v>
      </c>
      <c r="B1311" s="5">
        <v>43538.1101753009</v>
      </c>
      <c r="C1311" s="6">
        <v>1.04</v>
      </c>
      <c r="D1311" s="6">
        <v>68.0</v>
      </c>
      <c r="E1311" s="7" t="s">
        <v>7</v>
      </c>
      <c r="F1311" s="7" t="s">
        <v>8</v>
      </c>
      <c r="G1311" s="8"/>
    </row>
    <row r="1312">
      <c r="A1312" s="4">
        <v>43537.82897469908</v>
      </c>
      <c r="B1312" s="5">
        <v>43538.1206075231</v>
      </c>
      <c r="C1312" s="6">
        <v>1.04</v>
      </c>
      <c r="D1312" s="6">
        <v>68.0</v>
      </c>
      <c r="E1312" s="7" t="s">
        <v>7</v>
      </c>
      <c r="F1312" s="7" t="s">
        <v>8</v>
      </c>
      <c r="G1312" s="8"/>
    </row>
    <row r="1313">
      <c r="A1313" s="4">
        <v>43537.83939623843</v>
      </c>
      <c r="B1313" s="5">
        <v>43538.1310298611</v>
      </c>
      <c r="C1313" s="6">
        <v>1.04</v>
      </c>
      <c r="D1313" s="6">
        <v>68.0</v>
      </c>
      <c r="E1313" s="7" t="s">
        <v>7</v>
      </c>
      <c r="F1313" s="7" t="s">
        <v>8</v>
      </c>
      <c r="G1313" s="8"/>
    </row>
    <row r="1314">
      <c r="A1314" s="4">
        <v>43537.849884236115</v>
      </c>
      <c r="B1314" s="5">
        <v>43538.1415206018</v>
      </c>
      <c r="C1314" s="6">
        <v>1.04</v>
      </c>
      <c r="D1314" s="6">
        <v>68.0</v>
      </c>
      <c r="E1314" s="7" t="s">
        <v>7</v>
      </c>
      <c r="F1314" s="7" t="s">
        <v>8</v>
      </c>
      <c r="G1314" s="8"/>
    </row>
    <row r="1315">
      <c r="A1315" s="4">
        <v>43537.860306365736</v>
      </c>
      <c r="B1315" s="5">
        <v>43538.1519417939</v>
      </c>
      <c r="C1315" s="6">
        <v>1.04</v>
      </c>
      <c r="D1315" s="6">
        <v>68.0</v>
      </c>
      <c r="E1315" s="7" t="s">
        <v>7</v>
      </c>
      <c r="F1315" s="7" t="s">
        <v>8</v>
      </c>
      <c r="G1315" s="8"/>
    </row>
    <row r="1316">
      <c r="A1316" s="4">
        <v>43537.870724259265</v>
      </c>
      <c r="B1316" s="5">
        <v>43538.1623625231</v>
      </c>
      <c r="C1316" s="6">
        <v>1.04</v>
      </c>
      <c r="D1316" s="6">
        <v>68.0</v>
      </c>
      <c r="E1316" s="7" t="s">
        <v>7</v>
      </c>
      <c r="F1316" s="7" t="s">
        <v>8</v>
      </c>
      <c r="G1316" s="8"/>
    </row>
    <row r="1317">
      <c r="A1317" s="4">
        <v>43537.88114449074</v>
      </c>
      <c r="B1317" s="5">
        <v>43538.1727842129</v>
      </c>
      <c r="C1317" s="6">
        <v>1.04</v>
      </c>
      <c r="D1317" s="6">
        <v>68.0</v>
      </c>
      <c r="E1317" s="7" t="s">
        <v>7</v>
      </c>
      <c r="F1317" s="7" t="s">
        <v>8</v>
      </c>
      <c r="G1317" s="8"/>
    </row>
    <row r="1318">
      <c r="A1318" s="4">
        <v>43537.89157306713</v>
      </c>
      <c r="B1318" s="5">
        <v>43538.1832052662</v>
      </c>
      <c r="C1318" s="6">
        <v>1.04</v>
      </c>
      <c r="D1318" s="6">
        <v>68.0</v>
      </c>
      <c r="E1318" s="7" t="s">
        <v>7</v>
      </c>
      <c r="F1318" s="7" t="s">
        <v>8</v>
      </c>
      <c r="G1318" s="8"/>
    </row>
    <row r="1319">
      <c r="A1319" s="4">
        <v>43537.90199388889</v>
      </c>
      <c r="B1319" s="5">
        <v>43538.1936283101</v>
      </c>
      <c r="C1319" s="6">
        <v>1.04</v>
      </c>
      <c r="D1319" s="6">
        <v>68.0</v>
      </c>
      <c r="E1319" s="7" t="s">
        <v>7</v>
      </c>
      <c r="F1319" s="7" t="s">
        <v>8</v>
      </c>
      <c r="G1319" s="8"/>
    </row>
    <row r="1320">
      <c r="A1320" s="4">
        <v>43537.9124308912</v>
      </c>
      <c r="B1320" s="5">
        <v>43538.2040740046</v>
      </c>
      <c r="C1320" s="6">
        <v>1.04</v>
      </c>
      <c r="D1320" s="6">
        <v>68.0</v>
      </c>
      <c r="E1320" s="7" t="s">
        <v>7</v>
      </c>
      <c r="F1320" s="7" t="s">
        <v>8</v>
      </c>
      <c r="G1320" s="8"/>
    </row>
    <row r="1321">
      <c r="A1321" s="4">
        <v>43537.922889884256</v>
      </c>
      <c r="B1321" s="5">
        <v>43538.2144941666</v>
      </c>
      <c r="C1321" s="6">
        <v>1.04</v>
      </c>
      <c r="D1321" s="6">
        <v>68.0</v>
      </c>
      <c r="E1321" s="7" t="s">
        <v>7</v>
      </c>
      <c r="F1321" s="7" t="s">
        <v>8</v>
      </c>
      <c r="G1321" s="8"/>
    </row>
    <row r="1322">
      <c r="A1322" s="4">
        <v>43537.93328039352</v>
      </c>
      <c r="B1322" s="5">
        <v>43538.2249163657</v>
      </c>
      <c r="C1322" s="6">
        <v>1.04</v>
      </c>
      <c r="D1322" s="6">
        <v>68.0</v>
      </c>
      <c r="E1322" s="7" t="s">
        <v>7</v>
      </c>
      <c r="F1322" s="7" t="s">
        <v>8</v>
      </c>
      <c r="G1322" s="8"/>
    </row>
    <row r="1323">
      <c r="A1323" s="4">
        <v>43537.94370278935</v>
      </c>
      <c r="B1323" s="5">
        <v>43538.2353353472</v>
      </c>
      <c r="C1323" s="6">
        <v>1.04</v>
      </c>
      <c r="D1323" s="6">
        <v>68.0</v>
      </c>
      <c r="E1323" s="7" t="s">
        <v>7</v>
      </c>
      <c r="F1323" s="7" t="s">
        <v>8</v>
      </c>
      <c r="G1323" s="8"/>
    </row>
    <row r="1324">
      <c r="A1324" s="4">
        <v>43537.95411623843</v>
      </c>
      <c r="B1324" s="5">
        <v>43538.2457564583</v>
      </c>
      <c r="C1324" s="6">
        <v>1.04</v>
      </c>
      <c r="D1324" s="6">
        <v>68.0</v>
      </c>
      <c r="E1324" s="7" t="s">
        <v>7</v>
      </c>
      <c r="F1324" s="7" t="s">
        <v>8</v>
      </c>
      <c r="G1324" s="8"/>
    </row>
    <row r="1325">
      <c r="A1325" s="4">
        <v>43537.964578495375</v>
      </c>
      <c r="B1325" s="5">
        <v>43538.2562010763</v>
      </c>
      <c r="C1325" s="6">
        <v>1.04</v>
      </c>
      <c r="D1325" s="6">
        <v>68.0</v>
      </c>
      <c r="E1325" s="7" t="s">
        <v>7</v>
      </c>
      <c r="F1325" s="7" t="s">
        <v>8</v>
      </c>
      <c r="G1325" s="8"/>
    </row>
    <row r="1326">
      <c r="A1326" s="4">
        <v>43537.974996840276</v>
      </c>
      <c r="B1326" s="5">
        <v>43538.2666348495</v>
      </c>
      <c r="C1326" s="6">
        <v>1.04</v>
      </c>
      <c r="D1326" s="6">
        <v>68.0</v>
      </c>
      <c r="E1326" s="7" t="s">
        <v>7</v>
      </c>
      <c r="F1326" s="7" t="s">
        <v>8</v>
      </c>
      <c r="G1326" s="8"/>
    </row>
    <row r="1327">
      <c r="A1327" s="4">
        <v>43537.98542621528</v>
      </c>
      <c r="B1327" s="5">
        <v>43538.2770667013</v>
      </c>
      <c r="C1327" s="6">
        <v>1.04</v>
      </c>
      <c r="D1327" s="6">
        <v>68.0</v>
      </c>
      <c r="E1327" s="7" t="s">
        <v>7</v>
      </c>
      <c r="F1327" s="7" t="s">
        <v>8</v>
      </c>
      <c r="G1327" s="8"/>
    </row>
    <row r="1328">
      <c r="A1328" s="4">
        <v>43537.99587550926</v>
      </c>
      <c r="B1328" s="5">
        <v>43538.2875105324</v>
      </c>
      <c r="C1328" s="6">
        <v>1.04</v>
      </c>
      <c r="D1328" s="6">
        <v>68.0</v>
      </c>
      <c r="E1328" s="7" t="s">
        <v>7</v>
      </c>
      <c r="F1328" s="7" t="s">
        <v>8</v>
      </c>
      <c r="G1328" s="8"/>
    </row>
    <row r="1329">
      <c r="A1329" s="4">
        <v>43538.006294837964</v>
      </c>
      <c r="B1329" s="5">
        <v>43538.2979311689</v>
      </c>
      <c r="C1329" s="6">
        <v>1.04</v>
      </c>
      <c r="D1329" s="6">
        <v>68.0</v>
      </c>
      <c r="E1329" s="7" t="s">
        <v>7</v>
      </c>
      <c r="F1329" s="7" t="s">
        <v>8</v>
      </c>
      <c r="G1329" s="8"/>
    </row>
    <row r="1330">
      <c r="A1330" s="4">
        <v>43538.01671965278</v>
      </c>
      <c r="B1330" s="5">
        <v>43538.3083534606</v>
      </c>
      <c r="C1330" s="6">
        <v>1.04</v>
      </c>
      <c r="D1330" s="6">
        <v>68.0</v>
      </c>
      <c r="E1330" s="7" t="s">
        <v>7</v>
      </c>
      <c r="F1330" s="7" t="s">
        <v>8</v>
      </c>
      <c r="G1330" s="8"/>
    </row>
    <row r="1331">
      <c r="A1331" s="4">
        <v>43538.02713663194</v>
      </c>
      <c r="B1331" s="5">
        <v>43538.3187750231</v>
      </c>
      <c r="C1331" s="6">
        <v>1.04</v>
      </c>
      <c r="D1331" s="6">
        <v>68.0</v>
      </c>
      <c r="E1331" s="7" t="s">
        <v>7</v>
      </c>
      <c r="F1331" s="7" t="s">
        <v>8</v>
      </c>
      <c r="G1331" s="8"/>
    </row>
    <row r="1332">
      <c r="A1332" s="4">
        <v>43538.03755767361</v>
      </c>
      <c r="B1332" s="5">
        <v>43538.329195081</v>
      </c>
      <c r="C1332" s="6">
        <v>1.04</v>
      </c>
      <c r="D1332" s="6">
        <v>68.0</v>
      </c>
      <c r="E1332" s="7" t="s">
        <v>7</v>
      </c>
      <c r="F1332" s="7" t="s">
        <v>8</v>
      </c>
      <c r="G1332" s="8"/>
    </row>
    <row r="1333">
      <c r="A1333" s="4">
        <v>43538.0481463426</v>
      </c>
      <c r="B1333" s="5">
        <v>43538.3396283796</v>
      </c>
      <c r="C1333" s="6">
        <v>1.04</v>
      </c>
      <c r="D1333" s="6">
        <v>68.0</v>
      </c>
      <c r="E1333" s="7" t="s">
        <v>7</v>
      </c>
      <c r="F1333" s="7" t="s">
        <v>8</v>
      </c>
      <c r="G1333" s="8"/>
    </row>
    <row r="1334">
      <c r="A1334" s="4">
        <v>43538.05843689815</v>
      </c>
      <c r="B1334" s="5">
        <v>43538.3500740625</v>
      </c>
      <c r="C1334" s="6">
        <v>1.04</v>
      </c>
      <c r="D1334" s="6">
        <v>68.0</v>
      </c>
      <c r="E1334" s="7" t="s">
        <v>7</v>
      </c>
      <c r="F1334" s="7" t="s">
        <v>8</v>
      </c>
      <c r="G1334" s="8"/>
    </row>
    <row r="1335">
      <c r="A1335" s="4">
        <v>43538.06885841435</v>
      </c>
      <c r="B1335" s="5">
        <v>43538.3604952314</v>
      </c>
      <c r="C1335" s="6">
        <v>1.04</v>
      </c>
      <c r="D1335" s="6">
        <v>68.0</v>
      </c>
      <c r="E1335" s="7" t="s">
        <v>7</v>
      </c>
      <c r="F1335" s="7" t="s">
        <v>8</v>
      </c>
      <c r="G1335" s="8"/>
    </row>
    <row r="1336">
      <c r="A1336" s="4">
        <v>43538.07927371528</v>
      </c>
      <c r="B1336" s="5">
        <v>43538.3709162847</v>
      </c>
      <c r="C1336" s="6">
        <v>1.04</v>
      </c>
      <c r="D1336" s="6">
        <v>68.0</v>
      </c>
      <c r="E1336" s="7" t="s">
        <v>7</v>
      </c>
      <c r="F1336" s="7" t="s">
        <v>8</v>
      </c>
      <c r="G1336" s="8"/>
    </row>
    <row r="1337">
      <c r="A1337" s="4">
        <v>43538.089711493056</v>
      </c>
      <c r="B1337" s="5">
        <v>43538.3813363194</v>
      </c>
      <c r="C1337" s="6">
        <v>1.04</v>
      </c>
      <c r="D1337" s="6">
        <v>68.0</v>
      </c>
      <c r="E1337" s="7" t="s">
        <v>7</v>
      </c>
      <c r="F1337" s="7" t="s">
        <v>8</v>
      </c>
      <c r="G1337" s="8"/>
    </row>
    <row r="1338">
      <c r="A1338" s="4">
        <v>43538.10012894676</v>
      </c>
      <c r="B1338" s="5">
        <v>43538.3917594791</v>
      </c>
      <c r="C1338" s="6">
        <v>1.04</v>
      </c>
      <c r="D1338" s="6">
        <v>68.0</v>
      </c>
      <c r="E1338" s="7" t="s">
        <v>7</v>
      </c>
      <c r="F1338" s="7" t="s">
        <v>8</v>
      </c>
      <c r="G1338" s="8"/>
    </row>
    <row r="1339">
      <c r="A1339" s="4">
        <v>43538.11055305555</v>
      </c>
      <c r="B1339" s="5">
        <v>43538.40218103</v>
      </c>
      <c r="C1339" s="6">
        <v>1.04</v>
      </c>
      <c r="D1339" s="6">
        <v>68.0</v>
      </c>
      <c r="E1339" s="7" t="s">
        <v>7</v>
      </c>
      <c r="F1339" s="7" t="s">
        <v>8</v>
      </c>
      <c r="G1339" s="8"/>
    </row>
    <row r="1340">
      <c r="A1340" s="4">
        <v>43538.12096487268</v>
      </c>
      <c r="B1340" s="5">
        <v>43538.412600949</v>
      </c>
      <c r="C1340" s="6">
        <v>1.04</v>
      </c>
      <c r="D1340" s="6">
        <v>68.0</v>
      </c>
      <c r="E1340" s="7" t="s">
        <v>7</v>
      </c>
      <c r="F1340" s="7" t="s">
        <v>8</v>
      </c>
      <c r="G1340" s="8"/>
    </row>
    <row r="1341">
      <c r="A1341" s="4">
        <v>43538.13138615741</v>
      </c>
      <c r="B1341" s="5">
        <v>43538.4230203356</v>
      </c>
      <c r="C1341" s="6">
        <v>1.04</v>
      </c>
      <c r="D1341" s="6">
        <v>68.0</v>
      </c>
      <c r="E1341" s="7" t="s">
        <v>7</v>
      </c>
      <c r="F1341" s="7" t="s">
        <v>8</v>
      </c>
      <c r="G1341" s="8"/>
    </row>
    <row r="1342">
      <c r="A1342" s="4">
        <v>43538.141818715274</v>
      </c>
      <c r="B1342" s="5">
        <v>43538.4334531481</v>
      </c>
      <c r="C1342" s="6">
        <v>1.04</v>
      </c>
      <c r="D1342" s="6">
        <v>68.0</v>
      </c>
      <c r="E1342" s="7" t="s">
        <v>7</v>
      </c>
      <c r="F1342" s="7" t="s">
        <v>8</v>
      </c>
      <c r="G1342" s="8"/>
    </row>
    <row r="1343">
      <c r="A1343" s="4">
        <v>43538.15225863426</v>
      </c>
      <c r="B1343" s="5">
        <v>43538.4438869675</v>
      </c>
      <c r="C1343" s="6">
        <v>1.04</v>
      </c>
      <c r="D1343" s="6">
        <v>68.0</v>
      </c>
      <c r="E1343" s="7" t="s">
        <v>7</v>
      </c>
      <c r="F1343" s="7" t="s">
        <v>8</v>
      </c>
      <c r="G1343" s="8"/>
    </row>
    <row r="1344">
      <c r="A1344" s="4">
        <v>43538.16269824074</v>
      </c>
      <c r="B1344" s="5">
        <v>43538.4543312847</v>
      </c>
      <c r="C1344" s="6">
        <v>1.04</v>
      </c>
      <c r="D1344" s="6">
        <v>68.0</v>
      </c>
      <c r="E1344" s="7" t="s">
        <v>7</v>
      </c>
      <c r="F1344" s="7" t="s">
        <v>8</v>
      </c>
      <c r="G1344" s="8"/>
    </row>
    <row r="1345">
      <c r="A1345" s="4">
        <v>43538.173117569444</v>
      </c>
      <c r="B1345" s="5">
        <v>43538.4647516666</v>
      </c>
      <c r="C1345" s="6">
        <v>1.04</v>
      </c>
      <c r="D1345" s="6">
        <v>68.0</v>
      </c>
      <c r="E1345" s="7" t="s">
        <v>7</v>
      </c>
      <c r="F1345" s="7" t="s">
        <v>8</v>
      </c>
      <c r="G1345" s="8"/>
    </row>
    <row r="1346">
      <c r="A1346" s="4">
        <v>43538.183554143514</v>
      </c>
      <c r="B1346" s="5">
        <v>43538.4751842476</v>
      </c>
      <c r="C1346" s="6">
        <v>1.04</v>
      </c>
      <c r="D1346" s="6">
        <v>68.0</v>
      </c>
      <c r="E1346" s="7" t="s">
        <v>7</v>
      </c>
      <c r="F1346" s="7" t="s">
        <v>8</v>
      </c>
      <c r="G1346" s="8"/>
    </row>
    <row r="1347">
      <c r="A1347" s="4">
        <v>43538.194031782405</v>
      </c>
      <c r="B1347" s="5">
        <v>43538.4856624768</v>
      </c>
      <c r="C1347" s="6">
        <v>1.04</v>
      </c>
      <c r="D1347" s="6">
        <v>68.0</v>
      </c>
      <c r="E1347" s="7" t="s">
        <v>7</v>
      </c>
      <c r="F1347" s="7" t="s">
        <v>8</v>
      </c>
      <c r="G1347" s="8"/>
    </row>
    <row r="1348">
      <c r="A1348" s="4">
        <v>43538.204473935184</v>
      </c>
      <c r="B1348" s="5">
        <v>43538.4961053935</v>
      </c>
      <c r="C1348" s="6">
        <v>1.04</v>
      </c>
      <c r="D1348" s="6">
        <v>68.0</v>
      </c>
      <c r="E1348" s="7" t="s">
        <v>7</v>
      </c>
      <c r="F1348" s="7" t="s">
        <v>8</v>
      </c>
      <c r="G1348" s="8"/>
    </row>
    <row r="1349">
      <c r="A1349" s="4">
        <v>43538.21491030093</v>
      </c>
      <c r="B1349" s="5">
        <v>43538.5065263888</v>
      </c>
      <c r="C1349" s="6">
        <v>1.039</v>
      </c>
      <c r="D1349" s="6">
        <v>68.0</v>
      </c>
      <c r="E1349" s="7" t="s">
        <v>7</v>
      </c>
      <c r="F1349" s="7" t="s">
        <v>8</v>
      </c>
      <c r="G1349" s="8"/>
    </row>
    <row r="1350">
      <c r="A1350" s="4">
        <v>43538.22531489583</v>
      </c>
      <c r="B1350" s="5">
        <v>43538.5169470023</v>
      </c>
      <c r="C1350" s="6">
        <v>1.04</v>
      </c>
      <c r="D1350" s="6">
        <v>68.0</v>
      </c>
      <c r="E1350" s="7" t="s">
        <v>7</v>
      </c>
      <c r="F1350" s="7" t="s">
        <v>8</v>
      </c>
      <c r="G1350" s="8"/>
    </row>
    <row r="1351">
      <c r="A1351" s="4">
        <v>43538.23573270833</v>
      </c>
      <c r="B1351" s="5">
        <v>43538.5273683449</v>
      </c>
      <c r="C1351" s="6">
        <v>1.039</v>
      </c>
      <c r="D1351" s="6">
        <v>68.0</v>
      </c>
      <c r="E1351" s="7" t="s">
        <v>7</v>
      </c>
      <c r="F1351" s="7" t="s">
        <v>8</v>
      </c>
      <c r="G1351" s="8"/>
    </row>
    <row r="1352">
      <c r="A1352" s="4">
        <v>43538.24614920139</v>
      </c>
      <c r="B1352" s="5">
        <v>43538.5377887963</v>
      </c>
      <c r="C1352" s="6">
        <v>1.04</v>
      </c>
      <c r="D1352" s="6">
        <v>68.0</v>
      </c>
      <c r="E1352" s="7" t="s">
        <v>7</v>
      </c>
      <c r="F1352" s="7" t="s">
        <v>8</v>
      </c>
      <c r="G1352" s="8"/>
    </row>
    <row r="1353">
      <c r="A1353" s="4">
        <v>43538.25657034722</v>
      </c>
      <c r="B1353" s="5">
        <v>43538.5482106134</v>
      </c>
      <c r="C1353" s="6">
        <v>1.039</v>
      </c>
      <c r="D1353" s="6">
        <v>68.0</v>
      </c>
      <c r="E1353" s="7" t="s">
        <v>7</v>
      </c>
      <c r="F1353" s="7" t="s">
        <v>8</v>
      </c>
      <c r="G1353" s="8"/>
    </row>
    <row r="1354">
      <c r="A1354" s="4">
        <v>43538.26700934028</v>
      </c>
      <c r="B1354" s="5">
        <v>43538.5586315509</v>
      </c>
      <c r="C1354" s="6">
        <v>1.039</v>
      </c>
      <c r="D1354" s="6">
        <v>68.0</v>
      </c>
      <c r="E1354" s="7" t="s">
        <v>7</v>
      </c>
      <c r="F1354" s="7" t="s">
        <v>8</v>
      </c>
      <c r="G1354" s="8"/>
    </row>
    <row r="1355">
      <c r="A1355" s="4">
        <v>43538.27742747685</v>
      </c>
      <c r="B1355" s="5">
        <v>43538.5690528588</v>
      </c>
      <c r="C1355" s="6">
        <v>1.039</v>
      </c>
      <c r="D1355" s="6">
        <v>68.0</v>
      </c>
      <c r="E1355" s="7" t="s">
        <v>7</v>
      </c>
      <c r="F1355" s="7" t="s">
        <v>8</v>
      </c>
      <c r="G1355" s="8"/>
    </row>
    <row r="1356">
      <c r="A1356" s="4">
        <v>43538.28784431713</v>
      </c>
      <c r="B1356" s="5">
        <v>43538.5794741435</v>
      </c>
      <c r="C1356" s="6">
        <v>1.039</v>
      </c>
      <c r="D1356" s="6">
        <v>68.0</v>
      </c>
      <c r="E1356" s="7" t="s">
        <v>7</v>
      </c>
      <c r="F1356" s="7" t="s">
        <v>8</v>
      </c>
      <c r="G1356" s="8"/>
    </row>
    <row r="1357">
      <c r="A1357" s="4">
        <v>43538.29832275463</v>
      </c>
      <c r="B1357" s="5">
        <v>43538.5898941435</v>
      </c>
      <c r="C1357" s="6">
        <v>1.039</v>
      </c>
      <c r="D1357" s="6">
        <v>68.0</v>
      </c>
      <c r="E1357" s="7" t="s">
        <v>7</v>
      </c>
      <c r="F1357" s="7" t="s">
        <v>8</v>
      </c>
      <c r="G1357" s="8"/>
    </row>
    <row r="1358">
      <c r="A1358" s="4">
        <v>43538.30869534722</v>
      </c>
      <c r="B1358" s="5">
        <v>43538.600327743</v>
      </c>
      <c r="C1358" s="6">
        <v>1.04</v>
      </c>
      <c r="D1358" s="6">
        <v>68.0</v>
      </c>
      <c r="E1358" s="7" t="s">
        <v>7</v>
      </c>
      <c r="F1358" s="7" t="s">
        <v>8</v>
      </c>
      <c r="G1358" s="8"/>
    </row>
    <row r="1359">
      <c r="A1359" s="4">
        <v>43538.31911399306</v>
      </c>
      <c r="B1359" s="5">
        <v>43538.6107475347</v>
      </c>
      <c r="C1359" s="6">
        <v>1.039</v>
      </c>
      <c r="D1359" s="6">
        <v>68.0</v>
      </c>
      <c r="E1359" s="7" t="s">
        <v>7</v>
      </c>
      <c r="F1359" s="7" t="s">
        <v>8</v>
      </c>
      <c r="G1359" s="8"/>
    </row>
    <row r="1360">
      <c r="A1360" s="4">
        <v>43538.32953225695</v>
      </c>
      <c r="B1360" s="5">
        <v>43538.6211683449</v>
      </c>
      <c r="C1360" s="6">
        <v>1.039</v>
      </c>
      <c r="D1360" s="6">
        <v>68.0</v>
      </c>
      <c r="E1360" s="7" t="s">
        <v>7</v>
      </c>
      <c r="F1360" s="7" t="s">
        <v>8</v>
      </c>
      <c r="G1360" s="8"/>
    </row>
    <row r="1361">
      <c r="A1361" s="4">
        <v>43538.33995159723</v>
      </c>
      <c r="B1361" s="5">
        <v>43538.6315889236</v>
      </c>
      <c r="C1361" s="6">
        <v>1.04</v>
      </c>
      <c r="D1361" s="6">
        <v>68.0</v>
      </c>
      <c r="E1361" s="7" t="s">
        <v>7</v>
      </c>
      <c r="F1361" s="7" t="s">
        <v>8</v>
      </c>
      <c r="G1361" s="8"/>
    </row>
    <row r="1362">
      <c r="A1362" s="4">
        <v>43538.35037525463</v>
      </c>
      <c r="B1362" s="5">
        <v>43538.6420125578</v>
      </c>
      <c r="C1362" s="6">
        <v>1.039</v>
      </c>
      <c r="D1362" s="6">
        <v>68.0</v>
      </c>
      <c r="E1362" s="7" t="s">
        <v>7</v>
      </c>
      <c r="F1362" s="7" t="s">
        <v>8</v>
      </c>
      <c r="G1362" s="8"/>
    </row>
    <row r="1363">
      <c r="A1363" s="4">
        <v>43538.36083826389</v>
      </c>
      <c r="B1363" s="5">
        <v>43538.6524685648</v>
      </c>
      <c r="C1363" s="6">
        <v>1.039</v>
      </c>
      <c r="D1363" s="6">
        <v>68.0</v>
      </c>
      <c r="E1363" s="7" t="s">
        <v>7</v>
      </c>
      <c r="F1363" s="7" t="s">
        <v>8</v>
      </c>
      <c r="G1363" s="8"/>
    </row>
    <row r="1364">
      <c r="A1364" s="4">
        <v>43538.371253749996</v>
      </c>
      <c r="B1364" s="5">
        <v>43538.6628898495</v>
      </c>
      <c r="C1364" s="6">
        <v>1.039</v>
      </c>
      <c r="D1364" s="6">
        <v>68.0</v>
      </c>
      <c r="E1364" s="7" t="s">
        <v>7</v>
      </c>
      <c r="F1364" s="7" t="s">
        <v>8</v>
      </c>
      <c r="G1364" s="8"/>
    </row>
    <row r="1365">
      <c r="A1365" s="4">
        <v>43538.381680983795</v>
      </c>
      <c r="B1365" s="5">
        <v>43538.673311574</v>
      </c>
      <c r="C1365" s="6">
        <v>1.039</v>
      </c>
      <c r="D1365" s="6">
        <v>68.0</v>
      </c>
      <c r="E1365" s="7" t="s">
        <v>7</v>
      </c>
      <c r="F1365" s="7" t="s">
        <v>8</v>
      </c>
      <c r="G1365" s="8"/>
    </row>
    <row r="1366">
      <c r="A1366" s="4">
        <v>43538.39211423611</v>
      </c>
      <c r="B1366" s="5">
        <v>43538.6837455671</v>
      </c>
      <c r="C1366" s="6">
        <v>1.039</v>
      </c>
      <c r="D1366" s="6">
        <v>68.0</v>
      </c>
      <c r="E1366" s="7" t="s">
        <v>7</v>
      </c>
      <c r="F1366" s="7" t="s">
        <v>8</v>
      </c>
      <c r="G1366" s="8"/>
    </row>
    <row r="1367">
      <c r="A1367" s="4">
        <v>43538.40253310185</v>
      </c>
      <c r="B1367" s="5">
        <v>43538.6941680208</v>
      </c>
      <c r="C1367" s="6">
        <v>1.039</v>
      </c>
      <c r="D1367" s="6">
        <v>68.0</v>
      </c>
      <c r="E1367" s="7" t="s">
        <v>7</v>
      </c>
      <c r="F1367" s="7" t="s">
        <v>8</v>
      </c>
      <c r="G1367" s="8"/>
    </row>
    <row r="1368">
      <c r="A1368" s="4">
        <v>43538.41295327546</v>
      </c>
      <c r="B1368" s="5">
        <v>43538.7045895949</v>
      </c>
      <c r="C1368" s="6">
        <v>1.039</v>
      </c>
      <c r="D1368" s="6">
        <v>68.0</v>
      </c>
      <c r="E1368" s="7" t="s">
        <v>7</v>
      </c>
      <c r="F1368" s="7" t="s">
        <v>8</v>
      </c>
      <c r="G1368" s="8"/>
    </row>
    <row r="1369">
      <c r="A1369" s="4">
        <v>43538.42336803241</v>
      </c>
      <c r="B1369" s="5">
        <v>43538.7150103009</v>
      </c>
      <c r="C1369" s="6">
        <v>1.039</v>
      </c>
      <c r="D1369" s="6">
        <v>68.0</v>
      </c>
      <c r="E1369" s="7" t="s">
        <v>7</v>
      </c>
      <c r="F1369" s="7" t="s">
        <v>8</v>
      </c>
      <c r="G1369" s="8"/>
    </row>
    <row r="1370">
      <c r="A1370" s="4">
        <v>43538.43380371528</v>
      </c>
      <c r="B1370" s="5">
        <v>43538.7254422569</v>
      </c>
      <c r="C1370" s="6">
        <v>1.039</v>
      </c>
      <c r="D1370" s="6">
        <v>68.0</v>
      </c>
      <c r="E1370" s="7" t="s">
        <v>7</v>
      </c>
      <c r="F1370" s="7" t="s">
        <v>8</v>
      </c>
      <c r="G1370" s="8"/>
    </row>
    <row r="1371">
      <c r="A1371" s="4">
        <v>43538.44422841435</v>
      </c>
      <c r="B1371" s="5">
        <v>43538.7358647916</v>
      </c>
      <c r="C1371" s="6">
        <v>1.039</v>
      </c>
      <c r="D1371" s="6">
        <v>68.0</v>
      </c>
      <c r="E1371" s="7" t="s">
        <v>7</v>
      </c>
      <c r="F1371" s="7" t="s">
        <v>8</v>
      </c>
      <c r="G1371" s="8"/>
    </row>
    <row r="1372">
      <c r="A1372" s="4">
        <v>43538.454658055554</v>
      </c>
      <c r="B1372" s="5">
        <v>43538.7462994213</v>
      </c>
      <c r="C1372" s="6">
        <v>1.039</v>
      </c>
      <c r="D1372" s="6">
        <v>68.0</v>
      </c>
      <c r="E1372" s="7" t="s">
        <v>7</v>
      </c>
      <c r="F1372" s="7" t="s">
        <v>8</v>
      </c>
      <c r="G1372" s="8"/>
    </row>
    <row r="1373">
      <c r="A1373" s="4">
        <v>43538.4650822338</v>
      </c>
      <c r="B1373" s="5">
        <v>43538.7567195833</v>
      </c>
      <c r="C1373" s="6">
        <v>1.039</v>
      </c>
      <c r="D1373" s="6">
        <v>68.0</v>
      </c>
      <c r="E1373" s="7" t="s">
        <v>7</v>
      </c>
      <c r="F1373" s="7" t="s">
        <v>8</v>
      </c>
      <c r="G1373" s="8"/>
    </row>
    <row r="1374">
      <c r="A1374" s="4">
        <v>43538.47551420139</v>
      </c>
      <c r="B1374" s="5">
        <v>43538.7671428703</v>
      </c>
      <c r="C1374" s="6">
        <v>1.039</v>
      </c>
      <c r="D1374" s="6">
        <v>68.0</v>
      </c>
      <c r="E1374" s="7" t="s">
        <v>7</v>
      </c>
      <c r="F1374" s="7" t="s">
        <v>8</v>
      </c>
      <c r="G1374" s="8"/>
    </row>
    <row r="1375">
      <c r="A1375" s="4">
        <v>43538.48593572917</v>
      </c>
      <c r="B1375" s="5">
        <v>43538.7775644907</v>
      </c>
      <c r="C1375" s="6">
        <v>1.039</v>
      </c>
      <c r="D1375" s="6">
        <v>68.0</v>
      </c>
      <c r="E1375" s="7" t="s">
        <v>7</v>
      </c>
      <c r="F1375" s="7" t="s">
        <v>8</v>
      </c>
      <c r="G1375" s="8"/>
    </row>
    <row r="1376">
      <c r="A1376" s="4">
        <v>43538.496348148146</v>
      </c>
      <c r="B1376" s="5">
        <v>43538.7879849305</v>
      </c>
      <c r="C1376" s="6">
        <v>1.039</v>
      </c>
      <c r="D1376" s="6">
        <v>68.0</v>
      </c>
      <c r="E1376" s="7" t="s">
        <v>7</v>
      </c>
      <c r="F1376" s="7" t="s">
        <v>8</v>
      </c>
      <c r="G1376" s="8"/>
    </row>
    <row r="1377">
      <c r="A1377" s="4">
        <v>43538.506768900465</v>
      </c>
      <c r="B1377" s="5">
        <v>43538.7984060532</v>
      </c>
      <c r="C1377" s="6">
        <v>1.039</v>
      </c>
      <c r="D1377" s="6">
        <v>68.0</v>
      </c>
      <c r="E1377" s="7" t="s">
        <v>7</v>
      </c>
      <c r="F1377" s="7" t="s">
        <v>8</v>
      </c>
      <c r="G1377" s="8"/>
    </row>
    <row r="1378">
      <c r="A1378" s="4">
        <v>43538.517212928244</v>
      </c>
      <c r="B1378" s="5">
        <v>43538.8088393402</v>
      </c>
      <c r="C1378" s="6">
        <v>1.039</v>
      </c>
      <c r="D1378" s="6">
        <v>68.0</v>
      </c>
      <c r="E1378" s="7" t="s">
        <v>7</v>
      </c>
      <c r="F1378" s="7" t="s">
        <v>8</v>
      </c>
      <c r="G1378" s="8"/>
    </row>
    <row r="1379">
      <c r="A1379" s="4">
        <v>43538.52764141204</v>
      </c>
      <c r="B1379" s="5">
        <v>43538.8192731365</v>
      </c>
      <c r="C1379" s="6">
        <v>1.039</v>
      </c>
      <c r="D1379" s="6">
        <v>68.0</v>
      </c>
      <c r="E1379" s="7" t="s">
        <v>7</v>
      </c>
      <c r="F1379" s="7" t="s">
        <v>8</v>
      </c>
      <c r="G1379" s="8"/>
    </row>
    <row r="1380">
      <c r="A1380" s="4">
        <v>43538.538054687495</v>
      </c>
      <c r="B1380" s="5">
        <v>43538.8296948495</v>
      </c>
      <c r="C1380" s="6">
        <v>1.039</v>
      </c>
      <c r="D1380" s="6">
        <v>68.0</v>
      </c>
      <c r="E1380" s="7" t="s">
        <v>7</v>
      </c>
      <c r="F1380" s="7" t="s">
        <v>8</v>
      </c>
      <c r="G1380" s="8"/>
    </row>
    <row r="1381">
      <c r="A1381" s="4">
        <v>43538.54848012731</v>
      </c>
      <c r="B1381" s="5">
        <v>43538.8401160763</v>
      </c>
      <c r="C1381" s="6">
        <v>1.039</v>
      </c>
      <c r="D1381" s="6">
        <v>68.0</v>
      </c>
      <c r="E1381" s="7" t="s">
        <v>7</v>
      </c>
      <c r="F1381" s="7" t="s">
        <v>8</v>
      </c>
      <c r="G1381" s="8"/>
    </row>
    <row r="1382">
      <c r="A1382" s="4">
        <v>43538.55892476852</v>
      </c>
      <c r="B1382" s="5">
        <v>43538.8505606597</v>
      </c>
      <c r="C1382" s="6">
        <v>1.039</v>
      </c>
      <c r="D1382" s="6">
        <v>68.0</v>
      </c>
      <c r="E1382" s="7" t="s">
        <v>7</v>
      </c>
      <c r="F1382" s="7" t="s">
        <v>8</v>
      </c>
      <c r="G1382" s="8"/>
    </row>
    <row r="1383">
      <c r="A1383" s="4">
        <v>43538.56938423611</v>
      </c>
      <c r="B1383" s="5">
        <v>43538.8610183796</v>
      </c>
      <c r="C1383" s="6">
        <v>1.039</v>
      </c>
      <c r="D1383" s="6">
        <v>68.0</v>
      </c>
      <c r="E1383" s="7" t="s">
        <v>7</v>
      </c>
      <c r="F1383" s="7" t="s">
        <v>8</v>
      </c>
      <c r="G1383" s="8"/>
    </row>
    <row r="1384">
      <c r="A1384" s="4">
        <v>43538.579800694446</v>
      </c>
      <c r="B1384" s="5">
        <v>43538.871438912</v>
      </c>
      <c r="C1384" s="6">
        <v>1.039</v>
      </c>
      <c r="D1384" s="6">
        <v>68.0</v>
      </c>
      <c r="E1384" s="7" t="s">
        <v>7</v>
      </c>
      <c r="F1384" s="7" t="s">
        <v>8</v>
      </c>
      <c r="G1384" s="8"/>
    </row>
    <row r="1385">
      <c r="A1385" s="4">
        <v>43538.590225231485</v>
      </c>
      <c r="B1385" s="5">
        <v>43538.8818606944</v>
      </c>
      <c r="C1385" s="6">
        <v>1.039</v>
      </c>
      <c r="D1385" s="6">
        <v>68.0</v>
      </c>
      <c r="E1385" s="7" t="s">
        <v>7</v>
      </c>
      <c r="F1385" s="7" t="s">
        <v>8</v>
      </c>
      <c r="G1385" s="8"/>
    </row>
    <row r="1386">
      <c r="A1386" s="4">
        <v>43538.600638344906</v>
      </c>
      <c r="B1386" s="5">
        <v>43538.8922819097</v>
      </c>
      <c r="C1386" s="6">
        <v>1.039</v>
      </c>
      <c r="D1386" s="6">
        <v>68.0</v>
      </c>
      <c r="E1386" s="7" t="s">
        <v>7</v>
      </c>
      <c r="F1386" s="7" t="s">
        <v>8</v>
      </c>
      <c r="G1386" s="8"/>
    </row>
    <row r="1387">
      <c r="A1387" s="4">
        <v>43538.61105987268</v>
      </c>
      <c r="B1387" s="5">
        <v>43538.902701574</v>
      </c>
      <c r="C1387" s="6">
        <v>1.039</v>
      </c>
      <c r="D1387" s="6">
        <v>68.0</v>
      </c>
      <c r="E1387" s="7" t="s">
        <v>7</v>
      </c>
      <c r="F1387" s="7" t="s">
        <v>8</v>
      </c>
      <c r="G1387" s="8"/>
    </row>
    <row r="1388">
      <c r="A1388" s="4">
        <v>43538.62151914352</v>
      </c>
      <c r="B1388" s="5">
        <v>43538.9131337384</v>
      </c>
      <c r="C1388" s="6">
        <v>1.039</v>
      </c>
      <c r="D1388" s="6">
        <v>68.0</v>
      </c>
      <c r="E1388" s="7" t="s">
        <v>7</v>
      </c>
      <c r="F1388" s="7" t="s">
        <v>8</v>
      </c>
      <c r="G1388" s="8"/>
    </row>
    <row r="1389">
      <c r="A1389" s="4">
        <v>43538.631996724536</v>
      </c>
      <c r="B1389" s="5">
        <v>43538.9235794907</v>
      </c>
      <c r="C1389" s="6">
        <v>1.039</v>
      </c>
      <c r="D1389" s="6">
        <v>68.0</v>
      </c>
      <c r="E1389" s="7" t="s">
        <v>7</v>
      </c>
      <c r="F1389" s="7" t="s">
        <v>8</v>
      </c>
      <c r="G1389" s="8"/>
    </row>
    <row r="1390">
      <c r="A1390" s="4">
        <v>43538.642371145834</v>
      </c>
      <c r="B1390" s="5">
        <v>43538.9339997685</v>
      </c>
      <c r="C1390" s="6">
        <v>1.039</v>
      </c>
      <c r="D1390" s="6">
        <v>68.0</v>
      </c>
      <c r="E1390" s="7" t="s">
        <v>7</v>
      </c>
      <c r="F1390" s="7" t="s">
        <v>8</v>
      </c>
      <c r="G1390" s="8"/>
    </row>
    <row r="1391">
      <c r="A1391" s="4">
        <v>43538.652780000004</v>
      </c>
      <c r="B1391" s="5">
        <v>43538.9444217129</v>
      </c>
      <c r="C1391" s="6">
        <v>1.039</v>
      </c>
      <c r="D1391" s="6">
        <v>68.0</v>
      </c>
      <c r="E1391" s="7" t="s">
        <v>7</v>
      </c>
      <c r="F1391" s="7" t="s">
        <v>8</v>
      </c>
      <c r="G1391" s="8"/>
    </row>
    <row r="1392">
      <c r="A1392" s="4">
        <v>43538.66321186343</v>
      </c>
      <c r="B1392" s="5">
        <v>43538.9548419097</v>
      </c>
      <c r="C1392" s="6">
        <v>1.039</v>
      </c>
      <c r="D1392" s="6">
        <v>68.0</v>
      </c>
      <c r="E1392" s="7" t="s">
        <v>7</v>
      </c>
      <c r="F1392" s="7" t="s">
        <v>8</v>
      </c>
      <c r="G1392" s="8"/>
    </row>
    <row r="1393">
      <c r="A1393" s="4">
        <v>43538.67366143518</v>
      </c>
      <c r="B1393" s="5">
        <v>43538.9652969444</v>
      </c>
      <c r="C1393" s="6">
        <v>1.039</v>
      </c>
      <c r="D1393" s="6">
        <v>68.0</v>
      </c>
      <c r="E1393" s="7" t="s">
        <v>7</v>
      </c>
      <c r="F1393" s="7" t="s">
        <v>8</v>
      </c>
      <c r="G1393" s="8"/>
    </row>
    <row r="1394">
      <c r="A1394" s="4">
        <v>43538.68409582176</v>
      </c>
      <c r="B1394" s="5">
        <v>43538.9757312384</v>
      </c>
      <c r="C1394" s="6">
        <v>1.039</v>
      </c>
      <c r="D1394" s="6">
        <v>68.0</v>
      </c>
      <c r="E1394" s="7" t="s">
        <v>7</v>
      </c>
      <c r="F1394" s="7" t="s">
        <v>8</v>
      </c>
      <c r="G1394" s="8"/>
    </row>
    <row r="1395">
      <c r="A1395" s="4">
        <v>43538.694533981485</v>
      </c>
      <c r="B1395" s="5">
        <v>43538.9861647569</v>
      </c>
      <c r="C1395" s="6">
        <v>1.039</v>
      </c>
      <c r="D1395" s="6">
        <v>68.0</v>
      </c>
      <c r="E1395" s="7" t="s">
        <v>7</v>
      </c>
      <c r="F1395" s="7" t="s">
        <v>8</v>
      </c>
      <c r="G1395" s="8"/>
    </row>
    <row r="1396">
      <c r="A1396" s="4">
        <v>43538.70496796296</v>
      </c>
      <c r="B1396" s="5">
        <v>43538.9965868634</v>
      </c>
      <c r="C1396" s="6">
        <v>1.039</v>
      </c>
      <c r="D1396" s="6">
        <v>68.0</v>
      </c>
      <c r="E1396" s="7" t="s">
        <v>7</v>
      </c>
      <c r="F1396" s="7" t="s">
        <v>8</v>
      </c>
      <c r="G1396" s="8"/>
    </row>
    <row r="1397">
      <c r="A1397" s="4">
        <v>43538.71538253472</v>
      </c>
      <c r="B1397" s="5">
        <v>43539.0070061111</v>
      </c>
      <c r="C1397" s="6">
        <v>1.039</v>
      </c>
      <c r="D1397" s="6">
        <v>68.0</v>
      </c>
      <c r="E1397" s="7" t="s">
        <v>7</v>
      </c>
      <c r="F1397" s="7" t="s">
        <v>8</v>
      </c>
      <c r="G1397" s="8"/>
    </row>
    <row r="1398">
      <c r="A1398" s="4">
        <v>43538.725788194446</v>
      </c>
      <c r="B1398" s="5">
        <v>43539.0174274305</v>
      </c>
      <c r="C1398" s="6">
        <v>1.039</v>
      </c>
      <c r="D1398" s="6">
        <v>68.0</v>
      </c>
      <c r="E1398" s="7" t="s">
        <v>7</v>
      </c>
      <c r="F1398" s="7" t="s">
        <v>8</v>
      </c>
      <c r="G1398" s="8"/>
    </row>
    <row r="1399">
      <c r="A1399" s="4">
        <v>43538.73623207176</v>
      </c>
      <c r="B1399" s="5">
        <v>43539.0278725578</v>
      </c>
      <c r="C1399" s="6">
        <v>1.039</v>
      </c>
      <c r="D1399" s="6">
        <v>68.0</v>
      </c>
      <c r="E1399" s="7" t="s">
        <v>7</v>
      </c>
      <c r="F1399" s="7" t="s">
        <v>8</v>
      </c>
      <c r="G1399" s="8"/>
    </row>
    <row r="1400">
      <c r="A1400" s="4">
        <v>43538.746651423615</v>
      </c>
      <c r="B1400" s="5">
        <v>43539.0382938194</v>
      </c>
      <c r="C1400" s="6">
        <v>1.039</v>
      </c>
      <c r="D1400" s="6">
        <v>68.0</v>
      </c>
      <c r="E1400" s="7" t="s">
        <v>7</v>
      </c>
      <c r="F1400" s="7" t="s">
        <v>8</v>
      </c>
      <c r="G1400" s="8"/>
    </row>
    <row r="1401">
      <c r="A1401" s="4">
        <v>43538.757076828704</v>
      </c>
      <c r="B1401" s="5">
        <v>43539.0487149074</v>
      </c>
      <c r="C1401" s="6">
        <v>1.039</v>
      </c>
      <c r="D1401" s="6">
        <v>68.0</v>
      </c>
      <c r="E1401" s="7" t="s">
        <v>7</v>
      </c>
      <c r="F1401" s="7" t="s">
        <v>8</v>
      </c>
      <c r="G1401" s="8"/>
    </row>
    <row r="1402">
      <c r="A1402" s="4">
        <v>43538.767512175924</v>
      </c>
      <c r="B1402" s="5">
        <v>43539.0591502546</v>
      </c>
      <c r="C1402" s="6">
        <v>1.039</v>
      </c>
      <c r="D1402" s="6">
        <v>68.0</v>
      </c>
      <c r="E1402" s="7" t="s">
        <v>7</v>
      </c>
      <c r="F1402" s="7" t="s">
        <v>8</v>
      </c>
      <c r="G1402" s="8"/>
    </row>
    <row r="1403">
      <c r="A1403" s="4">
        <v>43538.77795037037</v>
      </c>
      <c r="B1403" s="5">
        <v>43539.0695833912</v>
      </c>
      <c r="C1403" s="6">
        <v>1.039</v>
      </c>
      <c r="D1403" s="6">
        <v>68.0</v>
      </c>
      <c r="E1403" s="7" t="s">
        <v>7</v>
      </c>
      <c r="F1403" s="7" t="s">
        <v>8</v>
      </c>
      <c r="G1403" s="8"/>
    </row>
    <row r="1404">
      <c r="A1404" s="4">
        <v>43538.78837112269</v>
      </c>
      <c r="B1404" s="5">
        <v>43539.0800035995</v>
      </c>
      <c r="C1404" s="6">
        <v>1.039</v>
      </c>
      <c r="D1404" s="6">
        <v>68.0</v>
      </c>
      <c r="E1404" s="7" t="s">
        <v>7</v>
      </c>
      <c r="F1404" s="7" t="s">
        <v>8</v>
      </c>
      <c r="G1404" s="8"/>
    </row>
    <row r="1405">
      <c r="A1405" s="4">
        <v>43538.79880153935</v>
      </c>
      <c r="B1405" s="5">
        <v>43539.0904356713</v>
      </c>
      <c r="C1405" s="6">
        <v>1.039</v>
      </c>
      <c r="D1405" s="6">
        <v>68.0</v>
      </c>
      <c r="E1405" s="7" t="s">
        <v>7</v>
      </c>
      <c r="F1405" s="7" t="s">
        <v>8</v>
      </c>
      <c r="G1405" s="8"/>
    </row>
    <row r="1406">
      <c r="A1406" s="4">
        <v>43538.80922435185</v>
      </c>
      <c r="B1406" s="5">
        <v>43539.100855324</v>
      </c>
      <c r="C1406" s="6">
        <v>1.039</v>
      </c>
      <c r="D1406" s="6">
        <v>68.0</v>
      </c>
      <c r="E1406" s="7" t="s">
        <v>7</v>
      </c>
      <c r="F1406" s="7" t="s">
        <v>8</v>
      </c>
      <c r="G1406" s="8"/>
    </row>
    <row r="1407">
      <c r="A1407" s="4">
        <v>43538.81964934028</v>
      </c>
      <c r="B1407" s="5">
        <v>43539.1112894907</v>
      </c>
      <c r="C1407" s="6">
        <v>1.039</v>
      </c>
      <c r="D1407" s="6">
        <v>68.0</v>
      </c>
      <c r="E1407" s="7" t="s">
        <v>7</v>
      </c>
      <c r="F1407" s="7" t="s">
        <v>8</v>
      </c>
      <c r="G1407" s="8"/>
    </row>
    <row r="1408">
      <c r="A1408" s="4">
        <v>43538.83008866898</v>
      </c>
      <c r="B1408" s="5">
        <v>43539.1217220138</v>
      </c>
      <c r="C1408" s="6">
        <v>1.039</v>
      </c>
      <c r="D1408" s="6">
        <v>68.0</v>
      </c>
      <c r="E1408" s="7" t="s">
        <v>7</v>
      </c>
      <c r="F1408" s="7" t="s">
        <v>8</v>
      </c>
      <c r="G1408" s="8"/>
    </row>
    <row r="1409">
      <c r="A1409" s="4">
        <v>43538.840530393514</v>
      </c>
      <c r="B1409" s="5">
        <v>43539.1321667939</v>
      </c>
      <c r="C1409" s="6">
        <v>1.039</v>
      </c>
      <c r="D1409" s="6">
        <v>68.0</v>
      </c>
      <c r="E1409" s="7" t="s">
        <v>7</v>
      </c>
      <c r="F1409" s="7" t="s">
        <v>8</v>
      </c>
      <c r="G1409" s="8"/>
    </row>
    <row r="1410">
      <c r="A1410" s="4">
        <v>43538.85096039352</v>
      </c>
      <c r="B1410" s="5">
        <v>43539.1425984953</v>
      </c>
      <c r="C1410" s="6">
        <v>1.039</v>
      </c>
      <c r="D1410" s="6">
        <v>68.0</v>
      </c>
      <c r="E1410" s="7" t="s">
        <v>7</v>
      </c>
      <c r="F1410" s="7" t="s">
        <v>8</v>
      </c>
      <c r="G1410" s="8"/>
    </row>
    <row r="1411">
      <c r="A1411" s="4">
        <v>43538.86139157407</v>
      </c>
      <c r="B1411" s="5">
        <v>43539.1530310648</v>
      </c>
      <c r="C1411" s="6">
        <v>1.039</v>
      </c>
      <c r="D1411" s="6">
        <v>68.0</v>
      </c>
      <c r="E1411" s="7" t="s">
        <v>7</v>
      </c>
      <c r="F1411" s="7" t="s">
        <v>8</v>
      </c>
      <c r="G1411" s="8"/>
    </row>
    <row r="1412">
      <c r="A1412" s="4">
        <v>43538.87182778935</v>
      </c>
      <c r="B1412" s="5">
        <v>43539.1634657986</v>
      </c>
      <c r="C1412" s="6">
        <v>1.039</v>
      </c>
      <c r="D1412" s="6">
        <v>68.0</v>
      </c>
      <c r="E1412" s="7" t="s">
        <v>7</v>
      </c>
      <c r="F1412" s="7" t="s">
        <v>8</v>
      </c>
      <c r="G1412" s="8"/>
    </row>
    <row r="1413">
      <c r="A1413" s="4">
        <v>43538.882248090275</v>
      </c>
      <c r="B1413" s="5">
        <v>43539.1738856134</v>
      </c>
      <c r="C1413" s="6">
        <v>1.039</v>
      </c>
      <c r="D1413" s="6">
        <v>68.0</v>
      </c>
      <c r="E1413" s="7" t="s">
        <v>7</v>
      </c>
      <c r="F1413" s="7" t="s">
        <v>8</v>
      </c>
      <c r="G1413" s="8"/>
    </row>
    <row r="1414">
      <c r="A1414" s="4">
        <v>43538.89267284722</v>
      </c>
      <c r="B1414" s="5">
        <v>43539.1843062731</v>
      </c>
      <c r="C1414" s="6">
        <v>1.039</v>
      </c>
      <c r="D1414" s="6">
        <v>68.0</v>
      </c>
      <c r="E1414" s="7" t="s">
        <v>7</v>
      </c>
      <c r="F1414" s="7" t="s">
        <v>8</v>
      </c>
      <c r="G1414" s="8"/>
    </row>
    <row r="1415">
      <c r="A1415" s="4">
        <v>43538.90309116898</v>
      </c>
      <c r="B1415" s="5">
        <v>43539.1947283912</v>
      </c>
      <c r="C1415" s="6">
        <v>1.039</v>
      </c>
      <c r="D1415" s="6">
        <v>68.0</v>
      </c>
      <c r="E1415" s="7" t="s">
        <v>7</v>
      </c>
      <c r="F1415" s="7" t="s">
        <v>8</v>
      </c>
      <c r="G1415" s="8"/>
    </row>
    <row r="1416">
      <c r="A1416" s="4">
        <v>43538.91354226852</v>
      </c>
      <c r="B1416" s="5">
        <v>43539.2051727546</v>
      </c>
      <c r="C1416" s="6">
        <v>1.039</v>
      </c>
      <c r="D1416" s="6">
        <v>68.0</v>
      </c>
      <c r="E1416" s="7" t="s">
        <v>7</v>
      </c>
      <c r="F1416" s="7" t="s">
        <v>8</v>
      </c>
      <c r="G1416" s="8"/>
    </row>
    <row r="1417">
      <c r="A1417" s="4">
        <v>43538.92397420139</v>
      </c>
      <c r="B1417" s="5">
        <v>43539.2156049305</v>
      </c>
      <c r="C1417" s="6">
        <v>1.039</v>
      </c>
      <c r="D1417" s="6">
        <v>68.0</v>
      </c>
      <c r="E1417" s="7" t="s">
        <v>7</v>
      </c>
      <c r="F1417" s="7" t="s">
        <v>8</v>
      </c>
      <c r="G1417" s="8"/>
    </row>
    <row r="1418">
      <c r="A1418" s="4">
        <v>43538.93440711805</v>
      </c>
      <c r="B1418" s="5">
        <v>43539.2260386226</v>
      </c>
      <c r="C1418" s="6">
        <v>1.039</v>
      </c>
      <c r="D1418" s="6">
        <v>68.0</v>
      </c>
      <c r="E1418" s="7" t="s">
        <v>7</v>
      </c>
      <c r="F1418" s="7" t="s">
        <v>8</v>
      </c>
      <c r="G1418" s="8"/>
    </row>
    <row r="1419">
      <c r="A1419" s="4">
        <v>43538.94487523148</v>
      </c>
      <c r="B1419" s="5">
        <v>43539.2365067592</v>
      </c>
      <c r="C1419" s="6">
        <v>1.039</v>
      </c>
      <c r="D1419" s="6">
        <v>68.0</v>
      </c>
      <c r="E1419" s="7" t="s">
        <v>7</v>
      </c>
      <c r="F1419" s="7" t="s">
        <v>8</v>
      </c>
      <c r="G1419" s="8"/>
    </row>
    <row r="1420">
      <c r="A1420" s="4">
        <v>43538.95530119213</v>
      </c>
      <c r="B1420" s="5">
        <v>43539.2469371643</v>
      </c>
      <c r="C1420" s="6">
        <v>1.039</v>
      </c>
      <c r="D1420" s="6">
        <v>68.0</v>
      </c>
      <c r="E1420" s="7" t="s">
        <v>7</v>
      </c>
      <c r="F1420" s="7" t="s">
        <v>8</v>
      </c>
      <c r="G1420" s="8"/>
    </row>
    <row r="1421">
      <c r="A1421" s="4">
        <v>43538.965737997685</v>
      </c>
      <c r="B1421" s="5">
        <v>43539.2573702314</v>
      </c>
      <c r="C1421" s="6">
        <v>1.039</v>
      </c>
      <c r="D1421" s="6">
        <v>68.0</v>
      </c>
      <c r="E1421" s="7" t="s">
        <v>7</v>
      </c>
      <c r="F1421" s="7" t="s">
        <v>8</v>
      </c>
      <c r="G1421" s="8"/>
    </row>
    <row r="1422">
      <c r="A1422" s="4">
        <v>43538.97620584491</v>
      </c>
      <c r="B1422" s="5">
        <v>43539.267835949</v>
      </c>
      <c r="C1422" s="6">
        <v>1.038</v>
      </c>
      <c r="D1422" s="6">
        <v>68.0</v>
      </c>
      <c r="E1422" s="7" t="s">
        <v>7</v>
      </c>
      <c r="F1422" s="7" t="s">
        <v>8</v>
      </c>
      <c r="G1422" s="8"/>
    </row>
    <row r="1423">
      <c r="A1423" s="4">
        <v>43538.986629039355</v>
      </c>
      <c r="B1423" s="5">
        <v>43539.2782578935</v>
      </c>
      <c r="C1423" s="6">
        <v>1.038</v>
      </c>
      <c r="D1423" s="6">
        <v>68.0</v>
      </c>
      <c r="E1423" s="7" t="s">
        <v>7</v>
      </c>
      <c r="F1423" s="7" t="s">
        <v>8</v>
      </c>
      <c r="G1423" s="8"/>
    </row>
    <row r="1424">
      <c r="A1424" s="4">
        <v>43538.9970512037</v>
      </c>
      <c r="B1424" s="5">
        <v>43539.2886923379</v>
      </c>
      <c r="C1424" s="6">
        <v>1.038</v>
      </c>
      <c r="D1424" s="6">
        <v>68.0</v>
      </c>
      <c r="E1424" s="7" t="s">
        <v>7</v>
      </c>
      <c r="F1424" s="7" t="s">
        <v>8</v>
      </c>
      <c r="G1424" s="8"/>
    </row>
    <row r="1425">
      <c r="A1425" s="4">
        <v>43539.007501886575</v>
      </c>
      <c r="B1425" s="5">
        <v>43539.299137199</v>
      </c>
      <c r="C1425" s="6">
        <v>1.038</v>
      </c>
      <c r="D1425" s="6">
        <v>68.0</v>
      </c>
      <c r="E1425" s="7" t="s">
        <v>7</v>
      </c>
      <c r="F1425" s="7" t="s">
        <v>8</v>
      </c>
      <c r="G1425" s="8"/>
    </row>
    <row r="1426">
      <c r="A1426" s="4">
        <v>43539.01791844907</v>
      </c>
      <c r="B1426" s="5">
        <v>43539.3095579282</v>
      </c>
      <c r="C1426" s="6">
        <v>1.038</v>
      </c>
      <c r="D1426" s="6">
        <v>68.0</v>
      </c>
      <c r="E1426" s="7" t="s">
        <v>7</v>
      </c>
      <c r="F1426" s="7" t="s">
        <v>8</v>
      </c>
      <c r="G1426" s="8"/>
    </row>
    <row r="1427">
      <c r="A1427" s="4">
        <v>43539.02838299768</v>
      </c>
      <c r="B1427" s="5">
        <v>43539.320015949</v>
      </c>
      <c r="C1427" s="6">
        <v>1.038</v>
      </c>
      <c r="D1427" s="6">
        <v>68.0</v>
      </c>
      <c r="E1427" s="7" t="s">
        <v>7</v>
      </c>
      <c r="F1427" s="7" t="s">
        <v>8</v>
      </c>
      <c r="G1427" s="8"/>
    </row>
    <row r="1428">
      <c r="A1428" s="4">
        <v>43539.03879615741</v>
      </c>
      <c r="B1428" s="5">
        <v>43539.3304376736</v>
      </c>
      <c r="C1428" s="6">
        <v>1.038</v>
      </c>
      <c r="D1428" s="6">
        <v>68.0</v>
      </c>
      <c r="E1428" s="7" t="s">
        <v>7</v>
      </c>
      <c r="F1428" s="7" t="s">
        <v>8</v>
      </c>
      <c r="G1428" s="8"/>
    </row>
    <row r="1429">
      <c r="A1429" s="4">
        <v>43539.04923420139</v>
      </c>
      <c r="B1429" s="5">
        <v>43539.3408712037</v>
      </c>
      <c r="C1429" s="6">
        <v>1.038</v>
      </c>
      <c r="D1429" s="6">
        <v>68.0</v>
      </c>
      <c r="E1429" s="7" t="s">
        <v>7</v>
      </c>
      <c r="F1429" s="7" t="s">
        <v>8</v>
      </c>
      <c r="G1429" s="8"/>
    </row>
    <row r="1430">
      <c r="A1430" s="4">
        <v>43539.059663865744</v>
      </c>
      <c r="B1430" s="5">
        <v>43539.3513020254</v>
      </c>
      <c r="C1430" s="6">
        <v>1.038</v>
      </c>
      <c r="D1430" s="6">
        <v>68.0</v>
      </c>
      <c r="E1430" s="7" t="s">
        <v>7</v>
      </c>
      <c r="F1430" s="7" t="s">
        <v>8</v>
      </c>
      <c r="G1430" s="8"/>
    </row>
    <row r="1431">
      <c r="A1431" s="4">
        <v>43539.070097442134</v>
      </c>
      <c r="B1431" s="5">
        <v>43539.3617352083</v>
      </c>
      <c r="C1431" s="6">
        <v>1.038</v>
      </c>
      <c r="D1431" s="6">
        <v>68.0</v>
      </c>
      <c r="E1431" s="7" t="s">
        <v>7</v>
      </c>
      <c r="F1431" s="7" t="s">
        <v>8</v>
      </c>
      <c r="G1431" s="8"/>
    </row>
    <row r="1432">
      <c r="A1432" s="4">
        <v>43539.080526122685</v>
      </c>
      <c r="B1432" s="5">
        <v>43539.3721552893</v>
      </c>
      <c r="C1432" s="6">
        <v>1.038</v>
      </c>
      <c r="D1432" s="6">
        <v>68.0</v>
      </c>
      <c r="E1432" s="7" t="s">
        <v>7</v>
      </c>
      <c r="F1432" s="7" t="s">
        <v>8</v>
      </c>
      <c r="G1432" s="8"/>
    </row>
    <row r="1433">
      <c r="A1433" s="4">
        <v>43539.09094011574</v>
      </c>
      <c r="B1433" s="5">
        <v>43539.3825749074</v>
      </c>
      <c r="C1433" s="6">
        <v>1.038</v>
      </c>
      <c r="D1433" s="6">
        <v>68.0</v>
      </c>
      <c r="E1433" s="7" t="s">
        <v>7</v>
      </c>
      <c r="F1433" s="7" t="s">
        <v>8</v>
      </c>
      <c r="G1433" s="8"/>
    </row>
    <row r="1434">
      <c r="A1434" s="4">
        <v>43539.10135798611</v>
      </c>
      <c r="B1434" s="5">
        <v>43539.3929972222</v>
      </c>
      <c r="C1434" s="6">
        <v>1.038</v>
      </c>
      <c r="D1434" s="6">
        <v>68.0</v>
      </c>
      <c r="E1434" s="7" t="s">
        <v>7</v>
      </c>
      <c r="F1434" s="7" t="s">
        <v>8</v>
      </c>
      <c r="G1434" s="8"/>
    </row>
    <row r="1435">
      <c r="A1435" s="4">
        <v>43539.111784050925</v>
      </c>
      <c r="B1435" s="5">
        <v>43539.4034195254</v>
      </c>
      <c r="C1435" s="6">
        <v>1.038</v>
      </c>
      <c r="D1435" s="6">
        <v>68.0</v>
      </c>
      <c r="E1435" s="7" t="s">
        <v>7</v>
      </c>
      <c r="F1435" s="7" t="s">
        <v>8</v>
      </c>
      <c r="G1435" s="8"/>
    </row>
    <row r="1436">
      <c r="A1436" s="4">
        <v>43539.1222040625</v>
      </c>
      <c r="B1436" s="5">
        <v>43539.4138408217</v>
      </c>
      <c r="C1436" s="6">
        <v>1.038</v>
      </c>
      <c r="D1436" s="6">
        <v>68.0</v>
      </c>
      <c r="E1436" s="7" t="s">
        <v>7</v>
      </c>
      <c r="F1436" s="7" t="s">
        <v>8</v>
      </c>
      <c r="G1436" s="8"/>
    </row>
    <row r="1437">
      <c r="A1437" s="4">
        <v>43539.132617337964</v>
      </c>
      <c r="B1437" s="5">
        <v>43539.4242615856</v>
      </c>
      <c r="C1437" s="6">
        <v>1.038</v>
      </c>
      <c r="D1437" s="6">
        <v>68.0</v>
      </c>
      <c r="E1437" s="7" t="s">
        <v>7</v>
      </c>
      <c r="F1437" s="7" t="s">
        <v>8</v>
      </c>
      <c r="G1437" s="8"/>
    </row>
    <row r="1438">
      <c r="A1438" s="4">
        <v>43539.14305731481</v>
      </c>
      <c r="B1438" s="5">
        <v>43539.434694537</v>
      </c>
      <c r="C1438" s="6">
        <v>1.038</v>
      </c>
      <c r="D1438" s="6">
        <v>68.0</v>
      </c>
      <c r="E1438" s="7" t="s">
        <v>7</v>
      </c>
      <c r="F1438" s="7" t="s">
        <v>8</v>
      </c>
      <c r="G1438" s="8"/>
    </row>
    <row r="1439">
      <c r="A1439" s="4">
        <v>43539.15349626157</v>
      </c>
      <c r="B1439" s="5">
        <v>43539.4451273032</v>
      </c>
      <c r="C1439" s="6">
        <v>1.038</v>
      </c>
      <c r="D1439" s="6">
        <v>68.0</v>
      </c>
      <c r="E1439" s="7" t="s">
        <v>7</v>
      </c>
      <c r="F1439" s="7" t="s">
        <v>8</v>
      </c>
      <c r="G1439" s="8"/>
    </row>
    <row r="1440">
      <c r="A1440" s="4">
        <v>43539.16390980324</v>
      </c>
      <c r="B1440" s="5">
        <v>43539.4555493518</v>
      </c>
      <c r="C1440" s="6">
        <v>1.038</v>
      </c>
      <c r="D1440" s="6">
        <v>68.0</v>
      </c>
      <c r="E1440" s="7" t="s">
        <v>7</v>
      </c>
      <c r="F1440" s="7" t="s">
        <v>8</v>
      </c>
      <c r="G1440" s="8"/>
    </row>
    <row r="1441">
      <c r="A1441" s="4">
        <v>43539.174343506944</v>
      </c>
      <c r="B1441" s="5">
        <v>43539.4659725925</v>
      </c>
      <c r="C1441" s="6">
        <v>1.038</v>
      </c>
      <c r="D1441" s="6">
        <v>68.0</v>
      </c>
      <c r="E1441" s="7" t="s">
        <v>7</v>
      </c>
      <c r="F1441" s="7" t="s">
        <v>8</v>
      </c>
      <c r="G1441" s="8"/>
    </row>
    <row r="1442">
      <c r="A1442" s="4">
        <v>43539.18476050926</v>
      </c>
      <c r="B1442" s="5">
        <v>43539.4763954629</v>
      </c>
      <c r="C1442" s="6">
        <v>1.038</v>
      </c>
      <c r="D1442" s="6">
        <v>68.0</v>
      </c>
      <c r="E1442" s="7" t="s">
        <v>7</v>
      </c>
      <c r="F1442" s="7" t="s">
        <v>8</v>
      </c>
      <c r="G1442" s="8"/>
    </row>
    <row r="1443">
      <c r="A1443" s="4">
        <v>43539.19518811343</v>
      </c>
      <c r="B1443" s="5">
        <v>43539.4868289467</v>
      </c>
      <c r="C1443" s="6">
        <v>1.038</v>
      </c>
      <c r="D1443" s="6">
        <v>68.0</v>
      </c>
      <c r="E1443" s="7" t="s">
        <v>7</v>
      </c>
      <c r="F1443" s="7" t="s">
        <v>8</v>
      </c>
      <c r="G1443" s="8"/>
    </row>
    <row r="1444">
      <c r="A1444" s="4">
        <v>43539.20561260417</v>
      </c>
      <c r="B1444" s="5">
        <v>43539.4972509953</v>
      </c>
      <c r="C1444" s="6">
        <v>1.038</v>
      </c>
      <c r="D1444" s="6">
        <v>68.0</v>
      </c>
      <c r="E1444" s="7" t="s">
        <v>7</v>
      </c>
      <c r="F1444" s="7" t="s">
        <v>8</v>
      </c>
      <c r="G1444" s="8"/>
    </row>
    <row r="1445">
      <c r="A1445" s="4">
        <v>43539.21605018519</v>
      </c>
      <c r="B1445" s="5">
        <v>43539.5076729629</v>
      </c>
      <c r="C1445" s="6">
        <v>1.038</v>
      </c>
      <c r="D1445" s="6">
        <v>68.0</v>
      </c>
      <c r="E1445" s="7" t="s">
        <v>7</v>
      </c>
      <c r="F1445" s="7" t="s">
        <v>8</v>
      </c>
      <c r="G1445" s="8"/>
    </row>
    <row r="1446">
      <c r="A1446" s="4">
        <v>43539.226465520835</v>
      </c>
      <c r="B1446" s="5">
        <v>43539.5181050925</v>
      </c>
      <c r="C1446" s="6">
        <v>1.038</v>
      </c>
      <c r="D1446" s="6">
        <v>68.0</v>
      </c>
      <c r="E1446" s="7" t="s">
        <v>7</v>
      </c>
      <c r="F1446" s="7" t="s">
        <v>8</v>
      </c>
      <c r="G1446" s="8"/>
    </row>
    <row r="1447">
      <c r="A1447" s="4">
        <v>43539.236891747685</v>
      </c>
      <c r="B1447" s="5">
        <v>43539.5285264004</v>
      </c>
      <c r="C1447" s="6">
        <v>1.038</v>
      </c>
      <c r="D1447" s="6">
        <v>68.0</v>
      </c>
      <c r="E1447" s="7" t="s">
        <v>7</v>
      </c>
      <c r="F1447" s="7" t="s">
        <v>8</v>
      </c>
      <c r="G1447" s="8"/>
    </row>
    <row r="1448">
      <c r="A1448" s="4">
        <v>43539.24732770833</v>
      </c>
      <c r="B1448" s="5">
        <v>43539.5389616666</v>
      </c>
      <c r="C1448" s="6">
        <v>1.038</v>
      </c>
      <c r="D1448" s="6">
        <v>68.0</v>
      </c>
      <c r="E1448" s="7" t="s">
        <v>7</v>
      </c>
      <c r="F1448" s="7" t="s">
        <v>8</v>
      </c>
      <c r="G1448" s="8"/>
    </row>
    <row r="1449">
      <c r="A1449" s="4">
        <v>43539.25776349537</v>
      </c>
      <c r="B1449" s="5">
        <v>43539.5493950463</v>
      </c>
      <c r="C1449" s="6">
        <v>1.038</v>
      </c>
      <c r="D1449" s="6">
        <v>68.0</v>
      </c>
      <c r="E1449" s="7" t="s">
        <v>7</v>
      </c>
      <c r="F1449" s="7" t="s">
        <v>8</v>
      </c>
      <c r="G1449" s="8"/>
    </row>
    <row r="1450">
      <c r="A1450" s="4">
        <v>43539.26818194444</v>
      </c>
      <c r="B1450" s="5">
        <v>43539.5598163078</v>
      </c>
      <c r="C1450" s="6">
        <v>1.038</v>
      </c>
      <c r="D1450" s="6">
        <v>69.0</v>
      </c>
      <c r="E1450" s="7" t="s">
        <v>7</v>
      </c>
      <c r="F1450" s="7" t="s">
        <v>8</v>
      </c>
      <c r="G1450" s="8"/>
    </row>
    <row r="1451">
      <c r="A1451" s="4">
        <v>43539.278598958335</v>
      </c>
      <c r="B1451" s="5">
        <v>43539.5702385879</v>
      </c>
      <c r="C1451" s="6">
        <v>1.038</v>
      </c>
      <c r="D1451" s="6">
        <v>68.0</v>
      </c>
      <c r="E1451" s="7" t="s">
        <v>7</v>
      </c>
      <c r="F1451" s="7" t="s">
        <v>8</v>
      </c>
      <c r="G1451" s="8"/>
    </row>
    <row r="1452">
      <c r="A1452" s="4">
        <v>43539.28903006944</v>
      </c>
      <c r="B1452" s="5">
        <v>43539.5806579629</v>
      </c>
      <c r="C1452" s="6">
        <v>1.038</v>
      </c>
      <c r="D1452" s="6">
        <v>68.0</v>
      </c>
      <c r="E1452" s="7" t="s">
        <v>7</v>
      </c>
      <c r="F1452" s="7" t="s">
        <v>8</v>
      </c>
      <c r="G1452" s="8"/>
    </row>
    <row r="1453">
      <c r="A1453" s="4">
        <v>43539.29944681713</v>
      </c>
      <c r="B1453" s="5">
        <v>43539.5910797106</v>
      </c>
      <c r="C1453" s="6">
        <v>1.038</v>
      </c>
      <c r="D1453" s="6">
        <v>68.0</v>
      </c>
      <c r="E1453" s="7" t="s">
        <v>7</v>
      </c>
      <c r="F1453" s="7" t="s">
        <v>8</v>
      </c>
      <c r="G1453" s="8"/>
    </row>
    <row r="1454">
      <c r="A1454" s="4">
        <v>43539.30986224537</v>
      </c>
      <c r="B1454" s="5">
        <v>43539.6015012384</v>
      </c>
      <c r="C1454" s="6">
        <v>1.038</v>
      </c>
      <c r="D1454" s="6">
        <v>68.0</v>
      </c>
      <c r="E1454" s="7" t="s">
        <v>7</v>
      </c>
      <c r="F1454" s="7" t="s">
        <v>8</v>
      </c>
      <c r="G1454" s="8"/>
    </row>
    <row r="1455">
      <c r="A1455" s="4">
        <v>43539.32028315972</v>
      </c>
      <c r="B1455" s="5">
        <v>43539.6119232291</v>
      </c>
      <c r="C1455" s="6">
        <v>1.038</v>
      </c>
      <c r="D1455" s="6">
        <v>68.0</v>
      </c>
      <c r="E1455" s="7" t="s">
        <v>7</v>
      </c>
      <c r="F1455" s="7" t="s">
        <v>8</v>
      </c>
      <c r="G1455" s="8"/>
    </row>
    <row r="1456">
      <c r="A1456" s="4">
        <v>43539.330757407406</v>
      </c>
      <c r="B1456" s="5">
        <v>43539.6223910069</v>
      </c>
      <c r="C1456" s="6">
        <v>1.038</v>
      </c>
      <c r="D1456" s="6">
        <v>68.0</v>
      </c>
      <c r="E1456" s="7" t="s">
        <v>7</v>
      </c>
      <c r="F1456" s="7" t="s">
        <v>8</v>
      </c>
      <c r="G1456" s="8"/>
    </row>
    <row r="1457">
      <c r="A1457" s="4">
        <v>43539.341188182865</v>
      </c>
      <c r="B1457" s="5">
        <v>43539.6328135879</v>
      </c>
      <c r="C1457" s="6">
        <v>1.038</v>
      </c>
      <c r="D1457" s="6">
        <v>68.0</v>
      </c>
      <c r="E1457" s="7" t="s">
        <v>7</v>
      </c>
      <c r="F1457" s="7" t="s">
        <v>8</v>
      </c>
      <c r="G1457" s="8"/>
    </row>
    <row r="1458">
      <c r="A1458" s="4">
        <v>43539.35160414352</v>
      </c>
      <c r="B1458" s="5">
        <v>43539.6432339351</v>
      </c>
      <c r="C1458" s="6">
        <v>1.038</v>
      </c>
      <c r="D1458" s="6">
        <v>68.0</v>
      </c>
      <c r="E1458" s="7" t="s">
        <v>7</v>
      </c>
      <c r="F1458" s="7" t="s">
        <v>8</v>
      </c>
      <c r="G1458" s="8"/>
    </row>
    <row r="1459">
      <c r="A1459" s="4">
        <v>43539.362021504625</v>
      </c>
      <c r="B1459" s="5">
        <v>43539.6536542939</v>
      </c>
      <c r="C1459" s="6">
        <v>1.038</v>
      </c>
      <c r="D1459" s="6">
        <v>69.0</v>
      </c>
      <c r="E1459" s="7" t="s">
        <v>7</v>
      </c>
      <c r="F1459" s="7" t="s">
        <v>8</v>
      </c>
      <c r="G1459" s="8"/>
    </row>
    <row r="1460">
      <c r="A1460" s="4">
        <v>43539.37243611111</v>
      </c>
      <c r="B1460" s="5">
        <v>43539.6640755555</v>
      </c>
      <c r="C1460" s="6">
        <v>1.038</v>
      </c>
      <c r="D1460" s="6">
        <v>69.0</v>
      </c>
      <c r="E1460" s="7" t="s">
        <v>7</v>
      </c>
      <c r="F1460" s="7" t="s">
        <v>8</v>
      </c>
      <c r="G1460" s="8"/>
    </row>
    <row r="1461">
      <c r="A1461" s="4">
        <v>43539.38287087963</v>
      </c>
      <c r="B1461" s="5">
        <v>43539.6744974768</v>
      </c>
      <c r="C1461" s="6">
        <v>1.038</v>
      </c>
      <c r="D1461" s="6">
        <v>68.0</v>
      </c>
      <c r="E1461" s="7" t="s">
        <v>7</v>
      </c>
      <c r="F1461" s="7" t="s">
        <v>8</v>
      </c>
      <c r="G1461" s="8"/>
    </row>
    <row r="1462">
      <c r="A1462" s="4">
        <v>43539.39329525463</v>
      </c>
      <c r="B1462" s="5">
        <v>43539.6849199537</v>
      </c>
      <c r="C1462" s="6">
        <v>1.038</v>
      </c>
      <c r="D1462" s="6">
        <v>69.0</v>
      </c>
      <c r="E1462" s="7" t="s">
        <v>7</v>
      </c>
      <c r="F1462" s="7" t="s">
        <v>8</v>
      </c>
      <c r="G1462" s="8"/>
    </row>
    <row r="1463">
      <c r="A1463" s="4">
        <v>43539.40370400463</v>
      </c>
      <c r="B1463" s="5">
        <v>43539.6953418518</v>
      </c>
      <c r="C1463" s="6">
        <v>1.038</v>
      </c>
      <c r="D1463" s="6">
        <v>69.0</v>
      </c>
      <c r="E1463" s="7" t="s">
        <v>7</v>
      </c>
      <c r="F1463" s="7" t="s">
        <v>8</v>
      </c>
      <c r="G1463" s="8"/>
    </row>
    <row r="1464">
      <c r="A1464" s="4">
        <v>43539.41417567129</v>
      </c>
      <c r="B1464" s="5">
        <v>43539.7058098726</v>
      </c>
      <c r="C1464" s="6">
        <v>1.038</v>
      </c>
      <c r="D1464" s="6">
        <v>69.0</v>
      </c>
      <c r="E1464" s="7" t="s">
        <v>7</v>
      </c>
      <c r="F1464" s="7" t="s">
        <v>8</v>
      </c>
      <c r="G1464" s="8"/>
    </row>
    <row r="1465">
      <c r="A1465" s="4">
        <v>43539.424594131946</v>
      </c>
      <c r="B1465" s="5">
        <v>43539.7162296412</v>
      </c>
      <c r="C1465" s="6">
        <v>1.038</v>
      </c>
      <c r="D1465" s="6">
        <v>69.0</v>
      </c>
      <c r="E1465" s="7" t="s">
        <v>7</v>
      </c>
      <c r="F1465" s="7" t="s">
        <v>8</v>
      </c>
      <c r="G1465" s="8"/>
    </row>
    <row r="1466">
      <c r="A1466" s="4">
        <v>43539.43500899305</v>
      </c>
      <c r="B1466" s="5">
        <v>43539.7266499421</v>
      </c>
      <c r="C1466" s="6">
        <v>1.038</v>
      </c>
      <c r="D1466" s="6">
        <v>69.0</v>
      </c>
      <c r="E1466" s="7" t="s">
        <v>7</v>
      </c>
      <c r="F1466" s="7" t="s">
        <v>8</v>
      </c>
      <c r="G1466" s="8"/>
    </row>
    <row r="1467">
      <c r="A1467" s="4">
        <v>43539.44544971065</v>
      </c>
      <c r="B1467" s="5">
        <v>43539.737082581</v>
      </c>
      <c r="C1467" s="6">
        <v>1.038</v>
      </c>
      <c r="D1467" s="6">
        <v>69.0</v>
      </c>
      <c r="E1467" s="7" t="s">
        <v>7</v>
      </c>
      <c r="F1467" s="7" t="s">
        <v>8</v>
      </c>
      <c r="G1467" s="8"/>
    </row>
    <row r="1468">
      <c r="A1468" s="4">
        <v>43539.455862187504</v>
      </c>
      <c r="B1468" s="5">
        <v>43539.7475029398</v>
      </c>
      <c r="C1468" s="6">
        <v>1.038</v>
      </c>
      <c r="D1468" s="6">
        <v>69.0</v>
      </c>
      <c r="E1468" s="7" t="s">
        <v>7</v>
      </c>
      <c r="F1468" s="7" t="s">
        <v>8</v>
      </c>
      <c r="G1468" s="8"/>
    </row>
    <row r="1469">
      <c r="A1469" s="4">
        <v>43539.46629819444</v>
      </c>
      <c r="B1469" s="5">
        <v>43539.7579223726</v>
      </c>
      <c r="C1469" s="6">
        <v>1.038</v>
      </c>
      <c r="D1469" s="6">
        <v>69.0</v>
      </c>
      <c r="E1469" s="7" t="s">
        <v>7</v>
      </c>
      <c r="F1469" s="7" t="s">
        <v>8</v>
      </c>
      <c r="G1469" s="8"/>
    </row>
    <row r="1470">
      <c r="A1470" s="4">
        <v>43539.47670986111</v>
      </c>
      <c r="B1470" s="5">
        <v>43539.7683412268</v>
      </c>
      <c r="C1470" s="6">
        <v>1.038</v>
      </c>
      <c r="D1470" s="6">
        <v>69.0</v>
      </c>
      <c r="E1470" s="7" t="s">
        <v>7</v>
      </c>
      <c r="F1470" s="7" t="s">
        <v>8</v>
      </c>
      <c r="G1470" s="8"/>
    </row>
    <row r="1471">
      <c r="A1471" s="4">
        <v>43539.4871287037</v>
      </c>
      <c r="B1471" s="5">
        <v>43539.7787627893</v>
      </c>
      <c r="C1471" s="6">
        <v>1.038</v>
      </c>
      <c r="D1471" s="6">
        <v>69.0</v>
      </c>
      <c r="E1471" s="7" t="s">
        <v>7</v>
      </c>
      <c r="F1471" s="7" t="s">
        <v>8</v>
      </c>
      <c r="G1471" s="8"/>
    </row>
    <row r="1472">
      <c r="A1472" s="4">
        <v>43539.49754858796</v>
      </c>
      <c r="B1472" s="5">
        <v>43539.7891828935</v>
      </c>
      <c r="C1472" s="6">
        <v>1.038</v>
      </c>
      <c r="D1472" s="6">
        <v>69.0</v>
      </c>
      <c r="E1472" s="7" t="s">
        <v>7</v>
      </c>
      <c r="F1472" s="7" t="s">
        <v>8</v>
      </c>
      <c r="G1472" s="8"/>
    </row>
    <row r="1473">
      <c r="A1473" s="4">
        <v>43539.50796657408</v>
      </c>
      <c r="B1473" s="5">
        <v>43539.799602824</v>
      </c>
      <c r="C1473" s="6">
        <v>1.038</v>
      </c>
      <c r="D1473" s="6">
        <v>69.0</v>
      </c>
      <c r="E1473" s="7" t="s">
        <v>7</v>
      </c>
      <c r="F1473" s="7" t="s">
        <v>8</v>
      </c>
      <c r="G1473" s="8"/>
    </row>
    <row r="1474">
      <c r="A1474" s="4">
        <v>43539.51842378472</v>
      </c>
      <c r="B1474" s="5">
        <v>43539.8100606249</v>
      </c>
      <c r="C1474" s="6">
        <v>1.038</v>
      </c>
      <c r="D1474" s="6">
        <v>69.0</v>
      </c>
      <c r="E1474" s="7" t="s">
        <v>7</v>
      </c>
      <c r="F1474" s="7" t="s">
        <v>8</v>
      </c>
      <c r="G1474" s="8"/>
    </row>
    <row r="1475">
      <c r="A1475" s="4">
        <v>43539.52884945602</v>
      </c>
      <c r="B1475" s="5">
        <v>43539.8204823495</v>
      </c>
      <c r="C1475" s="6">
        <v>1.038</v>
      </c>
      <c r="D1475" s="6">
        <v>69.0</v>
      </c>
      <c r="E1475" s="7" t="s">
        <v>7</v>
      </c>
      <c r="F1475" s="7" t="s">
        <v>8</v>
      </c>
      <c r="G1475" s="8"/>
    </row>
    <row r="1476">
      <c r="A1476" s="4">
        <v>43539.53927407408</v>
      </c>
      <c r="B1476" s="5">
        <v>43539.8309058796</v>
      </c>
      <c r="C1476" s="6">
        <v>1.038</v>
      </c>
      <c r="D1476" s="6">
        <v>69.0</v>
      </c>
      <c r="E1476" s="7" t="s">
        <v>7</v>
      </c>
      <c r="F1476" s="7" t="s">
        <v>8</v>
      </c>
      <c r="G1476" s="8"/>
    </row>
    <row r="1477">
      <c r="A1477" s="4">
        <v>43539.549689259264</v>
      </c>
      <c r="B1477" s="5">
        <v>43539.8413267824</v>
      </c>
      <c r="C1477" s="6">
        <v>1.038</v>
      </c>
      <c r="D1477" s="6">
        <v>69.0</v>
      </c>
      <c r="E1477" s="7" t="s">
        <v>7</v>
      </c>
      <c r="F1477" s="7" t="s">
        <v>8</v>
      </c>
      <c r="G1477" s="8"/>
    </row>
    <row r="1478">
      <c r="A1478" s="4">
        <v>43539.560114328706</v>
      </c>
      <c r="B1478" s="5">
        <v>43539.8517496296</v>
      </c>
      <c r="C1478" s="6">
        <v>1.038</v>
      </c>
      <c r="D1478" s="6">
        <v>69.0</v>
      </c>
      <c r="E1478" s="7" t="s">
        <v>7</v>
      </c>
      <c r="F1478" s="7" t="s">
        <v>8</v>
      </c>
      <c r="G1478" s="8"/>
    </row>
    <row r="1479">
      <c r="A1479" s="4">
        <v>43539.57053033565</v>
      </c>
      <c r="B1479" s="5">
        <v>43539.8621736111</v>
      </c>
      <c r="C1479" s="6">
        <v>1.038</v>
      </c>
      <c r="D1479" s="6">
        <v>69.0</v>
      </c>
      <c r="E1479" s="7" t="s">
        <v>7</v>
      </c>
      <c r="F1479" s="7" t="s">
        <v>8</v>
      </c>
      <c r="G1479" s="8"/>
    </row>
    <row r="1480">
      <c r="A1480" s="4">
        <v>43539.58095616898</v>
      </c>
      <c r="B1480" s="5">
        <v>43539.87259603</v>
      </c>
      <c r="C1480" s="6">
        <v>1.038</v>
      </c>
      <c r="D1480" s="6">
        <v>69.0</v>
      </c>
      <c r="E1480" s="7" t="s">
        <v>7</v>
      </c>
      <c r="F1480" s="7" t="s">
        <v>8</v>
      </c>
      <c r="G1480" s="8"/>
    </row>
    <row r="1481">
      <c r="A1481" s="4">
        <v>43539.59138744213</v>
      </c>
      <c r="B1481" s="5">
        <v>43539.8830172569</v>
      </c>
      <c r="C1481" s="6">
        <v>1.038</v>
      </c>
      <c r="D1481" s="6">
        <v>69.0</v>
      </c>
      <c r="E1481" s="7" t="s">
        <v>7</v>
      </c>
      <c r="F1481" s="7" t="s">
        <v>8</v>
      </c>
      <c r="G1481" s="8"/>
    </row>
    <row r="1482">
      <c r="A1482" s="4">
        <v>43539.601801296296</v>
      </c>
      <c r="B1482" s="5">
        <v>43539.8934376851</v>
      </c>
      <c r="C1482" s="6">
        <v>1.038</v>
      </c>
      <c r="D1482" s="6">
        <v>69.0</v>
      </c>
      <c r="E1482" s="7" t="s">
        <v>7</v>
      </c>
      <c r="F1482" s="7" t="s">
        <v>8</v>
      </c>
      <c r="G1482" s="8"/>
    </row>
    <row r="1483">
      <c r="A1483" s="4">
        <v>43539.61223302083</v>
      </c>
      <c r="B1483" s="5">
        <v>43539.9038579166</v>
      </c>
      <c r="C1483" s="6">
        <v>1.038</v>
      </c>
      <c r="D1483" s="6">
        <v>69.0</v>
      </c>
      <c r="E1483" s="7" t="s">
        <v>7</v>
      </c>
      <c r="F1483" s="7" t="s">
        <v>8</v>
      </c>
      <c r="G1483" s="8"/>
    </row>
    <row r="1484">
      <c r="A1484" s="4">
        <v>43539.622657500004</v>
      </c>
      <c r="B1484" s="5">
        <v>43539.9142921064</v>
      </c>
      <c r="C1484" s="6">
        <v>1.038</v>
      </c>
      <c r="D1484" s="6">
        <v>69.0</v>
      </c>
      <c r="E1484" s="7" t="s">
        <v>7</v>
      </c>
      <c r="F1484" s="7" t="s">
        <v>8</v>
      </c>
      <c r="G1484" s="8"/>
    </row>
    <row r="1485">
      <c r="A1485" s="4">
        <v>43539.6330762037</v>
      </c>
      <c r="B1485" s="5">
        <v>43539.9247123148</v>
      </c>
      <c r="C1485" s="6">
        <v>1.038</v>
      </c>
      <c r="D1485" s="6">
        <v>69.0</v>
      </c>
      <c r="E1485" s="7" t="s">
        <v>7</v>
      </c>
      <c r="F1485" s="7" t="s">
        <v>8</v>
      </c>
      <c r="G1485" s="8"/>
    </row>
    <row r="1486">
      <c r="A1486" s="4">
        <v>43539.64350666667</v>
      </c>
      <c r="B1486" s="5">
        <v>43539.9351348495</v>
      </c>
      <c r="C1486" s="6">
        <v>1.038</v>
      </c>
      <c r="D1486" s="6">
        <v>69.0</v>
      </c>
      <c r="E1486" s="7" t="s">
        <v>7</v>
      </c>
      <c r="F1486" s="7" t="s">
        <v>8</v>
      </c>
      <c r="G1486" s="8"/>
    </row>
    <row r="1487">
      <c r="A1487" s="4">
        <v>43539.65392660879</v>
      </c>
      <c r="B1487" s="5">
        <v>43539.945558993</v>
      </c>
      <c r="C1487" s="6">
        <v>1.038</v>
      </c>
      <c r="D1487" s="6">
        <v>69.0</v>
      </c>
      <c r="E1487" s="7" t="s">
        <v>7</v>
      </c>
      <c r="F1487" s="7" t="s">
        <v>8</v>
      </c>
      <c r="G1487" s="8"/>
    </row>
    <row r="1488">
      <c r="A1488" s="4">
        <v>43539.66434613426</v>
      </c>
      <c r="B1488" s="5">
        <v>43539.9559821064</v>
      </c>
      <c r="C1488" s="6">
        <v>1.038</v>
      </c>
      <c r="D1488" s="6">
        <v>69.0</v>
      </c>
      <c r="E1488" s="7" t="s">
        <v>7</v>
      </c>
      <c r="F1488" s="7" t="s">
        <v>8</v>
      </c>
      <c r="G1488" s="8"/>
    </row>
    <row r="1489">
      <c r="A1489" s="4">
        <v>43539.67477517361</v>
      </c>
      <c r="B1489" s="5">
        <v>43539.9664035532</v>
      </c>
      <c r="C1489" s="6">
        <v>1.038</v>
      </c>
      <c r="D1489" s="6">
        <v>69.0</v>
      </c>
      <c r="E1489" s="7" t="s">
        <v>7</v>
      </c>
      <c r="F1489" s="7" t="s">
        <v>8</v>
      </c>
      <c r="G1489" s="8"/>
    </row>
    <row r="1490">
      <c r="A1490" s="4">
        <v>43539.68519590278</v>
      </c>
      <c r="B1490" s="5">
        <v>43539.9768262847</v>
      </c>
      <c r="C1490" s="6">
        <v>1.038</v>
      </c>
      <c r="D1490" s="6">
        <v>69.0</v>
      </c>
      <c r="E1490" s="7" t="s">
        <v>7</v>
      </c>
      <c r="F1490" s="7" t="s">
        <v>8</v>
      </c>
      <c r="G1490" s="8"/>
    </row>
    <row r="1491">
      <c r="A1491" s="4">
        <v>43539.69562732639</v>
      </c>
      <c r="B1491" s="5">
        <v>43539.9872597453</v>
      </c>
      <c r="C1491" s="6">
        <v>1.038</v>
      </c>
      <c r="D1491" s="6">
        <v>69.0</v>
      </c>
      <c r="E1491" s="7" t="s">
        <v>7</v>
      </c>
      <c r="F1491" s="7" t="s">
        <v>8</v>
      </c>
      <c r="G1491" s="8"/>
    </row>
    <row r="1492">
      <c r="A1492" s="4">
        <v>43539.70604405092</v>
      </c>
      <c r="B1492" s="5">
        <v>43539.9976804166</v>
      </c>
      <c r="C1492" s="6">
        <v>1.038</v>
      </c>
      <c r="D1492" s="6">
        <v>69.0</v>
      </c>
      <c r="E1492" s="7" t="s">
        <v>7</v>
      </c>
      <c r="F1492" s="7" t="s">
        <v>8</v>
      </c>
      <c r="G1492" s="8"/>
    </row>
    <row r="1493">
      <c r="A1493" s="4">
        <v>43539.716493541666</v>
      </c>
      <c r="B1493" s="5">
        <v>43540.008125706</v>
      </c>
      <c r="C1493" s="6">
        <v>1.037</v>
      </c>
      <c r="D1493" s="6">
        <v>69.0</v>
      </c>
      <c r="E1493" s="7" t="s">
        <v>7</v>
      </c>
      <c r="F1493" s="7" t="s">
        <v>8</v>
      </c>
      <c r="G1493" s="8"/>
    </row>
    <row r="1494">
      <c r="A1494" s="4">
        <v>43539.72691564815</v>
      </c>
      <c r="B1494" s="5">
        <v>43540.0185477777</v>
      </c>
      <c r="C1494" s="6">
        <v>1.037</v>
      </c>
      <c r="D1494" s="6">
        <v>69.0</v>
      </c>
      <c r="E1494" s="7" t="s">
        <v>7</v>
      </c>
      <c r="F1494" s="7" t="s">
        <v>8</v>
      </c>
      <c r="G1494" s="8"/>
    </row>
    <row r="1495">
      <c r="A1495" s="4">
        <v>43539.737335439815</v>
      </c>
      <c r="B1495" s="5">
        <v>43540.0289690856</v>
      </c>
      <c r="C1495" s="6">
        <v>1.037</v>
      </c>
      <c r="D1495" s="6">
        <v>69.0</v>
      </c>
      <c r="E1495" s="7" t="s">
        <v>7</v>
      </c>
      <c r="F1495" s="7" t="s">
        <v>8</v>
      </c>
      <c r="G1495" s="8"/>
    </row>
    <row r="1496">
      <c r="A1496" s="4">
        <v>43539.74775725695</v>
      </c>
      <c r="B1496" s="5">
        <v>43540.0394013888</v>
      </c>
      <c r="C1496" s="6">
        <v>1.038</v>
      </c>
      <c r="D1496" s="6">
        <v>70.0</v>
      </c>
      <c r="E1496" s="7" t="s">
        <v>7</v>
      </c>
      <c r="F1496" s="7" t="s">
        <v>8</v>
      </c>
      <c r="G1496" s="8"/>
    </row>
    <row r="1497">
      <c r="A1497" s="4">
        <v>43539.75818518519</v>
      </c>
      <c r="B1497" s="5">
        <v>43540.0498224652</v>
      </c>
      <c r="C1497" s="6">
        <v>1.038</v>
      </c>
      <c r="D1497" s="6">
        <v>70.0</v>
      </c>
      <c r="E1497" s="7" t="s">
        <v>7</v>
      </c>
      <c r="F1497" s="7" t="s">
        <v>8</v>
      </c>
      <c r="G1497" s="8"/>
    </row>
    <row r="1498">
      <c r="A1498" s="4">
        <v>43539.768606620375</v>
      </c>
      <c r="B1498" s="5">
        <v>43540.0602434837</v>
      </c>
      <c r="C1498" s="6">
        <v>1.038</v>
      </c>
      <c r="D1498" s="6">
        <v>70.0</v>
      </c>
      <c r="E1498" s="7" t="s">
        <v>7</v>
      </c>
      <c r="F1498" s="7" t="s">
        <v>8</v>
      </c>
      <c r="G1498" s="8"/>
    </row>
    <row r="1499">
      <c r="A1499" s="4">
        <v>43539.77902111111</v>
      </c>
      <c r="B1499" s="5">
        <v>43540.0706636342</v>
      </c>
      <c r="C1499" s="6">
        <v>1.037</v>
      </c>
      <c r="D1499" s="6">
        <v>70.0</v>
      </c>
      <c r="E1499" s="7" t="s">
        <v>7</v>
      </c>
      <c r="F1499" s="7" t="s">
        <v>8</v>
      </c>
      <c r="G1499" s="8"/>
    </row>
    <row r="1500">
      <c r="A1500" s="4">
        <v>43539.78944572917</v>
      </c>
      <c r="B1500" s="5">
        <v>43540.0810848032</v>
      </c>
      <c r="C1500" s="6">
        <v>1.037</v>
      </c>
      <c r="D1500" s="6">
        <v>70.0</v>
      </c>
      <c r="E1500" s="7" t="s">
        <v>7</v>
      </c>
      <c r="F1500" s="7" t="s">
        <v>8</v>
      </c>
      <c r="G1500" s="8"/>
    </row>
    <row r="1501">
      <c r="A1501" s="4">
        <v>43539.79989001158</v>
      </c>
      <c r="B1501" s="5">
        <v>43540.0915050231</v>
      </c>
      <c r="C1501" s="6">
        <v>1.038</v>
      </c>
      <c r="D1501" s="6">
        <v>70.0</v>
      </c>
      <c r="E1501" s="7" t="s">
        <v>7</v>
      </c>
      <c r="F1501" s="7" t="s">
        <v>8</v>
      </c>
      <c r="G1501" s="8"/>
    </row>
    <row r="1502">
      <c r="A1502" s="4">
        <v>43539.810288333334</v>
      </c>
      <c r="B1502" s="5">
        <v>43540.1019243402</v>
      </c>
      <c r="C1502" s="6">
        <v>1.037</v>
      </c>
      <c r="D1502" s="6">
        <v>70.0</v>
      </c>
      <c r="E1502" s="7" t="s">
        <v>7</v>
      </c>
      <c r="F1502" s="7" t="s">
        <v>8</v>
      </c>
      <c r="G1502" s="8"/>
    </row>
    <row r="1503">
      <c r="A1503" s="4">
        <v>43539.82071467592</v>
      </c>
      <c r="B1503" s="5">
        <v>43540.1123434837</v>
      </c>
      <c r="C1503" s="6">
        <v>1.037</v>
      </c>
      <c r="D1503" s="6">
        <v>70.0</v>
      </c>
      <c r="E1503" s="7" t="s">
        <v>7</v>
      </c>
      <c r="F1503" s="7" t="s">
        <v>8</v>
      </c>
      <c r="G1503" s="8"/>
    </row>
    <row r="1504">
      <c r="A1504" s="4">
        <v>43539.83112549769</v>
      </c>
      <c r="B1504" s="5">
        <v>43540.1227650115</v>
      </c>
      <c r="C1504" s="6">
        <v>1.038</v>
      </c>
      <c r="D1504" s="6">
        <v>70.0</v>
      </c>
      <c r="E1504" s="7" t="s">
        <v>7</v>
      </c>
      <c r="F1504" s="7" t="s">
        <v>8</v>
      </c>
      <c r="G1504" s="8"/>
    </row>
    <row r="1505">
      <c r="A1505" s="4">
        <v>43539.84156678241</v>
      </c>
      <c r="B1505" s="5">
        <v>43540.1331962268</v>
      </c>
      <c r="C1505" s="6">
        <v>1.037</v>
      </c>
      <c r="D1505" s="6">
        <v>70.0</v>
      </c>
      <c r="E1505" s="7" t="s">
        <v>7</v>
      </c>
      <c r="F1505" s="7" t="s">
        <v>8</v>
      </c>
      <c r="G1505" s="8"/>
    </row>
    <row r="1506">
      <c r="A1506" s="4">
        <v>43539.852007696754</v>
      </c>
      <c r="B1506" s="5">
        <v>43540.1436407291</v>
      </c>
      <c r="C1506" s="6">
        <v>1.037</v>
      </c>
      <c r="D1506" s="6">
        <v>70.0</v>
      </c>
      <c r="E1506" s="7" t="s">
        <v>7</v>
      </c>
      <c r="F1506" s="7" t="s">
        <v>8</v>
      </c>
      <c r="G1506" s="8"/>
    </row>
    <row r="1507">
      <c r="A1507" s="4">
        <v>43539.86242988426</v>
      </c>
      <c r="B1507" s="5">
        <v>43540.1540616088</v>
      </c>
      <c r="C1507" s="6">
        <v>1.037</v>
      </c>
      <c r="D1507" s="6">
        <v>70.0</v>
      </c>
      <c r="E1507" s="7" t="s">
        <v>7</v>
      </c>
      <c r="F1507" s="7" t="s">
        <v>8</v>
      </c>
      <c r="G1507" s="8"/>
    </row>
    <row r="1508">
      <c r="A1508" s="4">
        <v>43539.872866516205</v>
      </c>
      <c r="B1508" s="5">
        <v>43540.1645040509</v>
      </c>
      <c r="C1508" s="6">
        <v>1.037</v>
      </c>
      <c r="D1508" s="6">
        <v>70.0</v>
      </c>
      <c r="E1508" s="7" t="s">
        <v>7</v>
      </c>
      <c r="F1508" s="7" t="s">
        <v>8</v>
      </c>
      <c r="G1508" s="8"/>
    </row>
    <row r="1509">
      <c r="A1509" s="4">
        <v>43539.88337466435</v>
      </c>
      <c r="B1509" s="5">
        <v>43540.1749506712</v>
      </c>
      <c r="C1509" s="6">
        <v>1.037</v>
      </c>
      <c r="D1509" s="6">
        <v>70.0</v>
      </c>
      <c r="E1509" s="7" t="s">
        <v>7</v>
      </c>
      <c r="F1509" s="7" t="s">
        <v>8</v>
      </c>
      <c r="G1509" s="8"/>
    </row>
    <row r="1510">
      <c r="A1510" s="4">
        <v>43539.89373585648</v>
      </c>
      <c r="B1510" s="5">
        <v>43540.1853703819</v>
      </c>
      <c r="C1510" s="6">
        <v>1.037</v>
      </c>
      <c r="D1510" s="6">
        <v>70.0</v>
      </c>
      <c r="E1510" s="7" t="s">
        <v>7</v>
      </c>
      <c r="F1510" s="7" t="s">
        <v>8</v>
      </c>
      <c r="G1510" s="8"/>
    </row>
    <row r="1511">
      <c r="A1511" s="4">
        <v>43539.904180046295</v>
      </c>
      <c r="B1511" s="5">
        <v>43540.1958138078</v>
      </c>
      <c r="C1511" s="6">
        <v>1.037</v>
      </c>
      <c r="D1511" s="6">
        <v>70.0</v>
      </c>
      <c r="E1511" s="7" t="s">
        <v>7</v>
      </c>
      <c r="F1511" s="7" t="s">
        <v>8</v>
      </c>
      <c r="G1511" s="8"/>
    </row>
    <row r="1512">
      <c r="A1512" s="4">
        <v>43539.914609467596</v>
      </c>
      <c r="B1512" s="5">
        <v>43540.206247118</v>
      </c>
      <c r="C1512" s="6">
        <v>1.037</v>
      </c>
      <c r="D1512" s="6">
        <v>70.0</v>
      </c>
      <c r="E1512" s="7" t="s">
        <v>7</v>
      </c>
      <c r="F1512" s="7" t="s">
        <v>8</v>
      </c>
      <c r="G1512" s="8"/>
    </row>
    <row r="1513">
      <c r="A1513" s="4">
        <v>43539.92512798611</v>
      </c>
      <c r="B1513" s="5">
        <v>43540.2166804513</v>
      </c>
      <c r="C1513" s="6">
        <v>1.037</v>
      </c>
      <c r="D1513" s="6">
        <v>70.0</v>
      </c>
      <c r="E1513" s="7" t="s">
        <v>7</v>
      </c>
      <c r="F1513" s="7" t="s">
        <v>8</v>
      </c>
      <c r="G1513" s="8"/>
    </row>
    <row r="1514">
      <c r="A1514" s="4">
        <v>43539.93546515046</v>
      </c>
      <c r="B1514" s="5">
        <v>43540.2271024074</v>
      </c>
      <c r="C1514" s="6">
        <v>1.037</v>
      </c>
      <c r="D1514" s="6">
        <v>70.0</v>
      </c>
      <c r="E1514" s="7" t="s">
        <v>7</v>
      </c>
      <c r="F1514" s="7" t="s">
        <v>8</v>
      </c>
      <c r="G1514" s="8"/>
    </row>
    <row r="1515">
      <c r="A1515" s="4">
        <v>43539.945885601854</v>
      </c>
      <c r="B1515" s="5">
        <v>43540.2375231712</v>
      </c>
      <c r="C1515" s="6">
        <v>1.037</v>
      </c>
      <c r="D1515" s="6">
        <v>70.0</v>
      </c>
      <c r="E1515" s="7" t="s">
        <v>7</v>
      </c>
      <c r="F1515" s="7" t="s">
        <v>8</v>
      </c>
      <c r="G1515" s="8"/>
    </row>
    <row r="1516">
      <c r="A1516" s="4">
        <v>43539.95630457176</v>
      </c>
      <c r="B1516" s="5">
        <v>43540.247944537</v>
      </c>
      <c r="C1516" s="6">
        <v>1.037</v>
      </c>
      <c r="D1516" s="6">
        <v>70.0</v>
      </c>
      <c r="E1516" s="7" t="s">
        <v>7</v>
      </c>
      <c r="F1516" s="7" t="s">
        <v>8</v>
      </c>
      <c r="G1516" s="8"/>
    </row>
    <row r="1517">
      <c r="A1517" s="4">
        <v>43539.96673210648</v>
      </c>
      <c r="B1517" s="5">
        <v>43540.2583659953</v>
      </c>
      <c r="C1517" s="6">
        <v>1.037</v>
      </c>
      <c r="D1517" s="6">
        <v>70.0</v>
      </c>
      <c r="E1517" s="7" t="s">
        <v>7</v>
      </c>
      <c r="F1517" s="7" t="s">
        <v>8</v>
      </c>
      <c r="G1517" s="8"/>
    </row>
    <row r="1518">
      <c r="A1518" s="4">
        <v>43539.977147812504</v>
      </c>
      <c r="B1518" s="5">
        <v>43540.2687856597</v>
      </c>
      <c r="C1518" s="6">
        <v>1.037</v>
      </c>
      <c r="D1518" s="6">
        <v>70.0</v>
      </c>
      <c r="E1518" s="7" t="s">
        <v>7</v>
      </c>
      <c r="F1518" s="7" t="s">
        <v>8</v>
      </c>
      <c r="G1518" s="8"/>
    </row>
    <row r="1519">
      <c r="A1519" s="4">
        <v>43539.98758695602</v>
      </c>
      <c r="B1519" s="5">
        <v>43540.2792184722</v>
      </c>
      <c r="C1519" s="6">
        <v>1.037</v>
      </c>
      <c r="D1519" s="6">
        <v>70.0</v>
      </c>
      <c r="E1519" s="7" t="s">
        <v>7</v>
      </c>
      <c r="F1519" s="7" t="s">
        <v>8</v>
      </c>
      <c r="G1519" s="8"/>
    </row>
    <row r="1520">
      <c r="A1520" s="4">
        <v>43539.99799887731</v>
      </c>
      <c r="B1520" s="5">
        <v>43540.2896383564</v>
      </c>
      <c r="C1520" s="6">
        <v>1.037</v>
      </c>
      <c r="D1520" s="6">
        <v>69.0</v>
      </c>
      <c r="E1520" s="7" t="s">
        <v>7</v>
      </c>
      <c r="F1520" s="7" t="s">
        <v>8</v>
      </c>
      <c r="G1520" s="8"/>
    </row>
    <row r="1521">
      <c r="A1521" s="4">
        <v>43540.00841891204</v>
      </c>
      <c r="B1521" s="5">
        <v>43540.3000604629</v>
      </c>
      <c r="C1521" s="6">
        <v>1.037</v>
      </c>
      <c r="D1521" s="6">
        <v>69.0</v>
      </c>
      <c r="E1521" s="7" t="s">
        <v>7</v>
      </c>
      <c r="F1521" s="7" t="s">
        <v>8</v>
      </c>
      <c r="G1521" s="8"/>
    </row>
    <row r="1522">
      <c r="A1522" s="4">
        <v>43540.018872175926</v>
      </c>
      <c r="B1522" s="5">
        <v>43540.310505243</v>
      </c>
      <c r="C1522" s="6">
        <v>1.037</v>
      </c>
      <c r="D1522" s="6">
        <v>69.0</v>
      </c>
      <c r="E1522" s="7" t="s">
        <v>7</v>
      </c>
      <c r="F1522" s="7" t="s">
        <v>8</v>
      </c>
      <c r="G1522" s="8"/>
    </row>
    <row r="1523">
      <c r="A1523" s="4">
        <v>43540.02929101852</v>
      </c>
      <c r="B1523" s="5">
        <v>43540.3209259143</v>
      </c>
      <c r="C1523" s="6">
        <v>1.037</v>
      </c>
      <c r="D1523" s="6">
        <v>70.0</v>
      </c>
      <c r="E1523" s="7" t="s">
        <v>7</v>
      </c>
      <c r="F1523" s="7" t="s">
        <v>8</v>
      </c>
      <c r="G1523" s="8"/>
    </row>
    <row r="1524">
      <c r="A1524" s="4">
        <v>43540.03971001157</v>
      </c>
      <c r="B1524" s="5">
        <v>43540.3313464004</v>
      </c>
      <c r="C1524" s="6">
        <v>1.037</v>
      </c>
      <c r="D1524" s="6">
        <v>69.0</v>
      </c>
      <c r="E1524" s="7" t="s">
        <v>7</v>
      </c>
      <c r="F1524" s="7" t="s">
        <v>8</v>
      </c>
      <c r="G1524" s="8"/>
    </row>
    <row r="1525">
      <c r="A1525" s="4">
        <v>43540.05013053241</v>
      </c>
      <c r="B1525" s="5">
        <v>43540.3417665393</v>
      </c>
      <c r="C1525" s="6">
        <v>1.037</v>
      </c>
      <c r="D1525" s="6">
        <v>69.0</v>
      </c>
      <c r="E1525" s="7" t="s">
        <v>7</v>
      </c>
      <c r="F1525" s="7" t="s">
        <v>8</v>
      </c>
      <c r="G1525" s="8"/>
    </row>
    <row r="1526">
      <c r="A1526" s="4">
        <v>43540.06055576389</v>
      </c>
      <c r="B1526" s="5">
        <v>43540.3521882986</v>
      </c>
      <c r="C1526" s="6">
        <v>1.037</v>
      </c>
      <c r="D1526" s="6">
        <v>69.0</v>
      </c>
      <c r="E1526" s="7" t="s">
        <v>7</v>
      </c>
      <c r="F1526" s="7" t="s">
        <v>8</v>
      </c>
      <c r="G1526" s="8"/>
    </row>
    <row r="1527">
      <c r="A1527" s="4">
        <v>43540.07097136574</v>
      </c>
      <c r="B1527" s="5">
        <v>43540.3626103009</v>
      </c>
      <c r="C1527" s="6">
        <v>1.037</v>
      </c>
      <c r="D1527" s="6">
        <v>69.0</v>
      </c>
      <c r="E1527" s="7" t="s">
        <v>7</v>
      </c>
      <c r="F1527" s="7" t="s">
        <v>8</v>
      </c>
      <c r="G1527" s="8"/>
    </row>
    <row r="1528">
      <c r="A1528" s="4">
        <v>43540.081400995376</v>
      </c>
      <c r="B1528" s="5">
        <v>43540.3730426504</v>
      </c>
      <c r="C1528" s="6">
        <v>1.037</v>
      </c>
      <c r="D1528" s="6">
        <v>69.0</v>
      </c>
      <c r="E1528" s="7" t="s">
        <v>7</v>
      </c>
      <c r="F1528" s="7" t="s">
        <v>8</v>
      </c>
      <c r="G1528" s="8"/>
    </row>
    <row r="1529">
      <c r="A1529" s="4">
        <v>43540.091829004625</v>
      </c>
      <c r="B1529" s="5">
        <v>43540.3834639699</v>
      </c>
      <c r="C1529" s="6">
        <v>1.037</v>
      </c>
      <c r="D1529" s="6">
        <v>69.0</v>
      </c>
      <c r="E1529" s="7" t="s">
        <v>7</v>
      </c>
      <c r="F1529" s="7" t="s">
        <v>8</v>
      </c>
      <c r="G1529" s="8"/>
    </row>
    <row r="1530">
      <c r="A1530" s="4">
        <v>43540.10225236111</v>
      </c>
      <c r="B1530" s="5">
        <v>43540.3938837152</v>
      </c>
      <c r="C1530" s="6">
        <v>1.037</v>
      </c>
      <c r="D1530" s="6">
        <v>69.0</v>
      </c>
      <c r="E1530" s="7" t="s">
        <v>7</v>
      </c>
      <c r="F1530" s="7" t="s">
        <v>8</v>
      </c>
      <c r="G1530" s="8"/>
    </row>
    <row r="1531">
      <c r="A1531" s="4">
        <v>43540.11271216435</v>
      </c>
      <c r="B1531" s="5">
        <v>43540.4043505092</v>
      </c>
      <c r="C1531" s="6">
        <v>1.037</v>
      </c>
      <c r="D1531" s="6">
        <v>69.0</v>
      </c>
      <c r="E1531" s="7" t="s">
        <v>7</v>
      </c>
      <c r="F1531" s="7" t="s">
        <v>8</v>
      </c>
      <c r="G1531" s="8"/>
    </row>
    <row r="1532">
      <c r="A1532" s="4">
        <v>43540.12315693287</v>
      </c>
      <c r="B1532" s="5">
        <v>43540.4147944791</v>
      </c>
      <c r="C1532" s="6">
        <v>1.037</v>
      </c>
      <c r="D1532" s="6">
        <v>69.0</v>
      </c>
      <c r="E1532" s="7" t="s">
        <v>7</v>
      </c>
      <c r="F1532" s="7" t="s">
        <v>8</v>
      </c>
      <c r="G1532" s="8"/>
    </row>
    <row r="1533">
      <c r="A1533" s="4">
        <v>43540.13358524306</v>
      </c>
      <c r="B1533" s="5">
        <v>43540.4252157291</v>
      </c>
      <c r="C1533" s="6">
        <v>1.037</v>
      </c>
      <c r="D1533" s="6">
        <v>69.0</v>
      </c>
      <c r="E1533" s="7" t="s">
        <v>7</v>
      </c>
      <c r="F1533" s="7" t="s">
        <v>8</v>
      </c>
      <c r="G1533" s="8"/>
    </row>
    <row r="1534">
      <c r="A1534" s="4">
        <v>43540.144021875</v>
      </c>
      <c r="B1534" s="5">
        <v>43540.4356593518</v>
      </c>
      <c r="C1534" s="6">
        <v>1.037</v>
      </c>
      <c r="D1534" s="6">
        <v>69.0</v>
      </c>
      <c r="E1534" s="7" t="s">
        <v>7</v>
      </c>
      <c r="F1534" s="7" t="s">
        <v>8</v>
      </c>
      <c r="G1534" s="8"/>
    </row>
    <row r="1535">
      <c r="A1535" s="4">
        <v>43540.154448622685</v>
      </c>
      <c r="B1535" s="5">
        <v>43540.4460915277</v>
      </c>
      <c r="C1535" s="6">
        <v>1.036</v>
      </c>
      <c r="D1535" s="6">
        <v>69.0</v>
      </c>
      <c r="E1535" s="7" t="s">
        <v>7</v>
      </c>
      <c r="F1535" s="7" t="s">
        <v>8</v>
      </c>
      <c r="G1535" s="8"/>
    </row>
    <row r="1536">
      <c r="A1536" s="4">
        <v>43540.16488575231</v>
      </c>
      <c r="B1536" s="5">
        <v>43540.4565242129</v>
      </c>
      <c r="C1536" s="6">
        <v>1.037</v>
      </c>
      <c r="D1536" s="6">
        <v>69.0</v>
      </c>
      <c r="E1536" s="7" t="s">
        <v>7</v>
      </c>
      <c r="F1536" s="7" t="s">
        <v>8</v>
      </c>
      <c r="G1536" s="8"/>
    </row>
    <row r="1537">
      <c r="A1537" s="4">
        <v>43540.17532300926</v>
      </c>
      <c r="B1537" s="5">
        <v>43540.4669561458</v>
      </c>
      <c r="C1537" s="6">
        <v>1.037</v>
      </c>
      <c r="D1537" s="6">
        <v>69.0</v>
      </c>
      <c r="E1537" s="7" t="s">
        <v>7</v>
      </c>
      <c r="F1537" s="7" t="s">
        <v>8</v>
      </c>
      <c r="G1537" s="8"/>
    </row>
    <row r="1538">
      <c r="A1538" s="4">
        <v>43540.18573658565</v>
      </c>
      <c r="B1538" s="5">
        <v>43540.4773766435</v>
      </c>
      <c r="C1538" s="6">
        <v>1.037</v>
      </c>
      <c r="D1538" s="6">
        <v>69.0</v>
      </c>
      <c r="E1538" s="7" t="s">
        <v>7</v>
      </c>
      <c r="F1538" s="7" t="s">
        <v>8</v>
      </c>
      <c r="G1538" s="8"/>
    </row>
    <row r="1539">
      <c r="A1539" s="4">
        <v>43540.196170613424</v>
      </c>
      <c r="B1539" s="5">
        <v>43540.4878088425</v>
      </c>
      <c r="C1539" s="6">
        <v>1.037</v>
      </c>
      <c r="D1539" s="6">
        <v>69.0</v>
      </c>
      <c r="E1539" s="7" t="s">
        <v>7</v>
      </c>
      <c r="F1539" s="7" t="s">
        <v>8</v>
      </c>
      <c r="G1539" s="8"/>
    </row>
    <row r="1540">
      <c r="A1540" s="4">
        <v>43540.20660055555</v>
      </c>
      <c r="B1540" s="5">
        <v>43540.4982301967</v>
      </c>
      <c r="C1540" s="6">
        <v>1.037</v>
      </c>
      <c r="D1540" s="6">
        <v>69.0</v>
      </c>
      <c r="E1540" s="7" t="s">
        <v>7</v>
      </c>
      <c r="F1540" s="7" t="s">
        <v>8</v>
      </c>
      <c r="G1540" s="8"/>
    </row>
    <row r="1541">
      <c r="A1541" s="4">
        <v>43540.217022013894</v>
      </c>
      <c r="B1541" s="5">
        <v>43540.508650787</v>
      </c>
      <c r="C1541" s="6">
        <v>1.037</v>
      </c>
      <c r="D1541" s="6">
        <v>69.0</v>
      </c>
      <c r="E1541" s="7" t="s">
        <v>7</v>
      </c>
      <c r="F1541" s="7" t="s">
        <v>8</v>
      </c>
      <c r="G1541" s="8"/>
    </row>
    <row r="1542">
      <c r="A1542" s="4">
        <v>43540.22744390046</v>
      </c>
      <c r="B1542" s="5">
        <v>43540.5190736111</v>
      </c>
      <c r="C1542" s="6">
        <v>1.037</v>
      </c>
      <c r="D1542" s="6">
        <v>69.0</v>
      </c>
      <c r="E1542" s="7" t="s">
        <v>7</v>
      </c>
      <c r="F1542" s="7" t="s">
        <v>8</v>
      </c>
      <c r="G1542" s="8"/>
    </row>
    <row r="1543">
      <c r="A1543" s="4">
        <v>43540.237854872685</v>
      </c>
      <c r="B1543" s="5">
        <v>43540.5294950347</v>
      </c>
      <c r="C1543" s="6">
        <v>1.037</v>
      </c>
      <c r="D1543" s="6">
        <v>69.0</v>
      </c>
      <c r="E1543" s="7" t="s">
        <v>7</v>
      </c>
      <c r="F1543" s="7" t="s">
        <v>8</v>
      </c>
      <c r="G1543" s="8"/>
    </row>
    <row r="1544">
      <c r="A1544" s="4">
        <v>43540.24827498842</v>
      </c>
      <c r="B1544" s="5">
        <v>43540.5399154282</v>
      </c>
      <c r="C1544" s="6">
        <v>1.037</v>
      </c>
      <c r="D1544" s="6">
        <v>69.0</v>
      </c>
      <c r="E1544" s="7" t="s">
        <v>7</v>
      </c>
      <c r="F1544" s="7" t="s">
        <v>8</v>
      </c>
      <c r="G1544" s="8"/>
    </row>
    <row r="1545">
      <c r="A1545" s="4">
        <v>43540.258712083334</v>
      </c>
      <c r="B1545" s="5">
        <v>43540.5503490046</v>
      </c>
      <c r="C1545" s="6">
        <v>1.037</v>
      </c>
      <c r="D1545" s="6">
        <v>69.0</v>
      </c>
      <c r="E1545" s="7" t="s">
        <v>7</v>
      </c>
      <c r="F1545" s="7" t="s">
        <v>8</v>
      </c>
      <c r="G1545" s="8"/>
    </row>
    <row r="1546">
      <c r="A1546" s="4">
        <v>43540.26913828704</v>
      </c>
      <c r="B1546" s="5">
        <v>43540.5607705787</v>
      </c>
      <c r="C1546" s="6">
        <v>1.036</v>
      </c>
      <c r="D1546" s="6">
        <v>69.0</v>
      </c>
      <c r="E1546" s="7" t="s">
        <v>7</v>
      </c>
      <c r="F1546" s="7" t="s">
        <v>8</v>
      </c>
      <c r="G1546" s="8"/>
    </row>
    <row r="1547">
      <c r="A1547" s="4">
        <v>43540.2795591551</v>
      </c>
      <c r="B1547" s="5">
        <v>43540.5711930324</v>
      </c>
      <c r="C1547" s="6">
        <v>1.037</v>
      </c>
      <c r="D1547" s="6">
        <v>69.0</v>
      </c>
      <c r="E1547" s="7" t="s">
        <v>7</v>
      </c>
      <c r="F1547" s="7" t="s">
        <v>8</v>
      </c>
      <c r="G1547" s="8"/>
    </row>
    <row r="1548">
      <c r="A1548" s="4">
        <v>43540.28997528936</v>
      </c>
      <c r="B1548" s="5">
        <v>43540.581614155</v>
      </c>
      <c r="C1548" s="6">
        <v>1.037</v>
      </c>
      <c r="D1548" s="6">
        <v>68.0</v>
      </c>
      <c r="E1548" s="7" t="s">
        <v>7</v>
      </c>
      <c r="F1548" s="7" t="s">
        <v>8</v>
      </c>
      <c r="G1548" s="8"/>
    </row>
    <row r="1549">
      <c r="A1549" s="4">
        <v>43540.30041568287</v>
      </c>
      <c r="B1549" s="5">
        <v>43540.5920458796</v>
      </c>
      <c r="C1549" s="6">
        <v>1.037</v>
      </c>
      <c r="D1549" s="6">
        <v>68.0</v>
      </c>
      <c r="E1549" s="7" t="s">
        <v>7</v>
      </c>
      <c r="F1549" s="7" t="s">
        <v>8</v>
      </c>
      <c r="G1549" s="8"/>
    </row>
    <row r="1550">
      <c r="A1550" s="4">
        <v>43540.310849201385</v>
      </c>
      <c r="B1550" s="5">
        <v>43540.6024778587</v>
      </c>
      <c r="C1550" s="6">
        <v>1.037</v>
      </c>
      <c r="D1550" s="6">
        <v>68.0</v>
      </c>
      <c r="E1550" s="7" t="s">
        <v>7</v>
      </c>
      <c r="F1550" s="7" t="s">
        <v>8</v>
      </c>
      <c r="G1550" s="8"/>
    </row>
    <row r="1551">
      <c r="A1551" s="4">
        <v>43540.32127547453</v>
      </c>
      <c r="B1551" s="5">
        <v>43540.6128992592</v>
      </c>
      <c r="C1551" s="6">
        <v>1.037</v>
      </c>
      <c r="D1551" s="6">
        <v>69.0</v>
      </c>
      <c r="E1551" s="7" t="s">
        <v>7</v>
      </c>
      <c r="F1551" s="7" t="s">
        <v>8</v>
      </c>
      <c r="G1551" s="8"/>
    </row>
    <row r="1552">
      <c r="A1552" s="4">
        <v>43540.331684502315</v>
      </c>
      <c r="B1552" s="5">
        <v>43540.6233203009</v>
      </c>
      <c r="C1552" s="6">
        <v>1.037</v>
      </c>
      <c r="D1552" s="6">
        <v>68.0</v>
      </c>
      <c r="E1552" s="7" t="s">
        <v>7</v>
      </c>
      <c r="F1552" s="7" t="s">
        <v>8</v>
      </c>
      <c r="G1552" s="8"/>
    </row>
    <row r="1553">
      <c r="A1553" s="4">
        <v>43540.342117685184</v>
      </c>
      <c r="B1553" s="5">
        <v>43540.633753368</v>
      </c>
      <c r="C1553" s="6">
        <v>1.037</v>
      </c>
      <c r="D1553" s="6">
        <v>68.0</v>
      </c>
      <c r="E1553" s="7" t="s">
        <v>7</v>
      </c>
      <c r="F1553" s="7" t="s">
        <v>8</v>
      </c>
      <c r="G1553" s="8"/>
    </row>
    <row r="1554">
      <c r="A1554" s="4">
        <v>43540.35255265047</v>
      </c>
      <c r="B1554" s="5">
        <v>43540.6441864236</v>
      </c>
      <c r="C1554" s="6">
        <v>1.037</v>
      </c>
      <c r="D1554" s="6">
        <v>68.0</v>
      </c>
      <c r="E1554" s="7" t="s">
        <v>7</v>
      </c>
      <c r="F1554" s="7" t="s">
        <v>8</v>
      </c>
      <c r="G1554" s="8"/>
    </row>
    <row r="1555">
      <c r="A1555" s="4">
        <v>43540.36297483796</v>
      </c>
      <c r="B1555" s="5">
        <v>43540.6546074884</v>
      </c>
      <c r="C1555" s="6">
        <v>1.037</v>
      </c>
      <c r="D1555" s="6">
        <v>68.0</v>
      </c>
      <c r="E1555" s="7" t="s">
        <v>7</v>
      </c>
      <c r="F1555" s="7" t="s">
        <v>8</v>
      </c>
      <c r="G1555" s="8"/>
    </row>
    <row r="1556">
      <c r="A1556" s="4">
        <v>43540.37340092592</v>
      </c>
      <c r="B1556" s="5">
        <v>43540.6650290393</v>
      </c>
      <c r="C1556" s="6">
        <v>1.037</v>
      </c>
      <c r="D1556" s="6">
        <v>68.0</v>
      </c>
      <c r="E1556" s="7" t="s">
        <v>7</v>
      </c>
      <c r="F1556" s="7" t="s">
        <v>8</v>
      </c>
      <c r="G1556" s="8"/>
    </row>
    <row r="1557">
      <c r="A1557" s="4">
        <v>43540.38381005787</v>
      </c>
      <c r="B1557" s="5">
        <v>43540.6754502314</v>
      </c>
      <c r="C1557" s="6">
        <v>1.037</v>
      </c>
      <c r="D1557" s="6">
        <v>68.0</v>
      </c>
      <c r="E1557" s="7" t="s">
        <v>7</v>
      </c>
      <c r="F1557" s="7" t="s">
        <v>8</v>
      </c>
      <c r="G1557" s="8"/>
    </row>
    <row r="1558">
      <c r="A1558" s="4">
        <v>43540.39423334491</v>
      </c>
      <c r="B1558" s="5">
        <v>43540.6858716666</v>
      </c>
      <c r="C1558" s="6">
        <v>1.037</v>
      </c>
      <c r="D1558" s="6">
        <v>68.0</v>
      </c>
      <c r="E1558" s="7" t="s">
        <v>7</v>
      </c>
      <c r="F1558" s="7" t="s">
        <v>8</v>
      </c>
      <c r="G1558" s="8"/>
    </row>
    <row r="1559">
      <c r="A1559" s="4">
        <v>43540.404654178245</v>
      </c>
      <c r="B1559" s="5">
        <v>43540.6962925925</v>
      </c>
      <c r="C1559" s="6">
        <v>1.037</v>
      </c>
      <c r="D1559" s="6">
        <v>68.0</v>
      </c>
      <c r="E1559" s="7" t="s">
        <v>7</v>
      </c>
      <c r="F1559" s="7" t="s">
        <v>8</v>
      </c>
      <c r="G1559" s="8"/>
    </row>
    <row r="1560">
      <c r="A1560" s="4">
        <v>43540.41506826389</v>
      </c>
      <c r="B1560" s="5">
        <v>43540.7067129861</v>
      </c>
      <c r="C1560" s="6">
        <v>1.036</v>
      </c>
      <c r="D1560" s="6">
        <v>68.0</v>
      </c>
      <c r="E1560" s="7" t="s">
        <v>7</v>
      </c>
      <c r="F1560" s="7" t="s">
        <v>8</v>
      </c>
      <c r="G1560" s="8"/>
    </row>
    <row r="1561">
      <c r="A1561" s="4">
        <v>43540.425504722225</v>
      </c>
      <c r="B1561" s="5">
        <v>43540.7171467939</v>
      </c>
      <c r="C1561" s="6">
        <v>1.036</v>
      </c>
      <c r="D1561" s="6">
        <v>68.0</v>
      </c>
      <c r="E1561" s="7" t="s">
        <v>7</v>
      </c>
      <c r="F1561" s="7" t="s">
        <v>8</v>
      </c>
      <c r="G1561" s="8"/>
    </row>
    <row r="1562">
      <c r="A1562" s="4">
        <v>43540.43594516204</v>
      </c>
      <c r="B1562" s="5">
        <v>43540.7275787847</v>
      </c>
      <c r="C1562" s="6">
        <v>1.036</v>
      </c>
      <c r="D1562" s="6">
        <v>68.0</v>
      </c>
      <c r="E1562" s="7" t="s">
        <v>7</v>
      </c>
      <c r="F1562" s="7" t="s">
        <v>8</v>
      </c>
      <c r="G1562" s="8"/>
    </row>
    <row r="1563">
      <c r="A1563" s="4">
        <v>43540.446364710646</v>
      </c>
      <c r="B1563" s="5">
        <v>43540.738000243</v>
      </c>
      <c r="C1563" s="6">
        <v>1.036</v>
      </c>
      <c r="D1563" s="6">
        <v>68.0</v>
      </c>
      <c r="E1563" s="7" t="s">
        <v>7</v>
      </c>
      <c r="F1563" s="7" t="s">
        <v>8</v>
      </c>
      <c r="G1563" s="8"/>
    </row>
    <row r="1564">
      <c r="A1564" s="4">
        <v>43540.45678304398</v>
      </c>
      <c r="B1564" s="5">
        <v>43540.7484217939</v>
      </c>
      <c r="C1564" s="6">
        <v>1.036</v>
      </c>
      <c r="D1564" s="6">
        <v>68.0</v>
      </c>
      <c r="E1564" s="7" t="s">
        <v>7</v>
      </c>
      <c r="F1564" s="7" t="s">
        <v>8</v>
      </c>
      <c r="G1564" s="8"/>
    </row>
    <row r="1565">
      <c r="A1565" s="4">
        <v>43540.46720263889</v>
      </c>
      <c r="B1565" s="5">
        <v>43540.7588418171</v>
      </c>
      <c r="C1565" s="6">
        <v>1.036</v>
      </c>
      <c r="D1565" s="6">
        <v>68.0</v>
      </c>
      <c r="E1565" s="7" t="s">
        <v>7</v>
      </c>
      <c r="F1565" s="7" t="s">
        <v>8</v>
      </c>
      <c r="G1565" s="8"/>
    </row>
    <row r="1566">
      <c r="A1566" s="4">
        <v>43540.477630277775</v>
      </c>
      <c r="B1566" s="5">
        <v>43540.7692626504</v>
      </c>
      <c r="C1566" s="6">
        <v>1.036</v>
      </c>
      <c r="D1566" s="6">
        <v>68.0</v>
      </c>
      <c r="E1566" s="7" t="s">
        <v>7</v>
      </c>
      <c r="F1566" s="7" t="s">
        <v>8</v>
      </c>
      <c r="G1566" s="8"/>
    </row>
    <row r="1567">
      <c r="A1567" s="4">
        <v>43540.488049618056</v>
      </c>
      <c r="B1567" s="5">
        <v>43540.7796826157</v>
      </c>
      <c r="C1567" s="6">
        <v>1.036</v>
      </c>
      <c r="D1567" s="6">
        <v>68.0</v>
      </c>
      <c r="E1567" s="7" t="s">
        <v>7</v>
      </c>
      <c r="F1567" s="7" t="s">
        <v>8</v>
      </c>
      <c r="G1567" s="8"/>
    </row>
    <row r="1568">
      <c r="A1568" s="4">
        <v>43540.498470879626</v>
      </c>
      <c r="B1568" s="5">
        <v>43540.7901014467</v>
      </c>
      <c r="C1568" s="6">
        <v>1.036</v>
      </c>
      <c r="D1568" s="6">
        <v>68.0</v>
      </c>
      <c r="E1568" s="7" t="s">
        <v>7</v>
      </c>
      <c r="F1568" s="7" t="s">
        <v>8</v>
      </c>
      <c r="G1568" s="8"/>
    </row>
    <row r="1569">
      <c r="A1569" s="4">
        <v>43540.50888607639</v>
      </c>
      <c r="B1569" s="5">
        <v>43540.8005229282</v>
      </c>
      <c r="C1569" s="6">
        <v>1.036</v>
      </c>
      <c r="D1569" s="6">
        <v>68.0</v>
      </c>
      <c r="E1569" s="7" t="s">
        <v>7</v>
      </c>
      <c r="F1569" s="7" t="s">
        <v>8</v>
      </c>
      <c r="G1569" s="8"/>
    </row>
    <row r="1570">
      <c r="A1570" s="4">
        <v>43540.519368078705</v>
      </c>
      <c r="B1570" s="5">
        <v>43540.8109431828</v>
      </c>
      <c r="C1570" s="6">
        <v>1.036</v>
      </c>
      <c r="D1570" s="6">
        <v>68.0</v>
      </c>
      <c r="E1570" s="7" t="s">
        <v>7</v>
      </c>
      <c r="F1570" s="7" t="s">
        <v>8</v>
      </c>
      <c r="G1570" s="8"/>
    </row>
    <row r="1571">
      <c r="A1571" s="4">
        <v>43540.52974864583</v>
      </c>
      <c r="B1571" s="5">
        <v>43540.8213760648</v>
      </c>
      <c r="C1571" s="6">
        <v>1.036</v>
      </c>
      <c r="D1571" s="6">
        <v>68.0</v>
      </c>
      <c r="E1571" s="7" t="s">
        <v>7</v>
      </c>
      <c r="F1571" s="7" t="s">
        <v>8</v>
      </c>
      <c r="G1571" s="8"/>
    </row>
    <row r="1572">
      <c r="A1572" s="4">
        <v>43540.540159537035</v>
      </c>
      <c r="B1572" s="5">
        <v>43540.831796493</v>
      </c>
      <c r="C1572" s="6">
        <v>1.036</v>
      </c>
      <c r="D1572" s="6">
        <v>68.0</v>
      </c>
      <c r="E1572" s="7" t="s">
        <v>7</v>
      </c>
      <c r="F1572" s="7" t="s">
        <v>8</v>
      </c>
      <c r="G1572" s="8"/>
    </row>
    <row r="1573">
      <c r="A1573" s="4">
        <v>43540.55057912037</v>
      </c>
      <c r="B1573" s="5">
        <v>43540.842217662</v>
      </c>
      <c r="C1573" s="6">
        <v>1.036</v>
      </c>
      <c r="D1573" s="6">
        <v>68.0</v>
      </c>
      <c r="E1573" s="7" t="s">
        <v>7</v>
      </c>
      <c r="F1573" s="7" t="s">
        <v>8</v>
      </c>
      <c r="G1573" s="8"/>
    </row>
    <row r="1574">
      <c r="A1574" s="4">
        <v>43540.561002256945</v>
      </c>
      <c r="B1574" s="5">
        <v>43540.8526377199</v>
      </c>
      <c r="C1574" s="6">
        <v>1.036</v>
      </c>
      <c r="D1574" s="6">
        <v>68.0</v>
      </c>
      <c r="E1574" s="7" t="s">
        <v>7</v>
      </c>
      <c r="F1574" s="7" t="s">
        <v>8</v>
      </c>
      <c r="G1574" s="8"/>
    </row>
    <row r="1575">
      <c r="A1575" s="4">
        <v>43540.5714242824</v>
      </c>
      <c r="B1575" s="5">
        <v>43540.8630584143</v>
      </c>
      <c r="C1575" s="6">
        <v>1.036</v>
      </c>
      <c r="D1575" s="6">
        <v>67.0</v>
      </c>
      <c r="E1575" s="7" t="s">
        <v>7</v>
      </c>
      <c r="F1575" s="7" t="s">
        <v>8</v>
      </c>
      <c r="G1575" s="8"/>
    </row>
    <row r="1576">
      <c r="A1576" s="4">
        <v>43540.58183833333</v>
      </c>
      <c r="B1576" s="5">
        <v>43540.8734789814</v>
      </c>
      <c r="C1576" s="6">
        <v>1.036</v>
      </c>
      <c r="D1576" s="6">
        <v>67.0</v>
      </c>
      <c r="E1576" s="7" t="s">
        <v>7</v>
      </c>
      <c r="F1576" s="7" t="s">
        <v>8</v>
      </c>
      <c r="G1576" s="8"/>
    </row>
    <row r="1577">
      <c r="A1577" s="4">
        <v>43540.59228024306</v>
      </c>
      <c r="B1577" s="5">
        <v>43540.8839118518</v>
      </c>
      <c r="C1577" s="6">
        <v>1.036</v>
      </c>
      <c r="D1577" s="6">
        <v>67.0</v>
      </c>
      <c r="E1577" s="7" t="s">
        <v>7</v>
      </c>
      <c r="F1577" s="7" t="s">
        <v>8</v>
      </c>
      <c r="G1577" s="8"/>
    </row>
    <row r="1578">
      <c r="A1578" s="4">
        <v>43540.60272180555</v>
      </c>
      <c r="B1578" s="5">
        <v>43540.8943445023</v>
      </c>
      <c r="C1578" s="6">
        <v>1.036</v>
      </c>
      <c r="D1578" s="6">
        <v>67.0</v>
      </c>
      <c r="E1578" s="7" t="s">
        <v>7</v>
      </c>
      <c r="F1578" s="7" t="s">
        <v>8</v>
      </c>
      <c r="G1578" s="8"/>
    </row>
    <row r="1579">
      <c r="A1579" s="4">
        <v>43540.613152164355</v>
      </c>
      <c r="B1579" s="5">
        <v>43540.9047898379</v>
      </c>
      <c r="C1579" s="6">
        <v>1.036</v>
      </c>
      <c r="D1579" s="6">
        <v>67.0</v>
      </c>
      <c r="E1579" s="7" t="s">
        <v>7</v>
      </c>
      <c r="F1579" s="7" t="s">
        <v>8</v>
      </c>
      <c r="G1579" s="8"/>
    </row>
    <row r="1580">
      <c r="A1580" s="4">
        <v>43540.62357131945</v>
      </c>
      <c r="B1580" s="5">
        <v>43540.9152103703</v>
      </c>
      <c r="C1580" s="6">
        <v>1.036</v>
      </c>
      <c r="D1580" s="6">
        <v>67.0</v>
      </c>
      <c r="E1580" s="7" t="s">
        <v>7</v>
      </c>
      <c r="F1580" s="7" t="s">
        <v>8</v>
      </c>
      <c r="G1580" s="8"/>
    </row>
    <row r="1581">
      <c r="A1581" s="4">
        <v>43540.63399615741</v>
      </c>
      <c r="B1581" s="5">
        <v>43540.9256312037</v>
      </c>
      <c r="C1581" s="6">
        <v>1.036</v>
      </c>
      <c r="D1581" s="6">
        <v>67.0</v>
      </c>
      <c r="E1581" s="7" t="s">
        <v>7</v>
      </c>
      <c r="F1581" s="7" t="s">
        <v>8</v>
      </c>
      <c r="G1581" s="8"/>
    </row>
    <row r="1582">
      <c r="A1582" s="4">
        <v>43540.64441905092</v>
      </c>
      <c r="B1582" s="5">
        <v>43540.9360527662</v>
      </c>
      <c r="C1582" s="6">
        <v>1.036</v>
      </c>
      <c r="D1582" s="6">
        <v>67.0</v>
      </c>
      <c r="E1582" s="7" t="s">
        <v>7</v>
      </c>
      <c r="F1582" s="7" t="s">
        <v>8</v>
      </c>
      <c r="G1582" s="8"/>
    </row>
    <row r="1583">
      <c r="A1583" s="4">
        <v>43540.654830590276</v>
      </c>
      <c r="B1583" s="5">
        <v>43540.946472824</v>
      </c>
      <c r="C1583" s="6">
        <v>1.036</v>
      </c>
      <c r="D1583" s="6">
        <v>67.0</v>
      </c>
      <c r="E1583" s="7" t="s">
        <v>7</v>
      </c>
      <c r="F1583" s="7" t="s">
        <v>8</v>
      </c>
      <c r="G1583" s="8"/>
    </row>
    <row r="1584">
      <c r="A1584" s="4">
        <v>43540.665308564814</v>
      </c>
      <c r="B1584" s="5">
        <v>43540.9568927893</v>
      </c>
      <c r="C1584" s="6">
        <v>1.036</v>
      </c>
      <c r="D1584" s="6">
        <v>67.0</v>
      </c>
      <c r="E1584" s="7" t="s">
        <v>7</v>
      </c>
      <c r="F1584" s="7" t="s">
        <v>8</v>
      </c>
      <c r="G1584" s="8"/>
    </row>
    <row r="1585">
      <c r="A1585" s="4">
        <v>43540.67567866898</v>
      </c>
      <c r="B1585" s="5">
        <v>43540.9673117824</v>
      </c>
      <c r="C1585" s="6">
        <v>1.036</v>
      </c>
      <c r="D1585" s="6">
        <v>67.0</v>
      </c>
      <c r="E1585" s="7" t="s">
        <v>7</v>
      </c>
      <c r="F1585" s="7" t="s">
        <v>8</v>
      </c>
      <c r="G1585" s="8"/>
    </row>
    <row r="1586">
      <c r="A1586" s="4">
        <v>43540.686095509256</v>
      </c>
      <c r="B1586" s="5">
        <v>43540.9777339236</v>
      </c>
      <c r="C1586" s="6">
        <v>1.036</v>
      </c>
      <c r="D1586" s="6">
        <v>67.0</v>
      </c>
      <c r="E1586" s="7" t="s">
        <v>7</v>
      </c>
      <c r="F1586" s="7" t="s">
        <v>8</v>
      </c>
      <c r="G1586" s="8"/>
    </row>
    <row r="1587">
      <c r="A1587" s="4">
        <v>43540.69653234954</v>
      </c>
      <c r="B1587" s="5">
        <v>43540.9881669212</v>
      </c>
      <c r="C1587" s="6">
        <v>1.036</v>
      </c>
      <c r="D1587" s="6">
        <v>67.0</v>
      </c>
      <c r="E1587" s="7" t="s">
        <v>7</v>
      </c>
      <c r="F1587" s="7" t="s">
        <v>8</v>
      </c>
      <c r="G1587" s="8"/>
    </row>
    <row r="1588">
      <c r="A1588" s="4">
        <v>43540.70695368055</v>
      </c>
      <c r="B1588" s="5">
        <v>43540.9985897106</v>
      </c>
      <c r="C1588" s="6">
        <v>1.036</v>
      </c>
      <c r="D1588" s="6">
        <v>67.0</v>
      </c>
      <c r="E1588" s="7" t="s">
        <v>7</v>
      </c>
      <c r="F1588" s="7" t="s">
        <v>8</v>
      </c>
      <c r="G1588" s="8"/>
    </row>
    <row r="1589">
      <c r="A1589" s="4">
        <v>43540.71737755787</v>
      </c>
      <c r="B1589" s="5">
        <v>43541.0090116898</v>
      </c>
      <c r="C1589" s="6">
        <v>1.036</v>
      </c>
      <c r="D1589" s="6">
        <v>67.0</v>
      </c>
      <c r="E1589" s="7" t="s">
        <v>7</v>
      </c>
      <c r="F1589" s="7" t="s">
        <v>8</v>
      </c>
      <c r="G1589" s="8"/>
    </row>
    <row r="1590">
      <c r="A1590" s="4">
        <v>43540.72781935185</v>
      </c>
      <c r="B1590" s="5">
        <v>43541.0194554976</v>
      </c>
      <c r="C1590" s="6">
        <v>1.036</v>
      </c>
      <c r="D1590" s="6">
        <v>67.0</v>
      </c>
      <c r="E1590" s="7" t="s">
        <v>7</v>
      </c>
      <c r="F1590" s="7" t="s">
        <v>8</v>
      </c>
      <c r="G1590" s="8"/>
    </row>
    <row r="1591">
      <c r="A1591" s="4">
        <v>43540.73825577546</v>
      </c>
      <c r="B1591" s="5">
        <v>43541.0298765625</v>
      </c>
      <c r="C1591" s="6">
        <v>1.036</v>
      </c>
      <c r="D1591" s="6">
        <v>67.0</v>
      </c>
      <c r="E1591" s="7" t="s">
        <v>7</v>
      </c>
      <c r="F1591" s="7" t="s">
        <v>8</v>
      </c>
      <c r="G1591" s="8"/>
    </row>
    <row r="1592">
      <c r="A1592" s="4">
        <v>43540.7486593287</v>
      </c>
      <c r="B1592" s="5">
        <v>43541.0402983101</v>
      </c>
      <c r="C1592" s="6">
        <v>1.036</v>
      </c>
      <c r="D1592" s="6">
        <v>67.0</v>
      </c>
      <c r="E1592" s="7" t="s">
        <v>7</v>
      </c>
      <c r="F1592" s="7" t="s">
        <v>8</v>
      </c>
      <c r="G1592" s="8"/>
    </row>
    <row r="1593">
      <c r="A1593" s="4">
        <v>43540.759130798615</v>
      </c>
      <c r="B1593" s="5">
        <v>43541.0507191666</v>
      </c>
      <c r="C1593" s="6">
        <v>1.036</v>
      </c>
      <c r="D1593" s="6">
        <v>67.0</v>
      </c>
      <c r="E1593" s="7" t="s">
        <v>7</v>
      </c>
      <c r="F1593" s="7" t="s">
        <v>8</v>
      </c>
      <c r="G1593" s="8"/>
    </row>
    <row r="1594">
      <c r="A1594" s="4">
        <v>43540.76950299769</v>
      </c>
      <c r="B1594" s="5">
        <v>43541.0611404861</v>
      </c>
      <c r="C1594" s="6">
        <v>1.036</v>
      </c>
      <c r="D1594" s="6">
        <v>67.0</v>
      </c>
      <c r="E1594" s="7" t="s">
        <v>7</v>
      </c>
      <c r="F1594" s="7" t="s">
        <v>8</v>
      </c>
      <c r="G1594" s="8"/>
    </row>
    <row r="1595">
      <c r="A1595" s="4">
        <v>43540.77992361111</v>
      </c>
      <c r="B1595" s="5">
        <v>43541.0715628703</v>
      </c>
      <c r="C1595" s="6">
        <v>1.036</v>
      </c>
      <c r="D1595" s="6">
        <v>67.0</v>
      </c>
      <c r="E1595" s="7" t="s">
        <v>7</v>
      </c>
      <c r="F1595" s="7" t="s">
        <v>8</v>
      </c>
      <c r="G1595" s="8"/>
    </row>
    <row r="1596">
      <c r="A1596" s="4">
        <v>43540.79034608796</v>
      </c>
      <c r="B1596" s="5">
        <v>43541.0819847569</v>
      </c>
      <c r="C1596" s="6">
        <v>1.036</v>
      </c>
      <c r="D1596" s="6">
        <v>67.0</v>
      </c>
      <c r="E1596" s="7" t="s">
        <v>7</v>
      </c>
      <c r="F1596" s="7" t="s">
        <v>8</v>
      </c>
      <c r="G1596" s="8"/>
    </row>
    <row r="1597">
      <c r="A1597" s="4">
        <v>43540.800784293984</v>
      </c>
      <c r="B1597" s="5">
        <v>43541.0924169675</v>
      </c>
      <c r="C1597" s="6">
        <v>1.036</v>
      </c>
      <c r="D1597" s="6">
        <v>67.0</v>
      </c>
      <c r="E1597" s="7" t="s">
        <v>7</v>
      </c>
      <c r="F1597" s="7" t="s">
        <v>8</v>
      </c>
      <c r="G1597" s="8"/>
    </row>
    <row r="1598">
      <c r="A1598" s="4">
        <v>43540.81120856482</v>
      </c>
      <c r="B1598" s="5">
        <v>43541.1028373842</v>
      </c>
      <c r="C1598" s="6">
        <v>1.036</v>
      </c>
      <c r="D1598" s="6">
        <v>67.0</v>
      </c>
      <c r="E1598" s="7" t="s">
        <v>7</v>
      </c>
      <c r="F1598" s="7" t="s">
        <v>8</v>
      </c>
      <c r="G1598" s="8"/>
    </row>
    <row r="1599">
      <c r="A1599" s="4">
        <v>43540.82163144676</v>
      </c>
      <c r="B1599" s="5">
        <v>43541.1132708333</v>
      </c>
      <c r="C1599" s="6">
        <v>1.036</v>
      </c>
      <c r="D1599" s="6">
        <v>67.0</v>
      </c>
      <c r="E1599" s="7" t="s">
        <v>7</v>
      </c>
      <c r="F1599" s="7" t="s">
        <v>8</v>
      </c>
      <c r="G1599" s="8"/>
    </row>
    <row r="1600">
      <c r="A1600" s="4">
        <v>43540.83204927083</v>
      </c>
      <c r="B1600" s="5">
        <v>43541.1236908911</v>
      </c>
      <c r="C1600" s="6">
        <v>1.036</v>
      </c>
      <c r="D1600" s="6">
        <v>67.0</v>
      </c>
      <c r="E1600" s="7" t="s">
        <v>7</v>
      </c>
      <c r="F1600" s="7" t="s">
        <v>8</v>
      </c>
      <c r="G1600" s="8"/>
    </row>
    <row r="1601">
      <c r="A1601" s="4">
        <v>43540.842488634255</v>
      </c>
      <c r="B1601" s="5">
        <v>43541.1341129976</v>
      </c>
      <c r="C1601" s="6">
        <v>1.036</v>
      </c>
      <c r="D1601" s="6">
        <v>67.0</v>
      </c>
      <c r="E1601" s="7" t="s">
        <v>7</v>
      </c>
      <c r="F1601" s="7" t="s">
        <v>8</v>
      </c>
      <c r="G1601" s="8"/>
    </row>
    <row r="1602">
      <c r="A1602" s="4">
        <v>43540.85290046297</v>
      </c>
      <c r="B1602" s="5">
        <v>43541.1445338426</v>
      </c>
      <c r="C1602" s="6">
        <v>1.036</v>
      </c>
      <c r="D1602" s="6">
        <v>67.0</v>
      </c>
      <c r="E1602" s="7" t="s">
        <v>7</v>
      </c>
      <c r="F1602" s="7" t="s">
        <v>8</v>
      </c>
      <c r="G1602" s="8"/>
    </row>
    <row r="1603">
      <c r="A1603" s="4">
        <v>43540.86331616898</v>
      </c>
      <c r="B1603" s="5">
        <v>43541.1549560185</v>
      </c>
      <c r="C1603" s="6">
        <v>1.036</v>
      </c>
      <c r="D1603" s="6">
        <v>67.0</v>
      </c>
      <c r="E1603" s="7" t="s">
        <v>7</v>
      </c>
      <c r="F1603" s="7" t="s">
        <v>8</v>
      </c>
      <c r="G1603" s="8"/>
    </row>
    <row r="1604">
      <c r="A1604" s="4">
        <v>43540.87375584491</v>
      </c>
      <c r="B1604" s="5">
        <v>43541.1653890509</v>
      </c>
      <c r="C1604" s="6">
        <v>1.036</v>
      </c>
      <c r="D1604" s="6">
        <v>67.0</v>
      </c>
      <c r="E1604" s="7" t="s">
        <v>7</v>
      </c>
      <c r="F1604" s="7" t="s">
        <v>8</v>
      </c>
      <c r="G1604" s="8"/>
    </row>
    <row r="1605">
      <c r="A1605" s="4">
        <v>43540.88418219908</v>
      </c>
      <c r="B1605" s="5">
        <v>43541.1758221759</v>
      </c>
      <c r="C1605" s="6">
        <v>1.036</v>
      </c>
      <c r="D1605" s="6">
        <v>67.0</v>
      </c>
      <c r="E1605" s="7" t="s">
        <v>7</v>
      </c>
      <c r="F1605" s="7" t="s">
        <v>8</v>
      </c>
      <c r="G1605" s="8"/>
    </row>
    <row r="1606">
      <c r="A1606" s="4">
        <v>43540.89465116899</v>
      </c>
      <c r="B1606" s="5">
        <v>43541.1862541666</v>
      </c>
      <c r="C1606" s="6">
        <v>1.036</v>
      </c>
      <c r="D1606" s="6">
        <v>67.0</v>
      </c>
      <c r="E1606" s="7" t="s">
        <v>7</v>
      </c>
      <c r="F1606" s="7" t="s">
        <v>8</v>
      </c>
      <c r="G1606" s="8"/>
    </row>
    <row r="1607">
      <c r="A1607" s="4">
        <v>43540.905035856485</v>
      </c>
      <c r="B1607" s="5">
        <v>43541.196676574</v>
      </c>
      <c r="C1607" s="6">
        <v>1.036</v>
      </c>
      <c r="D1607" s="6">
        <v>67.0</v>
      </c>
      <c r="E1607" s="7" t="s">
        <v>7</v>
      </c>
      <c r="F1607" s="7" t="s">
        <v>8</v>
      </c>
      <c r="G1607" s="8"/>
    </row>
    <row r="1608">
      <c r="A1608" s="4">
        <v>43540.91546310185</v>
      </c>
      <c r="B1608" s="5">
        <v>43541.2070975231</v>
      </c>
      <c r="C1608" s="6">
        <v>1.036</v>
      </c>
      <c r="D1608" s="6">
        <v>67.0</v>
      </c>
      <c r="E1608" s="7" t="s">
        <v>7</v>
      </c>
      <c r="F1608" s="7" t="s">
        <v>8</v>
      </c>
      <c r="G1608" s="8"/>
    </row>
    <row r="1609">
      <c r="A1609" s="4">
        <v>43540.925893356485</v>
      </c>
      <c r="B1609" s="5">
        <v>43541.2175310069</v>
      </c>
      <c r="C1609" s="6">
        <v>1.036</v>
      </c>
      <c r="D1609" s="6">
        <v>67.0</v>
      </c>
      <c r="E1609" s="7" t="s">
        <v>7</v>
      </c>
      <c r="F1609" s="7" t="s">
        <v>8</v>
      </c>
      <c r="G1609" s="8"/>
    </row>
    <row r="1610">
      <c r="A1610" s="4">
        <v>43540.93631609954</v>
      </c>
      <c r="B1610" s="5">
        <v>43541.2279507754</v>
      </c>
      <c r="C1610" s="6">
        <v>1.036</v>
      </c>
      <c r="D1610" s="6">
        <v>67.0</v>
      </c>
      <c r="E1610" s="7" t="s">
        <v>7</v>
      </c>
      <c r="F1610" s="7" t="s">
        <v>8</v>
      </c>
      <c r="G1610" s="8"/>
    </row>
    <row r="1611">
      <c r="A1611" s="4">
        <v>43540.94673737268</v>
      </c>
      <c r="B1611" s="5">
        <v>43541.2383736111</v>
      </c>
      <c r="C1611" s="6">
        <v>1.036</v>
      </c>
      <c r="D1611" s="6">
        <v>67.0</v>
      </c>
      <c r="E1611" s="7" t="s">
        <v>7</v>
      </c>
      <c r="F1611" s="7" t="s">
        <v>8</v>
      </c>
      <c r="G1611" s="8"/>
    </row>
    <row r="1612">
      <c r="A1612" s="4">
        <v>43540.95715270833</v>
      </c>
      <c r="B1612" s="5">
        <v>43541.2487946296</v>
      </c>
      <c r="C1612" s="6">
        <v>1.036</v>
      </c>
      <c r="D1612" s="6">
        <v>67.0</v>
      </c>
      <c r="E1612" s="7" t="s">
        <v>7</v>
      </c>
      <c r="F1612" s="7" t="s">
        <v>8</v>
      </c>
      <c r="G1612" s="8"/>
    </row>
    <row r="1613">
      <c r="A1613" s="4">
        <v>43540.96757738426</v>
      </c>
      <c r="B1613" s="5">
        <v>43541.259215868</v>
      </c>
      <c r="C1613" s="6">
        <v>1.036</v>
      </c>
      <c r="D1613" s="6">
        <v>67.0</v>
      </c>
      <c r="E1613" s="7" t="s">
        <v>7</v>
      </c>
      <c r="F1613" s="7" t="s">
        <v>8</v>
      </c>
      <c r="G1613" s="8"/>
    </row>
    <row r="1614">
      <c r="A1614" s="4">
        <v>43540.9779953588</v>
      </c>
      <c r="B1614" s="5">
        <v>43541.2696367939</v>
      </c>
      <c r="C1614" s="6">
        <v>1.036</v>
      </c>
      <c r="D1614" s="6">
        <v>67.0</v>
      </c>
      <c r="E1614" s="7" t="s">
        <v>7</v>
      </c>
      <c r="F1614" s="7" t="s">
        <v>8</v>
      </c>
      <c r="G1614" s="8"/>
    </row>
    <row r="1615">
      <c r="A1615" s="4">
        <v>43540.988420381946</v>
      </c>
      <c r="B1615" s="5">
        <v>43541.2800579861</v>
      </c>
      <c r="C1615" s="6">
        <v>1.036</v>
      </c>
      <c r="D1615" s="6">
        <v>67.0</v>
      </c>
      <c r="E1615" s="7" t="s">
        <v>7</v>
      </c>
      <c r="F1615" s="7" t="s">
        <v>8</v>
      </c>
      <c r="G1615" s="8"/>
    </row>
    <row r="1616">
      <c r="A1616" s="4">
        <v>43540.99884534722</v>
      </c>
      <c r="B1616" s="5">
        <v>43541.2904792708</v>
      </c>
      <c r="C1616" s="6">
        <v>1.036</v>
      </c>
      <c r="D1616" s="6">
        <v>67.0</v>
      </c>
      <c r="E1616" s="7" t="s">
        <v>7</v>
      </c>
      <c r="F1616" s="7" t="s">
        <v>8</v>
      </c>
      <c r="G1616" s="8"/>
    </row>
    <row r="1617">
      <c r="A1617" s="4">
        <v>43541.00926665509</v>
      </c>
      <c r="B1617" s="5">
        <v>43541.3009003587</v>
      </c>
      <c r="C1617" s="6">
        <v>1.036</v>
      </c>
      <c r="D1617" s="6">
        <v>67.0</v>
      </c>
      <c r="E1617" s="7" t="s">
        <v>7</v>
      </c>
      <c r="F1617" s="7" t="s">
        <v>8</v>
      </c>
      <c r="G1617" s="8"/>
    </row>
    <row r="1618">
      <c r="A1618" s="4">
        <v>43541.019689629626</v>
      </c>
      <c r="B1618" s="5">
        <v>43541.3113240624</v>
      </c>
      <c r="C1618" s="6">
        <v>1.036</v>
      </c>
      <c r="D1618" s="6">
        <v>67.0</v>
      </c>
      <c r="E1618" s="7" t="s">
        <v>7</v>
      </c>
      <c r="F1618" s="7" t="s">
        <v>8</v>
      </c>
      <c r="G1618" s="8"/>
    </row>
    <row r="1619">
      <c r="A1619" s="4">
        <v>43541.03010640046</v>
      </c>
      <c r="B1619" s="5">
        <v>43541.3217450694</v>
      </c>
      <c r="C1619" s="6">
        <v>1.036</v>
      </c>
      <c r="D1619" s="6">
        <v>67.0</v>
      </c>
      <c r="E1619" s="7" t="s">
        <v>7</v>
      </c>
      <c r="F1619" s="7" t="s">
        <v>8</v>
      </c>
      <c r="G1619" s="8"/>
    </row>
    <row r="1620">
      <c r="A1620" s="4">
        <v>43541.040533692125</v>
      </c>
      <c r="B1620" s="5">
        <v>43541.3321655092</v>
      </c>
      <c r="C1620" s="6">
        <v>1.036</v>
      </c>
      <c r="D1620" s="6">
        <v>67.0</v>
      </c>
      <c r="E1620" s="7" t="s">
        <v>7</v>
      </c>
      <c r="F1620" s="7" t="s">
        <v>8</v>
      </c>
      <c r="G1620" s="8"/>
    </row>
    <row r="1621">
      <c r="A1621" s="4">
        <v>43541.05095091435</v>
      </c>
      <c r="B1621" s="5">
        <v>43541.3425862963</v>
      </c>
      <c r="C1621" s="6">
        <v>1.036</v>
      </c>
      <c r="D1621" s="6">
        <v>67.0</v>
      </c>
      <c r="E1621" s="7" t="s">
        <v>7</v>
      </c>
      <c r="F1621" s="7" t="s">
        <v>8</v>
      </c>
      <c r="G1621" s="8"/>
    </row>
    <row r="1622">
      <c r="A1622" s="4">
        <v>43541.06140247685</v>
      </c>
      <c r="B1622" s="5">
        <v>43541.3530075</v>
      </c>
      <c r="C1622" s="6">
        <v>1.036</v>
      </c>
      <c r="D1622" s="6">
        <v>67.0</v>
      </c>
      <c r="E1622" s="7" t="s">
        <v>7</v>
      </c>
      <c r="F1622" s="7" t="s">
        <v>8</v>
      </c>
      <c r="G1622" s="8"/>
    </row>
    <row r="1623">
      <c r="A1623" s="4">
        <v>43541.07178804398</v>
      </c>
      <c r="B1623" s="5">
        <v>43541.3634277546</v>
      </c>
      <c r="C1623" s="6">
        <v>1.035</v>
      </c>
      <c r="D1623" s="6">
        <v>67.0</v>
      </c>
      <c r="E1623" s="7" t="s">
        <v>7</v>
      </c>
      <c r="F1623" s="7" t="s">
        <v>8</v>
      </c>
      <c r="G1623" s="8"/>
    </row>
    <row r="1624">
      <c r="A1624" s="4">
        <v>43541.08221127315</v>
      </c>
      <c r="B1624" s="5">
        <v>43541.3738491666</v>
      </c>
      <c r="C1624" s="6">
        <v>1.035</v>
      </c>
      <c r="D1624" s="6">
        <v>67.0</v>
      </c>
      <c r="E1624" s="7" t="s">
        <v>7</v>
      </c>
      <c r="F1624" s="7" t="s">
        <v>8</v>
      </c>
      <c r="G1624" s="8"/>
    </row>
    <row r="1625">
      <c r="A1625" s="4">
        <v>43541.092637361115</v>
      </c>
      <c r="B1625" s="5">
        <v>43541.3842700578</v>
      </c>
      <c r="C1625" s="6">
        <v>1.036</v>
      </c>
      <c r="D1625" s="6">
        <v>66.0</v>
      </c>
      <c r="E1625" s="7" t="s">
        <v>7</v>
      </c>
      <c r="F1625" s="7" t="s">
        <v>8</v>
      </c>
      <c r="G1625" s="8"/>
    </row>
    <row r="1626">
      <c r="A1626" s="4">
        <v>43541.10307648148</v>
      </c>
      <c r="B1626" s="5">
        <v>43541.3946896412</v>
      </c>
      <c r="C1626" s="6">
        <v>1.036</v>
      </c>
      <c r="D1626" s="6">
        <v>66.0</v>
      </c>
      <c r="E1626" s="7" t="s">
        <v>7</v>
      </c>
      <c r="F1626" s="7" t="s">
        <v>8</v>
      </c>
      <c r="G1626" s="8"/>
    </row>
    <row r="1627">
      <c r="A1627" s="4">
        <v>43541.1135397801</v>
      </c>
      <c r="B1627" s="5">
        <v>43541.4051085185</v>
      </c>
      <c r="C1627" s="6">
        <v>1.036</v>
      </c>
      <c r="D1627" s="6">
        <v>66.0</v>
      </c>
      <c r="E1627" s="7" t="s">
        <v>7</v>
      </c>
      <c r="F1627" s="7" t="s">
        <v>8</v>
      </c>
      <c r="G1627" s="8"/>
    </row>
    <row r="1628">
      <c r="A1628" s="4">
        <v>43541.12389418982</v>
      </c>
      <c r="B1628" s="5">
        <v>43541.4155319675</v>
      </c>
      <c r="C1628" s="6">
        <v>1.035</v>
      </c>
      <c r="D1628" s="6">
        <v>66.0</v>
      </c>
      <c r="E1628" s="7" t="s">
        <v>7</v>
      </c>
      <c r="F1628" s="7" t="s">
        <v>8</v>
      </c>
      <c r="G1628" s="8"/>
    </row>
    <row r="1629">
      <c r="A1629" s="4">
        <v>43541.1343178588</v>
      </c>
      <c r="B1629" s="5">
        <v>43541.4259533912</v>
      </c>
      <c r="C1629" s="6">
        <v>1.036</v>
      </c>
      <c r="D1629" s="6">
        <v>66.0</v>
      </c>
      <c r="E1629" s="7" t="s">
        <v>7</v>
      </c>
      <c r="F1629" s="7" t="s">
        <v>8</v>
      </c>
      <c r="G1629" s="8"/>
    </row>
    <row r="1630">
      <c r="A1630" s="4">
        <v>43541.14476221065</v>
      </c>
      <c r="B1630" s="5">
        <v>43541.4363865046</v>
      </c>
      <c r="C1630" s="6">
        <v>1.036</v>
      </c>
      <c r="D1630" s="6">
        <v>66.0</v>
      </c>
      <c r="E1630" s="7" t="s">
        <v>7</v>
      </c>
      <c r="F1630" s="7" t="s">
        <v>8</v>
      </c>
      <c r="G1630" s="8"/>
    </row>
    <row r="1631">
      <c r="A1631" s="4">
        <v>43541.15518256945</v>
      </c>
      <c r="B1631" s="5">
        <v>43541.4468081365</v>
      </c>
      <c r="C1631" s="6">
        <v>1.035</v>
      </c>
      <c r="D1631" s="6">
        <v>66.0</v>
      </c>
      <c r="E1631" s="7" t="s">
        <v>7</v>
      </c>
      <c r="F1631" s="7" t="s">
        <v>8</v>
      </c>
      <c r="G1631" s="8"/>
    </row>
    <row r="1632">
      <c r="A1632" s="4">
        <v>43541.16559568287</v>
      </c>
      <c r="B1632" s="5">
        <v>43541.457229618</v>
      </c>
      <c r="C1632" s="6">
        <v>1.036</v>
      </c>
      <c r="D1632" s="6">
        <v>66.0</v>
      </c>
      <c r="E1632" s="7" t="s">
        <v>7</v>
      </c>
      <c r="F1632" s="7" t="s">
        <v>8</v>
      </c>
      <c r="G1632" s="8"/>
    </row>
    <row r="1633">
      <c r="A1633" s="4">
        <v>43541.17601581018</v>
      </c>
      <c r="B1633" s="5">
        <v>43541.4676499305</v>
      </c>
      <c r="C1633" s="6">
        <v>1.036</v>
      </c>
      <c r="D1633" s="6">
        <v>66.0</v>
      </c>
      <c r="E1633" s="7" t="s">
        <v>7</v>
      </c>
      <c r="F1633" s="7" t="s">
        <v>8</v>
      </c>
      <c r="G1633" s="8"/>
    </row>
    <row r="1634">
      <c r="A1634" s="4">
        <v>43541.18643903935</v>
      </c>
      <c r="B1634" s="5">
        <v>43541.4780720254</v>
      </c>
      <c r="C1634" s="6">
        <v>1.036</v>
      </c>
      <c r="D1634" s="6">
        <v>66.0</v>
      </c>
      <c r="E1634" s="7" t="s">
        <v>7</v>
      </c>
      <c r="F1634" s="7" t="s">
        <v>8</v>
      </c>
      <c r="G1634" s="8"/>
    </row>
    <row r="1635">
      <c r="A1635" s="4">
        <v>43541.19692827546</v>
      </c>
      <c r="B1635" s="5">
        <v>43541.4885060995</v>
      </c>
      <c r="C1635" s="6">
        <v>1.035</v>
      </c>
      <c r="D1635" s="6">
        <v>66.0</v>
      </c>
      <c r="E1635" s="7" t="s">
        <v>7</v>
      </c>
      <c r="F1635" s="7" t="s">
        <v>8</v>
      </c>
      <c r="G1635" s="8"/>
    </row>
    <row r="1636">
      <c r="A1636" s="4">
        <v>43541.2072959375</v>
      </c>
      <c r="B1636" s="5">
        <v>43541.4989266087</v>
      </c>
      <c r="C1636" s="6">
        <v>1.035</v>
      </c>
      <c r="D1636" s="6">
        <v>66.0</v>
      </c>
      <c r="E1636" s="7" t="s">
        <v>7</v>
      </c>
      <c r="F1636" s="7" t="s">
        <v>8</v>
      </c>
      <c r="G1636" s="8"/>
    </row>
    <row r="1637">
      <c r="A1637" s="4">
        <v>43541.21771965278</v>
      </c>
      <c r="B1637" s="5">
        <v>43541.50934853</v>
      </c>
      <c r="C1637" s="6">
        <v>1.035</v>
      </c>
      <c r="D1637" s="6">
        <v>66.0</v>
      </c>
      <c r="E1637" s="7" t="s">
        <v>7</v>
      </c>
      <c r="F1637" s="7" t="s">
        <v>8</v>
      </c>
      <c r="G1637" s="8"/>
    </row>
    <row r="1638">
      <c r="A1638" s="4">
        <v>43541.22814314815</v>
      </c>
      <c r="B1638" s="5">
        <v>43541.5197801388</v>
      </c>
      <c r="C1638" s="6">
        <v>1.035</v>
      </c>
      <c r="D1638" s="6">
        <v>66.0</v>
      </c>
      <c r="E1638" s="7" t="s">
        <v>7</v>
      </c>
      <c r="F1638" s="7" t="s">
        <v>8</v>
      </c>
      <c r="G1638" s="8"/>
    </row>
    <row r="1639">
      <c r="A1639" s="4">
        <v>43541.238624074074</v>
      </c>
      <c r="B1639" s="5">
        <v>43541.5302028472</v>
      </c>
      <c r="C1639" s="6">
        <v>1.035</v>
      </c>
      <c r="D1639" s="6">
        <v>66.0</v>
      </c>
      <c r="E1639" s="7" t="s">
        <v>7</v>
      </c>
      <c r="F1639" s="7" t="s">
        <v>8</v>
      </c>
      <c r="G1639" s="8"/>
    </row>
    <row r="1640">
      <c r="A1640" s="4">
        <v>43541.2490114699</v>
      </c>
      <c r="B1640" s="5">
        <v>43541.5406231365</v>
      </c>
      <c r="C1640" s="6">
        <v>1.035</v>
      </c>
      <c r="D1640" s="6">
        <v>66.0</v>
      </c>
      <c r="E1640" s="7" t="s">
        <v>7</v>
      </c>
      <c r="F1640" s="7" t="s">
        <v>8</v>
      </c>
      <c r="G1640" s="8"/>
    </row>
    <row r="1641">
      <c r="A1641" s="4">
        <v>43541.259406805555</v>
      </c>
      <c r="B1641" s="5">
        <v>43541.5510445949</v>
      </c>
      <c r="C1641" s="6">
        <v>1.035</v>
      </c>
      <c r="D1641" s="6">
        <v>66.0</v>
      </c>
      <c r="E1641" s="7" t="s">
        <v>7</v>
      </c>
      <c r="F1641" s="7" t="s">
        <v>8</v>
      </c>
      <c r="G1641" s="8"/>
    </row>
    <row r="1642">
      <c r="A1642" s="4">
        <v>43541.26982998842</v>
      </c>
      <c r="B1642" s="5">
        <v>43541.5614657986</v>
      </c>
      <c r="C1642" s="6">
        <v>1.035</v>
      </c>
      <c r="D1642" s="6">
        <v>66.0</v>
      </c>
      <c r="E1642" s="7" t="s">
        <v>7</v>
      </c>
      <c r="F1642" s="7" t="s">
        <v>8</v>
      </c>
      <c r="G1642" s="8"/>
    </row>
    <row r="1643">
      <c r="A1643" s="4">
        <v>43541.28025037037</v>
      </c>
      <c r="B1643" s="5">
        <v>43541.5718884722</v>
      </c>
      <c r="C1643" s="6">
        <v>1.035</v>
      </c>
      <c r="D1643" s="6">
        <v>66.0</v>
      </c>
      <c r="E1643" s="7" t="s">
        <v>7</v>
      </c>
      <c r="F1643" s="7" t="s">
        <v>8</v>
      </c>
      <c r="G1643" s="8"/>
    </row>
    <row r="1644">
      <c r="A1644" s="4">
        <v>43541.290668912035</v>
      </c>
      <c r="B1644" s="5">
        <v>43541.5823108912</v>
      </c>
      <c r="C1644" s="6">
        <v>1.036</v>
      </c>
      <c r="D1644" s="6">
        <v>66.0</v>
      </c>
      <c r="E1644" s="7" t="s">
        <v>7</v>
      </c>
      <c r="F1644" s="7" t="s">
        <v>8</v>
      </c>
      <c r="G1644" s="8"/>
    </row>
    <row r="1645">
      <c r="A1645" s="4">
        <v>43541.301121701385</v>
      </c>
      <c r="B1645" s="5">
        <v>43541.5927551041</v>
      </c>
      <c r="C1645" s="6">
        <v>1.035</v>
      </c>
      <c r="D1645" s="6">
        <v>66.0</v>
      </c>
      <c r="E1645" s="7" t="s">
        <v>7</v>
      </c>
      <c r="F1645" s="7" t="s">
        <v>8</v>
      </c>
      <c r="G1645" s="8"/>
    </row>
    <row r="1646">
      <c r="A1646" s="4">
        <v>43541.31154332176</v>
      </c>
      <c r="B1646" s="5">
        <v>43541.6031766088</v>
      </c>
      <c r="C1646" s="6">
        <v>1.035</v>
      </c>
      <c r="D1646" s="6">
        <v>66.0</v>
      </c>
      <c r="E1646" s="7" t="s">
        <v>7</v>
      </c>
      <c r="F1646" s="7" t="s">
        <v>8</v>
      </c>
      <c r="G1646" s="8"/>
    </row>
    <row r="1647">
      <c r="A1647" s="4">
        <v>43541.32196585648</v>
      </c>
      <c r="B1647" s="5">
        <v>43541.61361</v>
      </c>
      <c r="C1647" s="6">
        <v>1.035</v>
      </c>
      <c r="D1647" s="6">
        <v>66.0</v>
      </c>
      <c r="E1647" s="7" t="s">
        <v>7</v>
      </c>
      <c r="F1647" s="7" t="s">
        <v>8</v>
      </c>
      <c r="G1647" s="8"/>
    </row>
    <row r="1648">
      <c r="A1648" s="4">
        <v>43541.33245070602</v>
      </c>
      <c r="B1648" s="5">
        <v>43541.6240905787</v>
      </c>
      <c r="C1648" s="6">
        <v>1.035</v>
      </c>
      <c r="D1648" s="6">
        <v>67.0</v>
      </c>
      <c r="E1648" s="7" t="s">
        <v>7</v>
      </c>
      <c r="F1648" s="7" t="s">
        <v>8</v>
      </c>
      <c r="G1648" s="8"/>
    </row>
    <row r="1649">
      <c r="A1649" s="4">
        <v>43541.3428844213</v>
      </c>
      <c r="B1649" s="5">
        <v>43541.6345106597</v>
      </c>
      <c r="C1649" s="6">
        <v>1.035</v>
      </c>
      <c r="D1649" s="6">
        <v>66.0</v>
      </c>
      <c r="E1649" s="7" t="s">
        <v>7</v>
      </c>
      <c r="F1649" s="7" t="s">
        <v>8</v>
      </c>
      <c r="G1649" s="8"/>
    </row>
    <row r="1650">
      <c r="A1650" s="4">
        <v>43541.35330271991</v>
      </c>
      <c r="B1650" s="5">
        <v>43541.6449443402</v>
      </c>
      <c r="C1650" s="6">
        <v>1.035</v>
      </c>
      <c r="D1650" s="6">
        <v>66.0</v>
      </c>
      <c r="E1650" s="7" t="s">
        <v>7</v>
      </c>
      <c r="F1650" s="7" t="s">
        <v>8</v>
      </c>
      <c r="G1650" s="8"/>
    </row>
    <row r="1651">
      <c r="A1651" s="4">
        <v>43541.36375024305</v>
      </c>
      <c r="B1651" s="5">
        <v>43541.6553898148</v>
      </c>
      <c r="C1651" s="6">
        <v>1.035</v>
      </c>
      <c r="D1651" s="6">
        <v>67.0</v>
      </c>
      <c r="E1651" s="7" t="s">
        <v>7</v>
      </c>
      <c r="F1651" s="7" t="s">
        <v>8</v>
      </c>
      <c r="G1651" s="8"/>
    </row>
    <row r="1652">
      <c r="A1652" s="4">
        <v>43541.37418824074</v>
      </c>
      <c r="B1652" s="5">
        <v>43541.6658326504</v>
      </c>
      <c r="C1652" s="6">
        <v>1.035</v>
      </c>
      <c r="D1652" s="6">
        <v>66.0</v>
      </c>
      <c r="E1652" s="7" t="s">
        <v>7</v>
      </c>
      <c r="F1652" s="7" t="s">
        <v>8</v>
      </c>
      <c r="G1652" s="8"/>
    </row>
    <row r="1653">
      <c r="A1653" s="4">
        <v>43541.38463381944</v>
      </c>
      <c r="B1653" s="5">
        <v>43541.6762527777</v>
      </c>
      <c r="C1653" s="6">
        <v>1.035</v>
      </c>
      <c r="D1653" s="6">
        <v>67.0</v>
      </c>
      <c r="E1653" s="7" t="s">
        <v>7</v>
      </c>
      <c r="F1653" s="7" t="s">
        <v>8</v>
      </c>
      <c r="G1653" s="8"/>
    </row>
    <row r="1654">
      <c r="A1654" s="4">
        <v>43541.39503225694</v>
      </c>
      <c r="B1654" s="5">
        <v>43541.6866733217</v>
      </c>
      <c r="C1654" s="6">
        <v>1.035</v>
      </c>
      <c r="D1654" s="6">
        <v>67.0</v>
      </c>
      <c r="E1654" s="7" t="s">
        <v>7</v>
      </c>
      <c r="F1654" s="7" t="s">
        <v>8</v>
      </c>
      <c r="G1654" s="8"/>
    </row>
    <row r="1655">
      <c r="A1655" s="4">
        <v>43541.40547185185</v>
      </c>
      <c r="B1655" s="5">
        <v>43541.6971059259</v>
      </c>
      <c r="C1655" s="6">
        <v>1.035</v>
      </c>
      <c r="D1655" s="6">
        <v>67.0</v>
      </c>
      <c r="E1655" s="7" t="s">
        <v>7</v>
      </c>
      <c r="F1655" s="7" t="s">
        <v>8</v>
      </c>
      <c r="G1655" s="8"/>
    </row>
    <row r="1656">
      <c r="A1656" s="4">
        <v>43541.41589650463</v>
      </c>
      <c r="B1656" s="5">
        <v>43541.7075392592</v>
      </c>
      <c r="C1656" s="6">
        <v>1.035</v>
      </c>
      <c r="D1656" s="6">
        <v>67.0</v>
      </c>
      <c r="E1656" s="7" t="s">
        <v>7</v>
      </c>
      <c r="F1656" s="7" t="s">
        <v>8</v>
      </c>
      <c r="G1656" s="8"/>
    </row>
    <row r="1657">
      <c r="A1657" s="4">
        <v>43541.426335462966</v>
      </c>
      <c r="B1657" s="5">
        <v>43541.7179718981</v>
      </c>
      <c r="C1657" s="6">
        <v>1.035</v>
      </c>
      <c r="D1657" s="6">
        <v>67.0</v>
      </c>
      <c r="E1657" s="7" t="s">
        <v>7</v>
      </c>
      <c r="F1657" s="7" t="s">
        <v>8</v>
      </c>
      <c r="G1657" s="8"/>
    </row>
    <row r="1658">
      <c r="A1658" s="4">
        <v>43541.4367740625</v>
      </c>
      <c r="B1658" s="5">
        <v>43541.7284054745</v>
      </c>
      <c r="C1658" s="6">
        <v>1.035</v>
      </c>
      <c r="D1658" s="6">
        <v>67.0</v>
      </c>
      <c r="E1658" s="7" t="s">
        <v>7</v>
      </c>
      <c r="F1658" s="7" t="s">
        <v>8</v>
      </c>
      <c r="G1658" s="8"/>
    </row>
    <row r="1659">
      <c r="A1659" s="4">
        <v>43541.447187488426</v>
      </c>
      <c r="B1659" s="5">
        <v>43541.738825625</v>
      </c>
      <c r="C1659" s="6">
        <v>1.035</v>
      </c>
      <c r="D1659" s="6">
        <v>67.0</v>
      </c>
      <c r="E1659" s="7" t="s">
        <v>7</v>
      </c>
      <c r="F1659" s="7" t="s">
        <v>8</v>
      </c>
      <c r="G1659" s="8"/>
    </row>
    <row r="1660">
      <c r="A1660" s="4">
        <v>43541.457615520834</v>
      </c>
      <c r="B1660" s="5">
        <v>43541.7492476967</v>
      </c>
      <c r="C1660" s="6">
        <v>1.035</v>
      </c>
      <c r="D1660" s="6">
        <v>67.0</v>
      </c>
      <c r="E1660" s="7" t="s">
        <v>7</v>
      </c>
      <c r="F1660" s="7" t="s">
        <v>8</v>
      </c>
      <c r="G1660" s="8"/>
    </row>
    <row r="1661">
      <c r="A1661" s="4">
        <v>43541.46803278935</v>
      </c>
      <c r="B1661" s="5">
        <v>43541.7596675231</v>
      </c>
      <c r="C1661" s="6">
        <v>1.035</v>
      </c>
      <c r="D1661" s="6">
        <v>67.0</v>
      </c>
      <c r="E1661" s="7" t="s">
        <v>7</v>
      </c>
      <c r="F1661" s="7" t="s">
        <v>8</v>
      </c>
      <c r="G1661" s="8"/>
    </row>
    <row r="1662">
      <c r="A1662" s="4">
        <v>43541.47845728009</v>
      </c>
      <c r="B1662" s="5">
        <v>43541.7700889236</v>
      </c>
      <c r="C1662" s="6">
        <v>1.035</v>
      </c>
      <c r="D1662" s="6">
        <v>67.0</v>
      </c>
      <c r="E1662" s="7" t="s">
        <v>7</v>
      </c>
      <c r="F1662" s="7" t="s">
        <v>8</v>
      </c>
      <c r="G1662" s="8"/>
    </row>
    <row r="1663">
      <c r="A1663" s="4">
        <v>43541.48893018518</v>
      </c>
      <c r="B1663" s="5">
        <v>43541.7805689004</v>
      </c>
      <c r="C1663" s="6">
        <v>1.035</v>
      </c>
      <c r="D1663" s="6">
        <v>67.0</v>
      </c>
      <c r="E1663" s="7" t="s">
        <v>7</v>
      </c>
      <c r="F1663" s="7" t="s">
        <v>8</v>
      </c>
      <c r="G1663" s="8"/>
    </row>
    <row r="1664">
      <c r="A1664" s="4">
        <v>43541.499349606485</v>
      </c>
      <c r="B1664" s="5">
        <v>43541.7909900694</v>
      </c>
      <c r="C1664" s="6">
        <v>1.035</v>
      </c>
      <c r="D1664" s="6">
        <v>67.0</v>
      </c>
      <c r="E1664" s="7" t="s">
        <v>7</v>
      </c>
      <c r="F1664" s="7" t="s">
        <v>8</v>
      </c>
      <c r="G1664" s="8"/>
    </row>
    <row r="1665">
      <c r="A1665" s="4">
        <v>43541.509778101856</v>
      </c>
      <c r="B1665" s="5">
        <v>43541.80141103</v>
      </c>
      <c r="C1665" s="6">
        <v>1.035</v>
      </c>
      <c r="D1665" s="6">
        <v>67.0</v>
      </c>
      <c r="E1665" s="7" t="s">
        <v>7</v>
      </c>
      <c r="F1665" s="7" t="s">
        <v>8</v>
      </c>
      <c r="G1665" s="8"/>
    </row>
    <row r="1666">
      <c r="A1666" s="4">
        <v>43541.52019648148</v>
      </c>
      <c r="B1666" s="5">
        <v>43541.811830324</v>
      </c>
      <c r="C1666" s="6">
        <v>1.035</v>
      </c>
      <c r="D1666" s="6">
        <v>67.0</v>
      </c>
      <c r="E1666" s="7" t="s">
        <v>7</v>
      </c>
      <c r="F1666" s="7" t="s">
        <v>8</v>
      </c>
      <c r="G1666" s="8"/>
    </row>
    <row r="1667">
      <c r="A1667" s="4">
        <v>43541.53061444445</v>
      </c>
      <c r="B1667" s="5">
        <v>43541.8222486805</v>
      </c>
      <c r="C1667" s="6">
        <v>1.035</v>
      </c>
      <c r="D1667" s="6">
        <v>67.0</v>
      </c>
      <c r="E1667" s="7" t="s">
        <v>7</v>
      </c>
      <c r="F1667" s="7" t="s">
        <v>8</v>
      </c>
      <c r="G1667" s="8"/>
    </row>
    <row r="1668">
      <c r="A1668" s="4">
        <v>43541.541247546294</v>
      </c>
      <c r="B1668" s="5">
        <v>43541.832879375</v>
      </c>
      <c r="C1668" s="6">
        <v>1.035</v>
      </c>
      <c r="D1668" s="6">
        <v>67.0</v>
      </c>
      <c r="E1668" s="7" t="s">
        <v>7</v>
      </c>
      <c r="F1668" s="7" t="s">
        <v>8</v>
      </c>
      <c r="G1668" s="8"/>
    </row>
    <row r="1669">
      <c r="A1669" s="4">
        <v>43541.551688391206</v>
      </c>
      <c r="B1669" s="5">
        <v>43541.8433124074</v>
      </c>
      <c r="C1669" s="6">
        <v>1.035</v>
      </c>
      <c r="D1669" s="6">
        <v>67.0</v>
      </c>
      <c r="E1669" s="7" t="s">
        <v>7</v>
      </c>
      <c r="F1669" s="7" t="s">
        <v>8</v>
      </c>
      <c r="G1669" s="8"/>
    </row>
    <row r="1670">
      <c r="A1670" s="4">
        <v>43541.562141365735</v>
      </c>
      <c r="B1670" s="5">
        <v>43541.8537804976</v>
      </c>
      <c r="C1670" s="6">
        <v>1.035</v>
      </c>
      <c r="D1670" s="6">
        <v>67.0</v>
      </c>
      <c r="E1670" s="7" t="s">
        <v>7</v>
      </c>
      <c r="F1670" s="7" t="s">
        <v>8</v>
      </c>
      <c r="G1670" s="8"/>
    </row>
    <row r="1671">
      <c r="A1671" s="4">
        <v>43541.57257751157</v>
      </c>
      <c r="B1671" s="5">
        <v>43541.8642027662</v>
      </c>
      <c r="C1671" s="6">
        <v>1.035</v>
      </c>
      <c r="D1671" s="6">
        <v>67.0</v>
      </c>
      <c r="E1671" s="7" t="s">
        <v>7</v>
      </c>
      <c r="F1671" s="7" t="s">
        <v>8</v>
      </c>
      <c r="G1671" s="8"/>
    </row>
    <row r="1672">
      <c r="A1672" s="4">
        <v>43541.5829884375</v>
      </c>
      <c r="B1672" s="5">
        <v>43541.8746243865</v>
      </c>
      <c r="C1672" s="6">
        <v>1.035</v>
      </c>
      <c r="D1672" s="6">
        <v>67.0</v>
      </c>
      <c r="E1672" s="7" t="s">
        <v>7</v>
      </c>
      <c r="F1672" s="7" t="s">
        <v>8</v>
      </c>
      <c r="G1672" s="8"/>
    </row>
    <row r="1673">
      <c r="A1673" s="4">
        <v>43541.59342096065</v>
      </c>
      <c r="B1673" s="5">
        <v>43541.8850576851</v>
      </c>
      <c r="C1673" s="6">
        <v>1.035</v>
      </c>
      <c r="D1673" s="6">
        <v>67.0</v>
      </c>
      <c r="E1673" s="7" t="s">
        <v>7</v>
      </c>
      <c r="F1673" s="7" t="s">
        <v>8</v>
      </c>
      <c r="G1673" s="8"/>
    </row>
    <row r="1674">
      <c r="A1674" s="4">
        <v>43541.60386646991</v>
      </c>
      <c r="B1674" s="5">
        <v>43541.8955045138</v>
      </c>
      <c r="C1674" s="6">
        <v>1.035</v>
      </c>
      <c r="D1674" s="6">
        <v>67.0</v>
      </c>
      <c r="E1674" s="7" t="s">
        <v>7</v>
      </c>
      <c r="F1674" s="7" t="s">
        <v>8</v>
      </c>
      <c r="G1674" s="8"/>
    </row>
    <row r="1675">
      <c r="A1675" s="4">
        <v>43541.6144290625</v>
      </c>
      <c r="B1675" s="5">
        <v>43541.9060651851</v>
      </c>
      <c r="C1675" s="6">
        <v>1.035</v>
      </c>
      <c r="D1675" s="6">
        <v>67.0</v>
      </c>
      <c r="E1675" s="7" t="s">
        <v>7</v>
      </c>
      <c r="F1675" s="7" t="s">
        <v>8</v>
      </c>
      <c r="G1675" s="8"/>
    </row>
    <row r="1676">
      <c r="A1676" s="4">
        <v>43541.62485075231</v>
      </c>
      <c r="B1676" s="5">
        <v>43541.9164854282</v>
      </c>
      <c r="C1676" s="6">
        <v>1.035</v>
      </c>
      <c r="D1676" s="6">
        <v>67.0</v>
      </c>
      <c r="E1676" s="7" t="s">
        <v>7</v>
      </c>
      <c r="F1676" s="7" t="s">
        <v>8</v>
      </c>
      <c r="G1676" s="8"/>
    </row>
    <row r="1677">
      <c r="A1677" s="4">
        <v>43541.63527427083</v>
      </c>
      <c r="B1677" s="5">
        <v>43541.9269065972</v>
      </c>
      <c r="C1677" s="6">
        <v>1.035</v>
      </c>
      <c r="D1677" s="6">
        <v>67.0</v>
      </c>
      <c r="E1677" s="7" t="s">
        <v>7</v>
      </c>
      <c r="F1677" s="7" t="s">
        <v>8</v>
      </c>
      <c r="G1677" s="8"/>
    </row>
    <row r="1678">
      <c r="A1678" s="4">
        <v>43541.64572880787</v>
      </c>
      <c r="B1678" s="5">
        <v>43541.9373622453</v>
      </c>
      <c r="C1678" s="6">
        <v>1.035</v>
      </c>
      <c r="D1678" s="6">
        <v>67.0</v>
      </c>
      <c r="E1678" s="7" t="s">
        <v>7</v>
      </c>
      <c r="F1678" s="7" t="s">
        <v>8</v>
      </c>
      <c r="G1678" s="8"/>
    </row>
    <row r="1679">
      <c r="A1679" s="4">
        <v>43541.65614178241</v>
      </c>
      <c r="B1679" s="5">
        <v>43541.9477832638</v>
      </c>
      <c r="C1679" s="6">
        <v>1.035</v>
      </c>
      <c r="D1679" s="6">
        <v>67.0</v>
      </c>
      <c r="E1679" s="7" t="s">
        <v>7</v>
      </c>
      <c r="F1679" s="7" t="s">
        <v>8</v>
      </c>
      <c r="G1679" s="8"/>
    </row>
    <row r="1680">
      <c r="A1680" s="4">
        <v>43541.66656763889</v>
      </c>
      <c r="B1680" s="5">
        <v>43541.958203125</v>
      </c>
      <c r="C1680" s="6">
        <v>1.035</v>
      </c>
      <c r="D1680" s="6">
        <v>67.0</v>
      </c>
      <c r="E1680" s="7" t="s">
        <v>7</v>
      </c>
      <c r="F1680" s="7" t="s">
        <v>8</v>
      </c>
      <c r="G1680" s="8"/>
    </row>
    <row r="1681">
      <c r="A1681" s="4">
        <v>43541.67698607639</v>
      </c>
      <c r="B1681" s="5">
        <v>43541.9686208564</v>
      </c>
      <c r="C1681" s="6">
        <v>1.035</v>
      </c>
      <c r="D1681" s="6">
        <v>67.0</v>
      </c>
      <c r="E1681" s="7" t="s">
        <v>7</v>
      </c>
      <c r="F1681" s="7" t="s">
        <v>8</v>
      </c>
      <c r="G1681" s="8"/>
    </row>
    <row r="1682">
      <c r="A1682" s="4">
        <v>43541.68740918981</v>
      </c>
      <c r="B1682" s="5">
        <v>43541.9790424537</v>
      </c>
      <c r="C1682" s="6">
        <v>1.035</v>
      </c>
      <c r="D1682" s="6">
        <v>67.0</v>
      </c>
      <c r="E1682" s="7" t="s">
        <v>7</v>
      </c>
      <c r="F1682" s="7" t="s">
        <v>8</v>
      </c>
      <c r="G1682" s="8"/>
    </row>
    <row r="1683">
      <c r="A1683" s="4">
        <v>43541.69785699074</v>
      </c>
      <c r="B1683" s="5">
        <v>43541.9894757638</v>
      </c>
      <c r="C1683" s="6">
        <v>1.035</v>
      </c>
      <c r="D1683" s="6">
        <v>67.0</v>
      </c>
      <c r="E1683" s="7" t="s">
        <v>7</v>
      </c>
      <c r="F1683" s="7" t="s">
        <v>8</v>
      </c>
      <c r="G1683" s="8"/>
    </row>
    <row r="1684">
      <c r="A1684" s="4">
        <v>43541.708273634256</v>
      </c>
      <c r="B1684" s="5">
        <v>43541.9999089236</v>
      </c>
      <c r="C1684" s="6">
        <v>1.035</v>
      </c>
      <c r="D1684" s="6">
        <v>67.0</v>
      </c>
      <c r="E1684" s="7" t="s">
        <v>7</v>
      </c>
      <c r="F1684" s="7" t="s">
        <v>8</v>
      </c>
      <c r="G1684" s="8"/>
    </row>
    <row r="1685">
      <c r="A1685" s="4">
        <v>43541.718696076394</v>
      </c>
      <c r="B1685" s="5">
        <v>43542.0103282523</v>
      </c>
      <c r="C1685" s="6">
        <v>1.035</v>
      </c>
      <c r="D1685" s="6">
        <v>67.0</v>
      </c>
      <c r="E1685" s="7" t="s">
        <v>7</v>
      </c>
      <c r="F1685" s="7" t="s">
        <v>8</v>
      </c>
      <c r="G1685" s="8"/>
    </row>
    <row r="1686">
      <c r="A1686" s="4">
        <v>43541.7291147338</v>
      </c>
      <c r="B1686" s="5">
        <v>43542.0207515856</v>
      </c>
      <c r="C1686" s="6">
        <v>1.035</v>
      </c>
      <c r="D1686" s="6">
        <v>67.0</v>
      </c>
      <c r="E1686" s="7" t="s">
        <v>7</v>
      </c>
      <c r="F1686" s="7" t="s">
        <v>8</v>
      </c>
      <c r="G1686" s="8"/>
    </row>
    <row r="1687">
      <c r="A1687" s="4">
        <v>43541.73955592593</v>
      </c>
      <c r="B1687" s="5">
        <v>43542.0311858796</v>
      </c>
      <c r="C1687" s="6">
        <v>1.035</v>
      </c>
      <c r="D1687" s="6">
        <v>67.0</v>
      </c>
      <c r="E1687" s="7" t="s">
        <v>7</v>
      </c>
      <c r="F1687" s="7" t="s">
        <v>8</v>
      </c>
      <c r="G1687" s="8"/>
    </row>
    <row r="1688">
      <c r="A1688" s="4">
        <v>43541.74997607639</v>
      </c>
      <c r="B1688" s="5">
        <v>43542.0416092476</v>
      </c>
      <c r="C1688" s="6">
        <v>1.035</v>
      </c>
      <c r="D1688" s="6">
        <v>67.0</v>
      </c>
      <c r="E1688" s="7" t="s">
        <v>7</v>
      </c>
      <c r="F1688" s="7" t="s">
        <v>8</v>
      </c>
      <c r="G1688" s="8"/>
    </row>
    <row r="1689">
      <c r="A1689" s="4">
        <v>43541.76039173611</v>
      </c>
      <c r="B1689" s="5">
        <v>43542.0520288078</v>
      </c>
      <c r="C1689" s="6">
        <v>1.035</v>
      </c>
      <c r="D1689" s="6">
        <v>67.0</v>
      </c>
      <c r="E1689" s="7" t="s">
        <v>7</v>
      </c>
      <c r="F1689" s="7" t="s">
        <v>8</v>
      </c>
      <c r="G1689" s="8"/>
    </row>
    <row r="1690">
      <c r="A1690" s="4">
        <v>43541.77081618056</v>
      </c>
      <c r="B1690" s="5">
        <v>43542.0624501967</v>
      </c>
      <c r="C1690" s="6">
        <v>1.035</v>
      </c>
      <c r="D1690" s="6">
        <v>67.0</v>
      </c>
      <c r="E1690" s="7" t="s">
        <v>7</v>
      </c>
      <c r="F1690" s="7" t="s">
        <v>8</v>
      </c>
      <c r="G1690" s="8"/>
    </row>
    <row r="1691">
      <c r="A1691" s="4">
        <v>43541.78130043982</v>
      </c>
      <c r="B1691" s="5">
        <v>43542.0729295486</v>
      </c>
      <c r="C1691" s="6">
        <v>1.034</v>
      </c>
      <c r="D1691" s="6">
        <v>67.0</v>
      </c>
      <c r="E1691" s="7" t="s">
        <v>7</v>
      </c>
      <c r="F1691" s="7" t="s">
        <v>8</v>
      </c>
      <c r="G1691" s="8"/>
    </row>
    <row r="1692">
      <c r="A1692" s="4">
        <v>43541.79172951389</v>
      </c>
      <c r="B1692" s="5">
        <v>43542.0833615856</v>
      </c>
      <c r="C1692" s="6">
        <v>1.035</v>
      </c>
      <c r="D1692" s="6">
        <v>67.0</v>
      </c>
      <c r="E1692" s="7" t="s">
        <v>7</v>
      </c>
      <c r="F1692" s="7" t="s">
        <v>8</v>
      </c>
      <c r="G1692" s="8"/>
    </row>
    <row r="1693">
      <c r="A1693" s="4">
        <v>43541.80214646991</v>
      </c>
      <c r="B1693" s="5">
        <v>43542.0937820601</v>
      </c>
      <c r="C1693" s="6">
        <v>1.035</v>
      </c>
      <c r="D1693" s="6">
        <v>67.0</v>
      </c>
      <c r="E1693" s="7" t="s">
        <v>7</v>
      </c>
      <c r="F1693" s="7" t="s">
        <v>8</v>
      </c>
      <c r="G1693" s="8"/>
    </row>
    <row r="1694">
      <c r="A1694" s="4">
        <v>43541.81256972223</v>
      </c>
      <c r="B1694" s="5">
        <v>43542.1042024884</v>
      </c>
      <c r="C1694" s="6">
        <v>1.035</v>
      </c>
      <c r="D1694" s="6">
        <v>67.0</v>
      </c>
      <c r="E1694" s="7" t="s">
        <v>7</v>
      </c>
      <c r="F1694" s="7" t="s">
        <v>8</v>
      </c>
      <c r="G1694" s="8"/>
    </row>
    <row r="1695">
      <c r="A1695" s="4">
        <v>43541.82301059028</v>
      </c>
      <c r="B1695" s="5">
        <v>43542.114648449</v>
      </c>
      <c r="C1695" s="6">
        <v>1.034</v>
      </c>
      <c r="D1695" s="6">
        <v>67.0</v>
      </c>
      <c r="E1695" s="7" t="s">
        <v>7</v>
      </c>
      <c r="F1695" s="7" t="s">
        <v>8</v>
      </c>
      <c r="G1695" s="8"/>
    </row>
    <row r="1696">
      <c r="A1696" s="4">
        <v>43541.83346016204</v>
      </c>
      <c r="B1696" s="5">
        <v>43542.1250929629</v>
      </c>
      <c r="C1696" s="6">
        <v>1.034</v>
      </c>
      <c r="D1696" s="6">
        <v>67.0</v>
      </c>
      <c r="E1696" s="7" t="s">
        <v>7</v>
      </c>
      <c r="F1696" s="7" t="s">
        <v>8</v>
      </c>
      <c r="G1696" s="8"/>
    </row>
    <row r="1697">
      <c r="A1697" s="4">
        <v>43541.843889791664</v>
      </c>
      <c r="B1697" s="5">
        <v>43542.135525787</v>
      </c>
      <c r="C1697" s="6">
        <v>1.034</v>
      </c>
      <c r="D1697" s="6">
        <v>67.0</v>
      </c>
      <c r="E1697" s="7" t="s">
        <v>7</v>
      </c>
      <c r="F1697" s="7" t="s">
        <v>8</v>
      </c>
      <c r="G1697" s="8"/>
    </row>
    <row r="1698">
      <c r="A1698" s="4">
        <v>43541.85440471065</v>
      </c>
      <c r="B1698" s="5">
        <v>43542.1460393055</v>
      </c>
      <c r="C1698" s="6">
        <v>1.035</v>
      </c>
      <c r="D1698" s="6">
        <v>67.0</v>
      </c>
      <c r="E1698" s="7" t="s">
        <v>7</v>
      </c>
      <c r="F1698" s="7" t="s">
        <v>8</v>
      </c>
      <c r="G1698" s="8"/>
    </row>
    <row r="1699">
      <c r="A1699" s="4">
        <v>43541.864842870375</v>
      </c>
      <c r="B1699" s="5">
        <v>43542.1564735995</v>
      </c>
      <c r="C1699" s="6">
        <v>1.034</v>
      </c>
      <c r="D1699" s="6">
        <v>67.0</v>
      </c>
      <c r="E1699" s="7" t="s">
        <v>7</v>
      </c>
      <c r="F1699" s="7" t="s">
        <v>8</v>
      </c>
      <c r="G1699" s="8"/>
    </row>
    <row r="1700">
      <c r="A1700" s="4">
        <v>43541.87525560185</v>
      </c>
      <c r="B1700" s="5">
        <v>43542.1668941782</v>
      </c>
      <c r="C1700" s="6">
        <v>1.034</v>
      </c>
      <c r="D1700" s="6">
        <v>67.0</v>
      </c>
      <c r="E1700" s="7" t="s">
        <v>7</v>
      </c>
      <c r="F1700" s="7" t="s">
        <v>8</v>
      </c>
      <c r="G1700" s="8"/>
    </row>
    <row r="1701">
      <c r="A1701" s="4">
        <v>43541.88568954861</v>
      </c>
      <c r="B1701" s="5">
        <v>43542.1773268171</v>
      </c>
      <c r="C1701" s="6">
        <v>1.034</v>
      </c>
      <c r="D1701" s="6">
        <v>67.0</v>
      </c>
      <c r="E1701" s="7" t="s">
        <v>7</v>
      </c>
      <c r="F1701" s="7" t="s">
        <v>8</v>
      </c>
      <c r="G1701" s="8"/>
    </row>
    <row r="1702">
      <c r="A1702" s="4">
        <v>43541.89613471065</v>
      </c>
      <c r="B1702" s="5">
        <v>43542.1877712037</v>
      </c>
      <c r="C1702" s="6">
        <v>1.034</v>
      </c>
      <c r="D1702" s="6">
        <v>67.0</v>
      </c>
      <c r="E1702" s="7" t="s">
        <v>7</v>
      </c>
      <c r="F1702" s="7" t="s">
        <v>8</v>
      </c>
      <c r="G1702" s="8"/>
    </row>
    <row r="1703">
      <c r="A1703" s="4">
        <v>43541.90659313658</v>
      </c>
      <c r="B1703" s="5">
        <v>43542.1982273032</v>
      </c>
      <c r="C1703" s="6">
        <v>1.034</v>
      </c>
      <c r="D1703" s="6">
        <v>67.0</v>
      </c>
      <c r="E1703" s="7" t="s">
        <v>7</v>
      </c>
      <c r="F1703" s="7" t="s">
        <v>8</v>
      </c>
      <c r="G1703" s="8"/>
    </row>
    <row r="1704">
      <c r="A1704" s="4">
        <v>43541.91701238426</v>
      </c>
      <c r="B1704" s="5">
        <v>43542.2086499305</v>
      </c>
      <c r="C1704" s="6">
        <v>1.034</v>
      </c>
      <c r="D1704" s="6">
        <v>67.0</v>
      </c>
      <c r="E1704" s="7" t="s">
        <v>7</v>
      </c>
      <c r="F1704" s="7" t="s">
        <v>8</v>
      </c>
      <c r="G1704" s="8"/>
    </row>
    <row r="1705">
      <c r="A1705" s="4">
        <v>43541.92743318287</v>
      </c>
      <c r="B1705" s="5">
        <v>43542.2190695833</v>
      </c>
      <c r="C1705" s="6">
        <v>1.034</v>
      </c>
      <c r="D1705" s="6">
        <v>67.0</v>
      </c>
      <c r="E1705" s="7" t="s">
        <v>7</v>
      </c>
      <c r="F1705" s="7" t="s">
        <v>8</v>
      </c>
      <c r="G1705" s="8"/>
    </row>
    <row r="1706">
      <c r="A1706" s="4">
        <v>43541.937854502314</v>
      </c>
      <c r="B1706" s="5">
        <v>43542.22949125</v>
      </c>
      <c r="C1706" s="6">
        <v>1.034</v>
      </c>
      <c r="D1706" s="6">
        <v>67.0</v>
      </c>
      <c r="E1706" s="7" t="s">
        <v>7</v>
      </c>
      <c r="F1706" s="7" t="s">
        <v>8</v>
      </c>
      <c r="G1706" s="8"/>
    </row>
    <row r="1707">
      <c r="A1707" s="4">
        <v>43541.94829701389</v>
      </c>
      <c r="B1707" s="5">
        <v>43542.2399242245</v>
      </c>
      <c r="C1707" s="6">
        <v>1.035</v>
      </c>
      <c r="D1707" s="6">
        <v>67.0</v>
      </c>
      <c r="E1707" s="7" t="s">
        <v>7</v>
      </c>
      <c r="F1707" s="7" t="s">
        <v>8</v>
      </c>
      <c r="G1707" s="8"/>
    </row>
    <row r="1708">
      <c r="A1708" s="4">
        <v>43541.95871013889</v>
      </c>
      <c r="B1708" s="5">
        <v>43542.2503443981</v>
      </c>
      <c r="C1708" s="6">
        <v>1.034</v>
      </c>
      <c r="D1708" s="6">
        <v>67.0</v>
      </c>
      <c r="E1708" s="7" t="s">
        <v>7</v>
      </c>
      <c r="F1708" s="7" t="s">
        <v>8</v>
      </c>
      <c r="G1708" s="8"/>
    </row>
    <row r="1709">
      <c r="A1709" s="4">
        <v>43541.96920440972</v>
      </c>
      <c r="B1709" s="5">
        <v>43542.2608340856</v>
      </c>
      <c r="C1709" s="6">
        <v>1.034</v>
      </c>
      <c r="D1709" s="6">
        <v>67.0</v>
      </c>
      <c r="E1709" s="7" t="s">
        <v>7</v>
      </c>
      <c r="F1709" s="7" t="s">
        <v>8</v>
      </c>
      <c r="G1709" s="8"/>
    </row>
    <row r="1710">
      <c r="A1710" s="4">
        <v>43541.97963100694</v>
      </c>
      <c r="B1710" s="5">
        <v>43542.271267118</v>
      </c>
      <c r="C1710" s="6">
        <v>1.034</v>
      </c>
      <c r="D1710" s="6">
        <v>67.0</v>
      </c>
      <c r="E1710" s="7" t="s">
        <v>7</v>
      </c>
      <c r="F1710" s="7" t="s">
        <v>8</v>
      </c>
      <c r="G1710" s="8"/>
    </row>
    <row r="1711">
      <c r="A1711" s="4">
        <v>43541.990048796295</v>
      </c>
      <c r="B1711" s="5">
        <v>43542.281689375</v>
      </c>
      <c r="C1711" s="6">
        <v>1.034</v>
      </c>
      <c r="D1711" s="6">
        <v>67.0</v>
      </c>
      <c r="E1711" s="7" t="s">
        <v>7</v>
      </c>
      <c r="F1711" s="7" t="s">
        <v>8</v>
      </c>
      <c r="G1711" s="8"/>
    </row>
    <row r="1712">
      <c r="A1712" s="4">
        <v>43542.00047944444</v>
      </c>
      <c r="B1712" s="5">
        <v>43542.2921094675</v>
      </c>
      <c r="C1712" s="6">
        <v>1.034</v>
      </c>
      <c r="D1712" s="6">
        <v>67.0</v>
      </c>
      <c r="E1712" s="7" t="s">
        <v>7</v>
      </c>
      <c r="F1712" s="7" t="s">
        <v>8</v>
      </c>
      <c r="G1712" s="8"/>
    </row>
    <row r="1713">
      <c r="A1713" s="4">
        <v>43542.010909386576</v>
      </c>
      <c r="B1713" s="5">
        <v>43542.3025429513</v>
      </c>
      <c r="C1713" s="6">
        <v>1.034</v>
      </c>
      <c r="D1713" s="6">
        <v>67.0</v>
      </c>
      <c r="E1713" s="7" t="s">
        <v>7</v>
      </c>
      <c r="F1713" s="7" t="s">
        <v>8</v>
      </c>
      <c r="G1713" s="8"/>
    </row>
    <row r="1714">
      <c r="A1714" s="4">
        <v>43542.02135681713</v>
      </c>
      <c r="B1714" s="5">
        <v>43542.3129875</v>
      </c>
      <c r="C1714" s="6">
        <v>1.034</v>
      </c>
      <c r="D1714" s="6">
        <v>67.0</v>
      </c>
      <c r="E1714" s="7" t="s">
        <v>7</v>
      </c>
      <c r="F1714" s="7" t="s">
        <v>8</v>
      </c>
      <c r="G1714" s="8"/>
    </row>
    <row r="1715">
      <c r="A1715" s="4">
        <v>43542.03177611111</v>
      </c>
      <c r="B1715" s="5">
        <v>43542.3234096296</v>
      </c>
      <c r="C1715" s="6">
        <v>1.034</v>
      </c>
      <c r="D1715" s="6">
        <v>67.0</v>
      </c>
      <c r="E1715" s="7" t="s">
        <v>7</v>
      </c>
      <c r="F1715" s="7" t="s">
        <v>8</v>
      </c>
      <c r="G1715" s="8"/>
    </row>
    <row r="1716">
      <c r="A1716" s="4">
        <v>43542.0421925</v>
      </c>
      <c r="B1716" s="5">
        <v>43542.3338290046</v>
      </c>
      <c r="C1716" s="6">
        <v>1.034</v>
      </c>
      <c r="D1716" s="6">
        <v>67.0</v>
      </c>
      <c r="E1716" s="7" t="s">
        <v>7</v>
      </c>
      <c r="F1716" s="7" t="s">
        <v>8</v>
      </c>
      <c r="G1716" s="8"/>
    </row>
    <row r="1717">
      <c r="A1717" s="4">
        <v>43542.0526471875</v>
      </c>
      <c r="B1717" s="5">
        <v>43542.344272743</v>
      </c>
      <c r="C1717" s="6">
        <v>1.034</v>
      </c>
      <c r="D1717" s="6">
        <v>66.0</v>
      </c>
      <c r="E1717" s="7" t="s">
        <v>7</v>
      </c>
      <c r="F1717" s="7" t="s">
        <v>8</v>
      </c>
      <c r="G1717" s="8"/>
    </row>
    <row r="1718">
      <c r="A1718" s="4">
        <v>43542.06307613426</v>
      </c>
      <c r="B1718" s="5">
        <v>43542.3547043865</v>
      </c>
      <c r="C1718" s="6">
        <v>1.034</v>
      </c>
      <c r="D1718" s="6">
        <v>66.0</v>
      </c>
      <c r="E1718" s="7" t="s">
        <v>7</v>
      </c>
      <c r="F1718" s="7" t="s">
        <v>8</v>
      </c>
      <c r="G1718" s="8"/>
    </row>
    <row r="1719">
      <c r="A1719" s="4">
        <v>43542.07351041667</v>
      </c>
      <c r="B1719" s="5">
        <v>43542.3651502777</v>
      </c>
      <c r="C1719" s="6">
        <v>1.034</v>
      </c>
      <c r="D1719" s="6">
        <v>66.0</v>
      </c>
      <c r="E1719" s="7" t="s">
        <v>7</v>
      </c>
      <c r="F1719" s="7" t="s">
        <v>8</v>
      </c>
      <c r="G1719" s="8"/>
    </row>
    <row r="1720">
      <c r="A1720" s="4">
        <v>43542.08395759259</v>
      </c>
      <c r="B1720" s="5">
        <v>43542.3755932638</v>
      </c>
      <c r="C1720" s="6">
        <v>1.034</v>
      </c>
      <c r="D1720" s="6">
        <v>66.0</v>
      </c>
      <c r="E1720" s="7" t="s">
        <v>7</v>
      </c>
      <c r="F1720" s="7" t="s">
        <v>8</v>
      </c>
      <c r="G1720" s="8"/>
    </row>
    <row r="1721">
      <c r="A1721" s="4">
        <v>43542.09438578704</v>
      </c>
      <c r="B1721" s="5">
        <v>43542.3860242129</v>
      </c>
      <c r="C1721" s="6">
        <v>1.034</v>
      </c>
      <c r="D1721" s="6">
        <v>66.0</v>
      </c>
      <c r="E1721" s="7" t="s">
        <v>7</v>
      </c>
      <c r="F1721" s="7" t="s">
        <v>8</v>
      </c>
      <c r="G1721" s="8"/>
    </row>
    <row r="1722">
      <c r="A1722" s="4">
        <v>43542.10482422454</v>
      </c>
      <c r="B1722" s="5">
        <v>43542.3964581365</v>
      </c>
      <c r="C1722" s="6">
        <v>1.034</v>
      </c>
      <c r="D1722" s="6">
        <v>66.0</v>
      </c>
      <c r="E1722" s="7" t="s">
        <v>7</v>
      </c>
      <c r="F1722" s="7" t="s">
        <v>8</v>
      </c>
      <c r="G1722" s="8"/>
    </row>
    <row r="1723">
      <c r="A1723" s="4">
        <v>43542.1153500463</v>
      </c>
      <c r="B1723" s="5">
        <v>43542.4069737847</v>
      </c>
      <c r="C1723" s="6">
        <v>1.034</v>
      </c>
      <c r="D1723" s="6">
        <v>66.0</v>
      </c>
      <c r="E1723" s="7" t="s">
        <v>7</v>
      </c>
      <c r="F1723" s="7" t="s">
        <v>8</v>
      </c>
      <c r="G1723" s="8"/>
    </row>
    <row r="1724">
      <c r="A1724" s="4">
        <v>43542.12578619213</v>
      </c>
      <c r="B1724" s="5">
        <v>43542.4174173148</v>
      </c>
      <c r="C1724" s="6">
        <v>1.034</v>
      </c>
      <c r="D1724" s="6">
        <v>66.0</v>
      </c>
      <c r="E1724" s="7" t="s">
        <v>7</v>
      </c>
      <c r="F1724" s="7" t="s">
        <v>8</v>
      </c>
      <c r="G1724" s="8"/>
    </row>
    <row r="1725">
      <c r="A1725" s="4">
        <v>43542.13621329861</v>
      </c>
      <c r="B1725" s="5">
        <v>43542.4278498958</v>
      </c>
      <c r="C1725" s="6">
        <v>1.034</v>
      </c>
      <c r="D1725" s="6">
        <v>66.0</v>
      </c>
      <c r="E1725" s="7" t="s">
        <v>7</v>
      </c>
      <c r="F1725" s="7" t="s">
        <v>8</v>
      </c>
      <c r="G1725" s="8"/>
    </row>
    <row r="1726">
      <c r="A1726" s="4">
        <v>43542.14665505787</v>
      </c>
      <c r="B1726" s="5">
        <v>43542.4382840625</v>
      </c>
      <c r="C1726" s="6">
        <v>1.034</v>
      </c>
      <c r="D1726" s="6">
        <v>66.0</v>
      </c>
      <c r="E1726" s="7" t="s">
        <v>7</v>
      </c>
      <c r="F1726" s="7" t="s">
        <v>8</v>
      </c>
      <c r="G1726" s="8"/>
    </row>
    <row r="1727">
      <c r="A1727" s="4">
        <v>43542.15707648148</v>
      </c>
      <c r="B1727" s="5">
        <v>43542.4487055439</v>
      </c>
      <c r="C1727" s="6">
        <v>1.034</v>
      </c>
      <c r="D1727" s="6">
        <v>66.0</v>
      </c>
      <c r="E1727" s="7" t="s">
        <v>7</v>
      </c>
      <c r="F1727" s="7" t="s">
        <v>8</v>
      </c>
      <c r="G1727" s="8"/>
    </row>
    <row r="1728">
      <c r="A1728" s="4">
        <v>43542.16752190972</v>
      </c>
      <c r="B1728" s="5">
        <v>43542.4591501504</v>
      </c>
      <c r="C1728" s="6">
        <v>1.034</v>
      </c>
      <c r="D1728" s="6">
        <v>66.0</v>
      </c>
      <c r="E1728" s="7" t="s">
        <v>7</v>
      </c>
      <c r="F1728" s="7" t="s">
        <v>8</v>
      </c>
      <c r="G1728" s="8"/>
    </row>
    <row r="1729">
      <c r="A1729" s="4">
        <v>43542.177937835644</v>
      </c>
      <c r="B1729" s="5">
        <v>43542.4695723726</v>
      </c>
      <c r="C1729" s="6">
        <v>1.034</v>
      </c>
      <c r="D1729" s="6">
        <v>66.0</v>
      </c>
      <c r="E1729" s="7" t="s">
        <v>7</v>
      </c>
      <c r="F1729" s="7" t="s">
        <v>8</v>
      </c>
      <c r="G1729" s="8"/>
    </row>
    <row r="1730">
      <c r="A1730" s="4">
        <v>43542.18841635417</v>
      </c>
      <c r="B1730" s="5">
        <v>43542.4800488657</v>
      </c>
      <c r="C1730" s="6">
        <v>1.034</v>
      </c>
      <c r="D1730" s="6">
        <v>66.0</v>
      </c>
      <c r="E1730" s="7" t="s">
        <v>7</v>
      </c>
      <c r="F1730" s="7" t="s">
        <v>8</v>
      </c>
      <c r="G1730" s="8"/>
    </row>
    <row r="1731">
      <c r="A1731" s="4">
        <v>43542.198870011576</v>
      </c>
      <c r="B1731" s="5">
        <v>43542.4905047106</v>
      </c>
      <c r="C1731" s="6">
        <v>1.034</v>
      </c>
      <c r="D1731" s="6">
        <v>66.0</v>
      </c>
      <c r="E1731" s="7" t="s">
        <v>7</v>
      </c>
      <c r="F1731" s="7" t="s">
        <v>8</v>
      </c>
      <c r="G1731" s="8"/>
    </row>
    <row r="1732">
      <c r="A1732" s="4">
        <v>43542.209296319445</v>
      </c>
      <c r="B1732" s="5">
        <v>43542.5009368981</v>
      </c>
      <c r="C1732" s="6">
        <v>1.034</v>
      </c>
      <c r="D1732" s="6">
        <v>66.0</v>
      </c>
      <c r="E1732" s="7" t="s">
        <v>7</v>
      </c>
      <c r="F1732" s="7" t="s">
        <v>8</v>
      </c>
      <c r="G1732" s="8"/>
    </row>
    <row r="1733">
      <c r="A1733" s="4">
        <v>43542.219735555555</v>
      </c>
      <c r="B1733" s="5">
        <v>43542.511372118</v>
      </c>
      <c r="C1733" s="6">
        <v>1.034</v>
      </c>
      <c r="D1733" s="6">
        <v>66.0</v>
      </c>
      <c r="E1733" s="7" t="s">
        <v>7</v>
      </c>
      <c r="F1733" s="7" t="s">
        <v>8</v>
      </c>
      <c r="G1733" s="8"/>
    </row>
    <row r="1734">
      <c r="A1734" s="4">
        <v>43542.23015805555</v>
      </c>
      <c r="B1734" s="5">
        <v>43542.521795162</v>
      </c>
      <c r="C1734" s="6">
        <v>1.034</v>
      </c>
      <c r="D1734" s="6">
        <v>66.0</v>
      </c>
      <c r="E1734" s="7" t="s">
        <v>7</v>
      </c>
      <c r="F1734" s="7" t="s">
        <v>8</v>
      </c>
      <c r="G1734" s="8"/>
    </row>
    <row r="1735">
      <c r="A1735" s="4">
        <v>43542.240586643515</v>
      </c>
      <c r="B1735" s="5">
        <v>43542.5322159837</v>
      </c>
      <c r="C1735" s="6">
        <v>1.034</v>
      </c>
      <c r="D1735" s="6">
        <v>66.0</v>
      </c>
      <c r="E1735" s="7" t="s">
        <v>7</v>
      </c>
      <c r="F1735" s="7" t="s">
        <v>8</v>
      </c>
      <c r="G1735" s="8"/>
    </row>
    <row r="1736">
      <c r="A1736" s="4">
        <v>43542.25101140046</v>
      </c>
      <c r="B1736" s="5">
        <v>43542.5426504166</v>
      </c>
      <c r="C1736" s="6">
        <v>1.034</v>
      </c>
      <c r="D1736" s="6">
        <v>66.0</v>
      </c>
      <c r="E1736" s="7" t="s">
        <v>7</v>
      </c>
      <c r="F1736" s="7" t="s">
        <v>8</v>
      </c>
      <c r="G1736" s="8"/>
    </row>
    <row r="1737">
      <c r="A1737" s="4">
        <v>43542.26146275463</v>
      </c>
      <c r="B1737" s="5">
        <v>43542.5530970949</v>
      </c>
      <c r="C1737" s="6">
        <v>1.034</v>
      </c>
      <c r="D1737" s="6">
        <v>66.0</v>
      </c>
      <c r="E1737" s="7" t="s">
        <v>7</v>
      </c>
      <c r="F1737" s="7" t="s">
        <v>8</v>
      </c>
      <c r="G1737" s="8"/>
    </row>
    <row r="1738">
      <c r="A1738" s="4">
        <v>43542.2718865162</v>
      </c>
      <c r="B1738" s="5">
        <v>43542.5635192129</v>
      </c>
      <c r="C1738" s="6">
        <v>1.034</v>
      </c>
      <c r="D1738" s="6">
        <v>66.0</v>
      </c>
      <c r="E1738" s="7" t="s">
        <v>7</v>
      </c>
      <c r="F1738" s="7" t="s">
        <v>8</v>
      </c>
      <c r="G1738" s="8"/>
    </row>
    <row r="1739">
      <c r="A1739" s="4">
        <v>43542.28235841435</v>
      </c>
      <c r="B1739" s="5">
        <v>43542.5739877199</v>
      </c>
      <c r="C1739" s="6">
        <v>1.034</v>
      </c>
      <c r="D1739" s="6">
        <v>66.0</v>
      </c>
      <c r="E1739" s="7" t="s">
        <v>7</v>
      </c>
      <c r="F1739" s="7" t="s">
        <v>8</v>
      </c>
      <c r="G1739" s="8"/>
    </row>
    <row r="1740">
      <c r="A1740" s="4">
        <v>43542.29277533565</v>
      </c>
      <c r="B1740" s="5">
        <v>43542.5844090972</v>
      </c>
      <c r="C1740" s="6">
        <v>1.034</v>
      </c>
      <c r="D1740" s="6">
        <v>66.0</v>
      </c>
      <c r="E1740" s="7" t="s">
        <v>7</v>
      </c>
      <c r="F1740" s="7" t="s">
        <v>8</v>
      </c>
      <c r="G1740" s="8"/>
    </row>
    <row r="1741">
      <c r="A1741" s="4">
        <v>43542.30323293981</v>
      </c>
      <c r="B1741" s="5">
        <v>43542.5948656713</v>
      </c>
      <c r="C1741" s="6">
        <v>1.034</v>
      </c>
      <c r="D1741" s="6">
        <v>66.0</v>
      </c>
      <c r="E1741" s="7" t="s">
        <v>7</v>
      </c>
      <c r="F1741" s="7" t="s">
        <v>8</v>
      </c>
      <c r="G1741" s="8"/>
    </row>
    <row r="1742">
      <c r="A1742" s="4">
        <v>43542.31370039352</v>
      </c>
      <c r="B1742" s="5">
        <v>43542.6053334837</v>
      </c>
      <c r="C1742" s="6">
        <v>1.034</v>
      </c>
      <c r="D1742" s="6">
        <v>66.0</v>
      </c>
      <c r="E1742" s="7" t="s">
        <v>7</v>
      </c>
      <c r="F1742" s="7" t="s">
        <v>8</v>
      </c>
      <c r="G1742" s="8"/>
    </row>
    <row r="1743">
      <c r="A1743" s="4">
        <v>43542.32413837963</v>
      </c>
      <c r="B1743" s="5">
        <v>43542.615767037</v>
      </c>
      <c r="C1743" s="6">
        <v>1.034</v>
      </c>
      <c r="D1743" s="6">
        <v>66.0</v>
      </c>
      <c r="E1743" s="7" t="s">
        <v>7</v>
      </c>
      <c r="F1743" s="7" t="s">
        <v>8</v>
      </c>
      <c r="G1743" s="8"/>
    </row>
    <row r="1744">
      <c r="A1744" s="4">
        <v>43542.33456895834</v>
      </c>
      <c r="B1744" s="5">
        <v>43542.6262010416</v>
      </c>
      <c r="C1744" s="6">
        <v>1.034</v>
      </c>
      <c r="D1744" s="6">
        <v>66.0</v>
      </c>
      <c r="E1744" s="7" t="s">
        <v>7</v>
      </c>
      <c r="F1744" s="7" t="s">
        <v>8</v>
      </c>
      <c r="G1744" s="8"/>
    </row>
    <row r="1745">
      <c r="A1745" s="4">
        <v>43542.34500944444</v>
      </c>
      <c r="B1745" s="5">
        <v>43542.6366456713</v>
      </c>
      <c r="C1745" s="6">
        <v>1.034</v>
      </c>
      <c r="D1745" s="6">
        <v>66.0</v>
      </c>
      <c r="E1745" s="7" t="s">
        <v>7</v>
      </c>
      <c r="F1745" s="7" t="s">
        <v>8</v>
      </c>
      <c r="G1745" s="8"/>
    </row>
    <row r="1746">
      <c r="A1746" s="4">
        <v>43542.35544185185</v>
      </c>
      <c r="B1746" s="5">
        <v>43542.6470789583</v>
      </c>
      <c r="C1746" s="6">
        <v>1.034</v>
      </c>
      <c r="D1746" s="6">
        <v>66.0</v>
      </c>
      <c r="E1746" s="7" t="s">
        <v>7</v>
      </c>
      <c r="F1746" s="7" t="s">
        <v>8</v>
      </c>
      <c r="G1746" s="8"/>
    </row>
    <row r="1747">
      <c r="A1747" s="4">
        <v>43542.365893229166</v>
      </c>
      <c r="B1747" s="5">
        <v>43542.6575358564</v>
      </c>
      <c r="C1747" s="6">
        <v>1.034</v>
      </c>
      <c r="D1747" s="6">
        <v>66.0</v>
      </c>
      <c r="E1747" s="7" t="s">
        <v>7</v>
      </c>
      <c r="F1747" s="7" t="s">
        <v>8</v>
      </c>
      <c r="G1747" s="8"/>
    </row>
    <row r="1748">
      <c r="A1748" s="4">
        <v>43542.37637774306</v>
      </c>
      <c r="B1748" s="5">
        <v>43542.6680141088</v>
      </c>
      <c r="C1748" s="6">
        <v>1.034</v>
      </c>
      <c r="D1748" s="6">
        <v>66.0</v>
      </c>
      <c r="E1748" s="7" t="s">
        <v>7</v>
      </c>
      <c r="F1748" s="7" t="s">
        <v>8</v>
      </c>
      <c r="G1748" s="8"/>
    </row>
    <row r="1749">
      <c r="A1749" s="4">
        <v>43542.38686938657</v>
      </c>
      <c r="B1749" s="5">
        <v>43542.6784354282</v>
      </c>
      <c r="C1749" s="6">
        <v>1.034</v>
      </c>
      <c r="D1749" s="6">
        <v>66.0</v>
      </c>
      <c r="E1749" s="7" t="s">
        <v>7</v>
      </c>
      <c r="F1749" s="7" t="s">
        <v>8</v>
      </c>
      <c r="G1749" s="8"/>
    </row>
    <row r="1750">
      <c r="A1750" s="4">
        <v>43542.397232256946</v>
      </c>
      <c r="B1750" s="5">
        <v>43542.6888699768</v>
      </c>
      <c r="C1750" s="6">
        <v>1.034</v>
      </c>
      <c r="D1750" s="6">
        <v>66.0</v>
      </c>
      <c r="E1750" s="7" t="s">
        <v>7</v>
      </c>
      <c r="F1750" s="7" t="s">
        <v>8</v>
      </c>
      <c r="G1750" s="8"/>
    </row>
    <row r="1751">
      <c r="A1751" s="4">
        <v>43542.40769364583</v>
      </c>
      <c r="B1751" s="5">
        <v>43542.69933728</v>
      </c>
      <c r="C1751" s="6">
        <v>1.034</v>
      </c>
      <c r="D1751" s="6">
        <v>66.0</v>
      </c>
      <c r="E1751" s="7" t="s">
        <v>7</v>
      </c>
      <c r="F1751" s="7" t="s">
        <v>8</v>
      </c>
      <c r="G1751" s="8"/>
    </row>
    <row r="1752">
      <c r="A1752" s="4">
        <v>43542.41814045139</v>
      </c>
      <c r="B1752" s="5">
        <v>43542.7097692824</v>
      </c>
      <c r="C1752" s="6">
        <v>1.034</v>
      </c>
      <c r="D1752" s="6">
        <v>66.0</v>
      </c>
      <c r="E1752" s="7" t="s">
        <v>7</v>
      </c>
      <c r="F1752" s="7" t="s">
        <v>8</v>
      </c>
      <c r="G1752" s="8"/>
    </row>
    <row r="1753">
      <c r="A1753" s="4">
        <v>43542.42861307871</v>
      </c>
      <c r="B1753" s="5">
        <v>43542.7202482523</v>
      </c>
      <c r="C1753" s="6">
        <v>1.034</v>
      </c>
      <c r="D1753" s="6">
        <v>66.0</v>
      </c>
      <c r="E1753" s="7" t="s">
        <v>7</v>
      </c>
      <c r="F1753" s="7" t="s">
        <v>8</v>
      </c>
      <c r="G1753" s="8"/>
    </row>
    <row r="1754">
      <c r="A1754" s="4">
        <v>43542.43911918982</v>
      </c>
      <c r="B1754" s="5">
        <v>43542.730706331</v>
      </c>
      <c r="C1754" s="6">
        <v>1.034</v>
      </c>
      <c r="D1754" s="6">
        <v>66.0</v>
      </c>
      <c r="E1754" s="7" t="s">
        <v>7</v>
      </c>
      <c r="F1754" s="7" t="s">
        <v>8</v>
      </c>
      <c r="G1754" s="8"/>
    </row>
    <row r="1755">
      <c r="A1755" s="4">
        <v>43542.44952894676</v>
      </c>
      <c r="B1755" s="5">
        <v>43542.7411626851</v>
      </c>
      <c r="C1755" s="6">
        <v>1.034</v>
      </c>
      <c r="D1755" s="6">
        <v>66.0</v>
      </c>
      <c r="E1755" s="7" t="s">
        <v>7</v>
      </c>
      <c r="F1755" s="7" t="s">
        <v>8</v>
      </c>
      <c r="G1755" s="8"/>
    </row>
    <row r="1756">
      <c r="A1756" s="4">
        <v>43542.45998295139</v>
      </c>
      <c r="B1756" s="5">
        <v>43542.7516166087</v>
      </c>
      <c r="C1756" s="6">
        <v>1.034</v>
      </c>
      <c r="D1756" s="6">
        <v>66.0</v>
      </c>
      <c r="E1756" s="7" t="s">
        <v>7</v>
      </c>
      <c r="F1756" s="7" t="s">
        <v>8</v>
      </c>
      <c r="G1756" s="8"/>
    </row>
    <row r="1757">
      <c r="A1757" s="4">
        <v>43542.470423692124</v>
      </c>
      <c r="B1757" s="5">
        <v>43542.7620492592</v>
      </c>
      <c r="C1757" s="6">
        <v>1.034</v>
      </c>
      <c r="D1757" s="6">
        <v>66.0</v>
      </c>
      <c r="E1757" s="7" t="s">
        <v>7</v>
      </c>
      <c r="F1757" s="7" t="s">
        <v>8</v>
      </c>
      <c r="G1757" s="8"/>
    </row>
    <row r="1758">
      <c r="A1758" s="4">
        <v>43542.48084506944</v>
      </c>
      <c r="B1758" s="5">
        <v>43542.7724815277</v>
      </c>
      <c r="C1758" s="6">
        <v>1.034</v>
      </c>
      <c r="D1758" s="6">
        <v>66.0</v>
      </c>
      <c r="E1758" s="7" t="s">
        <v>7</v>
      </c>
      <c r="F1758" s="7" t="s">
        <v>8</v>
      </c>
      <c r="G1758" s="8"/>
    </row>
    <row r="1759">
      <c r="A1759" s="4">
        <v>43542.49126409722</v>
      </c>
      <c r="B1759" s="5">
        <v>43542.7829030902</v>
      </c>
      <c r="C1759" s="6">
        <v>1.034</v>
      </c>
      <c r="D1759" s="6">
        <v>66.0</v>
      </c>
      <c r="E1759" s="7" t="s">
        <v>7</v>
      </c>
      <c r="F1759" s="7" t="s">
        <v>8</v>
      </c>
      <c r="G1759" s="8"/>
    </row>
    <row r="1760">
      <c r="A1760" s="4">
        <v>43542.50169884259</v>
      </c>
      <c r="B1760" s="5">
        <v>43542.7933340046</v>
      </c>
      <c r="C1760" s="6">
        <v>1.034</v>
      </c>
      <c r="D1760" s="6">
        <v>66.0</v>
      </c>
      <c r="E1760" s="7" t="s">
        <v>7</v>
      </c>
      <c r="F1760" s="7" t="s">
        <v>8</v>
      </c>
      <c r="G1760" s="8"/>
    </row>
    <row r="1761">
      <c r="A1761" s="4">
        <v>43542.51218361111</v>
      </c>
      <c r="B1761" s="5">
        <v>43542.8037545254</v>
      </c>
      <c r="C1761" s="6">
        <v>1.034</v>
      </c>
      <c r="D1761" s="6">
        <v>66.0</v>
      </c>
      <c r="E1761" s="7" t="s">
        <v>7</v>
      </c>
      <c r="F1761" s="7" t="s">
        <v>8</v>
      </c>
      <c r="G1761" s="8"/>
    </row>
    <row r="1762">
      <c r="A1762" s="4">
        <v>43542.52253987268</v>
      </c>
      <c r="B1762" s="5">
        <v>43542.8141764583</v>
      </c>
      <c r="C1762" s="6">
        <v>1.034</v>
      </c>
      <c r="D1762" s="6">
        <v>66.0</v>
      </c>
      <c r="E1762" s="7" t="s">
        <v>7</v>
      </c>
      <c r="F1762" s="7" t="s">
        <v>8</v>
      </c>
      <c r="G1762" s="8"/>
    </row>
    <row r="1763">
      <c r="A1763" s="4">
        <v>43542.53296199074</v>
      </c>
      <c r="B1763" s="5">
        <v>43542.824597824</v>
      </c>
      <c r="C1763" s="6">
        <v>1.034</v>
      </c>
      <c r="D1763" s="6">
        <v>66.0</v>
      </c>
      <c r="E1763" s="7" t="s">
        <v>7</v>
      </c>
      <c r="F1763" s="7" t="s">
        <v>8</v>
      </c>
      <c r="G1763" s="8"/>
    </row>
    <row r="1764">
      <c r="A1764" s="4">
        <v>43542.54341079861</v>
      </c>
      <c r="B1764" s="5">
        <v>43542.8350418865</v>
      </c>
      <c r="C1764" s="6">
        <v>1.034</v>
      </c>
      <c r="D1764" s="6">
        <v>66.0</v>
      </c>
      <c r="E1764" s="7" t="s">
        <v>7</v>
      </c>
      <c r="F1764" s="7" t="s">
        <v>8</v>
      </c>
      <c r="G1764" s="8"/>
    </row>
    <row r="1765">
      <c r="A1765" s="4">
        <v>43542.553910937495</v>
      </c>
      <c r="B1765" s="5">
        <v>43542.8454746527</v>
      </c>
      <c r="C1765" s="6">
        <v>1.034</v>
      </c>
      <c r="D1765" s="6">
        <v>66.0</v>
      </c>
      <c r="E1765" s="7" t="s">
        <v>7</v>
      </c>
      <c r="F1765" s="7" t="s">
        <v>8</v>
      </c>
      <c r="G1765" s="8"/>
    </row>
    <row r="1766">
      <c r="A1766" s="4">
        <v>43542.5642803588</v>
      </c>
      <c r="B1766" s="5">
        <v>43542.855908831</v>
      </c>
      <c r="C1766" s="6">
        <v>1.034</v>
      </c>
      <c r="D1766" s="6">
        <v>66.0</v>
      </c>
      <c r="E1766" s="7" t="s">
        <v>7</v>
      </c>
      <c r="F1766" s="7" t="s">
        <v>8</v>
      </c>
      <c r="G1766" s="8"/>
    </row>
    <row r="1767">
      <c r="A1767" s="4">
        <v>43542.57473980324</v>
      </c>
      <c r="B1767" s="5">
        <v>43542.8663755439</v>
      </c>
      <c r="C1767" s="6">
        <v>1.034</v>
      </c>
      <c r="D1767" s="6">
        <v>66.0</v>
      </c>
      <c r="E1767" s="7" t="s">
        <v>7</v>
      </c>
      <c r="F1767" s="7" t="s">
        <v>8</v>
      </c>
      <c r="G1767" s="8"/>
    </row>
    <row r="1768">
      <c r="A1768" s="4">
        <v>43542.58517697916</v>
      </c>
      <c r="B1768" s="5">
        <v>43542.8767950115</v>
      </c>
      <c r="C1768" s="6">
        <v>1.034</v>
      </c>
      <c r="D1768" s="6">
        <v>66.0</v>
      </c>
      <c r="E1768" s="7" t="s">
        <v>7</v>
      </c>
      <c r="F1768" s="7" t="s">
        <v>8</v>
      </c>
      <c r="G1768" s="8"/>
    </row>
    <row r="1769">
      <c r="A1769" s="4">
        <v>43542.59558137732</v>
      </c>
      <c r="B1769" s="5">
        <v>43542.8872154976</v>
      </c>
      <c r="C1769" s="6">
        <v>1.033</v>
      </c>
      <c r="D1769" s="6">
        <v>66.0</v>
      </c>
      <c r="E1769" s="7" t="s">
        <v>7</v>
      </c>
      <c r="F1769" s="7" t="s">
        <v>8</v>
      </c>
      <c r="G1769" s="8"/>
    </row>
    <row r="1770">
      <c r="A1770" s="4">
        <v>43542.60599946759</v>
      </c>
      <c r="B1770" s="5">
        <v>43542.897636875</v>
      </c>
      <c r="C1770" s="6">
        <v>1.034</v>
      </c>
      <c r="D1770" s="6">
        <v>66.0</v>
      </c>
      <c r="E1770" s="7" t="s">
        <v>7</v>
      </c>
      <c r="F1770" s="7" t="s">
        <v>8</v>
      </c>
      <c r="G1770" s="8"/>
    </row>
    <row r="1771">
      <c r="A1771" s="4">
        <v>43542.61642476852</v>
      </c>
      <c r="B1771" s="5">
        <v>43542.9080568287</v>
      </c>
      <c r="C1771" s="6">
        <v>1.033</v>
      </c>
      <c r="D1771" s="6">
        <v>66.0</v>
      </c>
      <c r="E1771" s="7" t="s">
        <v>7</v>
      </c>
      <c r="F1771" s="7" t="s">
        <v>8</v>
      </c>
      <c r="G1771" s="8"/>
    </row>
    <row r="1772">
      <c r="A1772" s="4">
        <v>43542.62686275463</v>
      </c>
      <c r="B1772" s="5">
        <v>43542.9184902199</v>
      </c>
      <c r="C1772" s="6">
        <v>1.034</v>
      </c>
      <c r="D1772" s="6">
        <v>66.0</v>
      </c>
      <c r="E1772" s="7" t="s">
        <v>7</v>
      </c>
      <c r="F1772" s="7" t="s">
        <v>8</v>
      </c>
      <c r="G1772" s="8"/>
    </row>
    <row r="1773">
      <c r="A1773" s="4">
        <v>43542.63728265047</v>
      </c>
      <c r="B1773" s="5">
        <v>43542.9289113888</v>
      </c>
      <c r="C1773" s="6">
        <v>1.034</v>
      </c>
      <c r="D1773" s="6">
        <v>66.0</v>
      </c>
      <c r="E1773" s="7" t="s">
        <v>7</v>
      </c>
      <c r="F1773" s="7" t="s">
        <v>8</v>
      </c>
      <c r="G1773" s="8"/>
    </row>
    <row r="1774">
      <c r="A1774" s="4">
        <v>43542.64775287037</v>
      </c>
      <c r="B1774" s="5">
        <v>43542.9393787615</v>
      </c>
      <c r="C1774" s="6">
        <v>1.034</v>
      </c>
      <c r="D1774" s="6">
        <v>66.0</v>
      </c>
      <c r="E1774" s="7" t="s">
        <v>7</v>
      </c>
      <c r="F1774" s="7" t="s">
        <v>8</v>
      </c>
      <c r="G1774" s="8"/>
    </row>
    <row r="1775">
      <c r="A1775" s="4">
        <v>43542.6581816088</v>
      </c>
      <c r="B1775" s="5">
        <v>43542.9498132638</v>
      </c>
      <c r="C1775" s="6">
        <v>1.033</v>
      </c>
      <c r="D1775" s="6">
        <v>66.0</v>
      </c>
      <c r="E1775" s="7" t="s">
        <v>7</v>
      </c>
      <c r="F1775" s="7" t="s">
        <v>8</v>
      </c>
      <c r="G1775" s="8"/>
    </row>
    <row r="1776">
      <c r="A1776" s="4">
        <v>43542.66862141204</v>
      </c>
      <c r="B1776" s="5">
        <v>43542.9602589699</v>
      </c>
      <c r="C1776" s="6">
        <v>1.033</v>
      </c>
      <c r="D1776" s="6">
        <v>66.0</v>
      </c>
      <c r="E1776" s="7" t="s">
        <v>7</v>
      </c>
      <c r="F1776" s="7" t="s">
        <v>8</v>
      </c>
      <c r="G1776" s="8"/>
    </row>
    <row r="1777">
      <c r="A1777" s="4">
        <v>43542.679086585646</v>
      </c>
      <c r="B1777" s="5">
        <v>43542.9707155208</v>
      </c>
      <c r="C1777" s="6">
        <v>1.033</v>
      </c>
      <c r="D1777" s="6">
        <v>66.0</v>
      </c>
      <c r="E1777" s="7" t="s">
        <v>7</v>
      </c>
      <c r="F1777" s="7" t="s">
        <v>8</v>
      </c>
      <c r="G1777" s="8"/>
    </row>
    <row r="1778">
      <c r="A1778" s="4">
        <v>43542.689516875005</v>
      </c>
      <c r="B1778" s="5">
        <v>43542.981147905</v>
      </c>
      <c r="C1778" s="6">
        <v>1.033</v>
      </c>
      <c r="D1778" s="6">
        <v>66.0</v>
      </c>
      <c r="E1778" s="7" t="s">
        <v>7</v>
      </c>
      <c r="F1778" s="7" t="s">
        <v>8</v>
      </c>
      <c r="G1778" s="8"/>
    </row>
    <row r="1779">
      <c r="A1779" s="4">
        <v>43542.699930497685</v>
      </c>
      <c r="B1779" s="5">
        <v>43542.991569699</v>
      </c>
      <c r="C1779" s="6">
        <v>1.034</v>
      </c>
      <c r="D1779" s="6">
        <v>66.0</v>
      </c>
      <c r="E1779" s="7" t="s">
        <v>7</v>
      </c>
      <c r="F1779" s="7" t="s">
        <v>8</v>
      </c>
      <c r="G1779" s="8"/>
    </row>
    <row r="1780">
      <c r="A1780" s="4">
        <v>43542.710411631946</v>
      </c>
      <c r="B1780" s="5">
        <v>43543.0019892361</v>
      </c>
      <c r="C1780" s="6">
        <v>1.033</v>
      </c>
      <c r="D1780" s="6">
        <v>66.0</v>
      </c>
      <c r="E1780" s="7" t="s">
        <v>7</v>
      </c>
      <c r="F1780" s="7" t="s">
        <v>8</v>
      </c>
      <c r="G1780" s="8"/>
    </row>
    <row r="1781">
      <c r="A1781" s="4">
        <v>43542.72077490741</v>
      </c>
      <c r="B1781" s="5">
        <v>43543.012409699</v>
      </c>
      <c r="C1781" s="6">
        <v>1.033</v>
      </c>
      <c r="D1781" s="6">
        <v>66.0</v>
      </c>
      <c r="E1781" s="7" t="s">
        <v>7</v>
      </c>
      <c r="F1781" s="7" t="s">
        <v>8</v>
      </c>
      <c r="G1781" s="8"/>
    </row>
    <row r="1782">
      <c r="A1782" s="4">
        <v>43542.731209108795</v>
      </c>
      <c r="B1782" s="5">
        <v>43543.0228425694</v>
      </c>
      <c r="C1782" s="6">
        <v>1.033</v>
      </c>
      <c r="D1782" s="6">
        <v>66.0</v>
      </c>
      <c r="E1782" s="7" t="s">
        <v>7</v>
      </c>
      <c r="F1782" s="7" t="s">
        <v>8</v>
      </c>
      <c r="G1782" s="8"/>
    </row>
    <row r="1783">
      <c r="A1783" s="4">
        <v>43542.74166042824</v>
      </c>
      <c r="B1783" s="5">
        <v>43543.0332861805</v>
      </c>
      <c r="C1783" s="6">
        <v>1.033</v>
      </c>
      <c r="D1783" s="6">
        <v>67.0</v>
      </c>
      <c r="E1783" s="7" t="s">
        <v>7</v>
      </c>
      <c r="F1783" s="7" t="s">
        <v>8</v>
      </c>
      <c r="G1783" s="8"/>
    </row>
    <row r="1784">
      <c r="A1784" s="4">
        <v>43542.75207854167</v>
      </c>
      <c r="B1784" s="5">
        <v>43543.043707662</v>
      </c>
      <c r="C1784" s="6">
        <v>1.033</v>
      </c>
      <c r="D1784" s="6">
        <v>66.0</v>
      </c>
      <c r="E1784" s="7" t="s">
        <v>7</v>
      </c>
      <c r="F1784" s="7" t="s">
        <v>8</v>
      </c>
      <c r="G1784" s="8"/>
    </row>
    <row r="1785">
      <c r="A1785" s="4">
        <v>43542.762498634256</v>
      </c>
      <c r="B1785" s="5">
        <v>43543.0541305439</v>
      </c>
      <c r="C1785" s="6">
        <v>1.033</v>
      </c>
      <c r="D1785" s="6">
        <v>67.0</v>
      </c>
      <c r="E1785" s="7" t="s">
        <v>7</v>
      </c>
      <c r="F1785" s="7" t="s">
        <v>8</v>
      </c>
      <c r="G1785" s="8"/>
    </row>
    <row r="1786">
      <c r="A1786" s="4">
        <v>43542.77292761574</v>
      </c>
      <c r="B1786" s="5">
        <v>43543.0645613541</v>
      </c>
      <c r="C1786" s="6">
        <v>1.033</v>
      </c>
      <c r="D1786" s="6">
        <v>67.0</v>
      </c>
      <c r="E1786" s="7" t="s">
        <v>7</v>
      </c>
      <c r="F1786" s="7" t="s">
        <v>8</v>
      </c>
      <c r="G1786" s="8"/>
    </row>
    <row r="1787">
      <c r="A1787" s="4">
        <v>43542.78335706019</v>
      </c>
      <c r="B1787" s="5">
        <v>43543.0749843287</v>
      </c>
      <c r="C1787" s="6">
        <v>1.033</v>
      </c>
      <c r="D1787" s="6">
        <v>67.0</v>
      </c>
      <c r="E1787" s="7" t="s">
        <v>7</v>
      </c>
      <c r="F1787" s="7" t="s">
        <v>8</v>
      </c>
      <c r="G1787" s="8"/>
    </row>
    <row r="1788">
      <c r="A1788" s="4">
        <v>43542.79382989583</v>
      </c>
      <c r="B1788" s="5">
        <v>43543.0854644328</v>
      </c>
      <c r="C1788" s="6">
        <v>1.033</v>
      </c>
      <c r="D1788" s="6">
        <v>67.0</v>
      </c>
      <c r="E1788" s="7" t="s">
        <v>7</v>
      </c>
      <c r="F1788" s="7" t="s">
        <v>8</v>
      </c>
      <c r="G1788" s="8"/>
    </row>
    <row r="1789">
      <c r="A1789" s="4">
        <v>43542.80425564815</v>
      </c>
      <c r="B1789" s="5">
        <v>43543.095885243</v>
      </c>
      <c r="C1789" s="6">
        <v>1.033</v>
      </c>
      <c r="D1789" s="6">
        <v>67.0</v>
      </c>
      <c r="E1789" s="7" t="s">
        <v>7</v>
      </c>
      <c r="F1789" s="7" t="s">
        <v>8</v>
      </c>
      <c r="G1789" s="8"/>
    </row>
    <row r="1790">
      <c r="A1790" s="4">
        <v>43542.81467734954</v>
      </c>
      <c r="B1790" s="5">
        <v>43543.1063059143</v>
      </c>
      <c r="C1790" s="6">
        <v>1.033</v>
      </c>
      <c r="D1790" s="6">
        <v>67.0</v>
      </c>
      <c r="E1790" s="7" t="s">
        <v>7</v>
      </c>
      <c r="F1790" s="7" t="s">
        <v>8</v>
      </c>
      <c r="G1790" s="8"/>
    </row>
    <row r="1791">
      <c r="A1791" s="4">
        <v>43542.82510429398</v>
      </c>
      <c r="B1791" s="5">
        <v>43543.1167281597</v>
      </c>
      <c r="C1791" s="6">
        <v>1.033</v>
      </c>
      <c r="D1791" s="6">
        <v>67.0</v>
      </c>
      <c r="E1791" s="7" t="s">
        <v>7</v>
      </c>
      <c r="F1791" s="7" t="s">
        <v>8</v>
      </c>
      <c r="G1791" s="8"/>
    </row>
    <row r="1792">
      <c r="A1792" s="4">
        <v>43542.83554378472</v>
      </c>
      <c r="B1792" s="5">
        <v>43543.1271730902</v>
      </c>
      <c r="C1792" s="6">
        <v>1.033</v>
      </c>
      <c r="D1792" s="6">
        <v>67.0</v>
      </c>
      <c r="E1792" s="7" t="s">
        <v>7</v>
      </c>
      <c r="F1792" s="7" t="s">
        <v>8</v>
      </c>
      <c r="G1792" s="8"/>
    </row>
    <row r="1793">
      <c r="A1793" s="4">
        <v>43542.845964548615</v>
      </c>
      <c r="B1793" s="5">
        <v>43543.1375937963</v>
      </c>
      <c r="C1793" s="6">
        <v>1.033</v>
      </c>
      <c r="D1793" s="6">
        <v>67.0</v>
      </c>
      <c r="E1793" s="7" t="s">
        <v>7</v>
      </c>
      <c r="F1793" s="7" t="s">
        <v>8</v>
      </c>
      <c r="G1793" s="8"/>
    </row>
    <row r="1794">
      <c r="A1794" s="4">
        <v>43542.8564100463</v>
      </c>
      <c r="B1794" s="5">
        <v>43543.1480385301</v>
      </c>
      <c r="C1794" s="6">
        <v>1.033</v>
      </c>
      <c r="D1794" s="6">
        <v>67.0</v>
      </c>
      <c r="E1794" s="7" t="s">
        <v>7</v>
      </c>
      <c r="F1794" s="7" t="s">
        <v>8</v>
      </c>
      <c r="G1794" s="8"/>
    </row>
    <row r="1795">
      <c r="A1795" s="4">
        <v>43542.86684185185</v>
      </c>
      <c r="B1795" s="5">
        <v>43543.1584714467</v>
      </c>
      <c r="C1795" s="6">
        <v>1.033</v>
      </c>
      <c r="D1795" s="6">
        <v>67.0</v>
      </c>
      <c r="E1795" s="7" t="s">
        <v>7</v>
      </c>
      <c r="F1795" s="7" t="s">
        <v>8</v>
      </c>
      <c r="G1795" s="8"/>
    </row>
    <row r="1796">
      <c r="A1796" s="4">
        <v>43542.87728335648</v>
      </c>
      <c r="B1796" s="5">
        <v>43543.16891625</v>
      </c>
      <c r="C1796" s="6">
        <v>1.033</v>
      </c>
      <c r="D1796" s="6">
        <v>67.0</v>
      </c>
      <c r="E1796" s="7" t="s">
        <v>7</v>
      </c>
      <c r="F1796" s="7" t="s">
        <v>8</v>
      </c>
      <c r="G1796" s="8"/>
    </row>
    <row r="1797">
      <c r="A1797" s="4">
        <v>43542.88773857639</v>
      </c>
      <c r="B1797" s="5">
        <v>43543.1793618402</v>
      </c>
      <c r="C1797" s="6">
        <v>1.033</v>
      </c>
      <c r="D1797" s="6">
        <v>67.0</v>
      </c>
      <c r="E1797" s="7" t="s">
        <v>7</v>
      </c>
      <c r="F1797" s="7" t="s">
        <v>8</v>
      </c>
      <c r="G1797" s="8"/>
    </row>
    <row r="1798">
      <c r="A1798" s="4">
        <v>43542.89816239583</v>
      </c>
      <c r="B1798" s="5">
        <v>43543.1897933564</v>
      </c>
      <c r="C1798" s="6">
        <v>1.033</v>
      </c>
      <c r="D1798" s="6">
        <v>67.0</v>
      </c>
      <c r="E1798" s="7" t="s">
        <v>7</v>
      </c>
      <c r="F1798" s="7" t="s">
        <v>8</v>
      </c>
      <c r="G1798" s="8"/>
    </row>
    <row r="1799">
      <c r="A1799" s="4">
        <v>43542.908591307874</v>
      </c>
      <c r="B1799" s="5">
        <v>43543.2002256712</v>
      </c>
      <c r="C1799" s="6">
        <v>1.033</v>
      </c>
      <c r="D1799" s="6">
        <v>67.0</v>
      </c>
      <c r="E1799" s="7" t="s">
        <v>7</v>
      </c>
      <c r="F1799" s="7" t="s">
        <v>8</v>
      </c>
      <c r="G1799" s="8"/>
    </row>
    <row r="1800">
      <c r="A1800" s="4">
        <v>43542.9190345949</v>
      </c>
      <c r="B1800" s="5">
        <v>43543.2106708449</v>
      </c>
      <c r="C1800" s="6">
        <v>1.033</v>
      </c>
      <c r="D1800" s="6">
        <v>67.0</v>
      </c>
      <c r="E1800" s="7" t="s">
        <v>7</v>
      </c>
      <c r="F1800" s="7" t="s">
        <v>8</v>
      </c>
      <c r="G1800" s="8"/>
    </row>
    <row r="1801">
      <c r="A1801" s="4">
        <v>43542.92945765046</v>
      </c>
      <c r="B1801" s="5">
        <v>43543.2210901041</v>
      </c>
      <c r="C1801" s="6">
        <v>1.033</v>
      </c>
      <c r="D1801" s="6">
        <v>67.0</v>
      </c>
      <c r="E1801" s="7" t="s">
        <v>7</v>
      </c>
      <c r="F1801" s="7" t="s">
        <v>8</v>
      </c>
      <c r="G1801" s="8"/>
    </row>
    <row r="1802">
      <c r="A1802" s="4">
        <v>43542.93987212963</v>
      </c>
      <c r="B1802" s="5">
        <v>43543.2315119097</v>
      </c>
      <c r="C1802" s="6">
        <v>1.033</v>
      </c>
      <c r="D1802" s="6">
        <v>67.0</v>
      </c>
      <c r="E1802" s="7" t="s">
        <v>7</v>
      </c>
      <c r="F1802" s="7" t="s">
        <v>8</v>
      </c>
      <c r="G1802" s="8"/>
    </row>
    <row r="1803">
      <c r="A1803" s="4">
        <v>43542.95030736111</v>
      </c>
      <c r="B1803" s="5">
        <v>43543.241933368</v>
      </c>
      <c r="C1803" s="6">
        <v>1.033</v>
      </c>
      <c r="D1803" s="6">
        <v>67.0</v>
      </c>
      <c r="E1803" s="7" t="s">
        <v>7</v>
      </c>
      <c r="F1803" s="7" t="s">
        <v>8</v>
      </c>
      <c r="G1803" s="8"/>
    </row>
    <row r="1804">
      <c r="A1804" s="4">
        <v>43542.960726944446</v>
      </c>
      <c r="B1804" s="5">
        <v>43543.2523555671</v>
      </c>
      <c r="C1804" s="6">
        <v>1.033</v>
      </c>
      <c r="D1804" s="6">
        <v>67.0</v>
      </c>
      <c r="E1804" s="7" t="s">
        <v>7</v>
      </c>
      <c r="F1804" s="7" t="s">
        <v>8</v>
      </c>
      <c r="G1804" s="8"/>
    </row>
    <row r="1805">
      <c r="A1805" s="4">
        <v>43542.971143703704</v>
      </c>
      <c r="B1805" s="5">
        <v>43543.2627778703</v>
      </c>
      <c r="C1805" s="6">
        <v>1.033</v>
      </c>
      <c r="D1805" s="6">
        <v>67.0</v>
      </c>
      <c r="E1805" s="7" t="s">
        <v>7</v>
      </c>
      <c r="F1805" s="7" t="s">
        <v>8</v>
      </c>
      <c r="G1805" s="8"/>
    </row>
    <row r="1806">
      <c r="A1806" s="4">
        <v>43542.98163502315</v>
      </c>
      <c r="B1806" s="5">
        <v>43543.2732680208</v>
      </c>
      <c r="C1806" s="6">
        <v>1.033</v>
      </c>
      <c r="D1806" s="6">
        <v>67.0</v>
      </c>
      <c r="E1806" s="7" t="s">
        <v>7</v>
      </c>
      <c r="F1806" s="7" t="s">
        <v>8</v>
      </c>
      <c r="G1806" s="8"/>
    </row>
    <row r="1807">
      <c r="A1807" s="4">
        <v>43542.99205681713</v>
      </c>
      <c r="B1807" s="5">
        <v>43543.2836894675</v>
      </c>
      <c r="C1807" s="6">
        <v>1.033</v>
      </c>
      <c r="D1807" s="6">
        <v>66.0</v>
      </c>
      <c r="E1807" s="7" t="s">
        <v>7</v>
      </c>
      <c r="F1807" s="7" t="s">
        <v>8</v>
      </c>
      <c r="G1807" s="8"/>
    </row>
    <row r="1808">
      <c r="A1808" s="4">
        <v>43543.00246900463</v>
      </c>
      <c r="B1808" s="5">
        <v>43543.2941112615</v>
      </c>
      <c r="C1808" s="6">
        <v>1.033</v>
      </c>
      <c r="D1808" s="6">
        <v>66.0</v>
      </c>
      <c r="E1808" s="7" t="s">
        <v>7</v>
      </c>
      <c r="F1808" s="7" t="s">
        <v>8</v>
      </c>
      <c r="G1808" s="8"/>
    </row>
    <row r="1809">
      <c r="A1809" s="4">
        <v>43543.01289100695</v>
      </c>
      <c r="B1809" s="5">
        <v>43543.3045308333</v>
      </c>
      <c r="C1809" s="6">
        <v>1.033</v>
      </c>
      <c r="D1809" s="6">
        <v>66.0</v>
      </c>
      <c r="E1809" s="7" t="s">
        <v>7</v>
      </c>
      <c r="F1809" s="7" t="s">
        <v>8</v>
      </c>
      <c r="G1809" s="8"/>
    </row>
    <row r="1810">
      <c r="A1810" s="4">
        <v>43543.02333943287</v>
      </c>
      <c r="B1810" s="5">
        <v>43543.3149749305</v>
      </c>
      <c r="C1810" s="6">
        <v>1.033</v>
      </c>
      <c r="D1810" s="6">
        <v>66.0</v>
      </c>
      <c r="E1810" s="7" t="s">
        <v>7</v>
      </c>
      <c r="F1810" s="7" t="s">
        <v>8</v>
      </c>
      <c r="G1810" s="8"/>
    </row>
    <row r="1811">
      <c r="A1811" s="4">
        <v>43543.03376733796</v>
      </c>
      <c r="B1811" s="5">
        <v>43543.3254070254</v>
      </c>
      <c r="C1811" s="6">
        <v>1.033</v>
      </c>
      <c r="D1811" s="6">
        <v>66.0</v>
      </c>
      <c r="E1811" s="7" t="s">
        <v>7</v>
      </c>
      <c r="F1811" s="7" t="s">
        <v>8</v>
      </c>
      <c r="G1811" s="8"/>
    </row>
    <row r="1812">
      <c r="A1812" s="4">
        <v>43543.04420592592</v>
      </c>
      <c r="B1812" s="5">
        <v>43543.3358412615</v>
      </c>
      <c r="C1812" s="6">
        <v>1.033</v>
      </c>
      <c r="D1812" s="6">
        <v>66.0</v>
      </c>
      <c r="E1812" s="7" t="s">
        <v>7</v>
      </c>
      <c r="F1812" s="7" t="s">
        <v>8</v>
      </c>
      <c r="G1812" s="8"/>
    </row>
    <row r="1813">
      <c r="A1813" s="4">
        <v>43543.05465100694</v>
      </c>
      <c r="B1813" s="5">
        <v>43543.3462867245</v>
      </c>
      <c r="C1813" s="6">
        <v>1.033</v>
      </c>
      <c r="D1813" s="6">
        <v>66.0</v>
      </c>
      <c r="E1813" s="7" t="s">
        <v>7</v>
      </c>
      <c r="F1813" s="7" t="s">
        <v>8</v>
      </c>
      <c r="G1813" s="8"/>
    </row>
    <row r="1814">
      <c r="A1814" s="4">
        <v>43543.06506840278</v>
      </c>
      <c r="B1814" s="5">
        <v>43543.356708449</v>
      </c>
      <c r="C1814" s="6">
        <v>1.033</v>
      </c>
      <c r="D1814" s="6">
        <v>66.0</v>
      </c>
      <c r="E1814" s="7" t="s">
        <v>7</v>
      </c>
      <c r="F1814" s="7" t="s">
        <v>8</v>
      </c>
      <c r="G1814" s="8"/>
    </row>
    <row r="1815">
      <c r="A1815" s="4">
        <v>43543.075507430556</v>
      </c>
      <c r="B1815" s="5">
        <v>43543.3671298263</v>
      </c>
      <c r="C1815" s="6">
        <v>1.033</v>
      </c>
      <c r="D1815" s="6">
        <v>66.0</v>
      </c>
      <c r="E1815" s="7" t="s">
        <v>7</v>
      </c>
      <c r="F1815" s="7" t="s">
        <v>8</v>
      </c>
      <c r="G1815" s="8"/>
    </row>
    <row r="1816">
      <c r="A1816" s="4">
        <v>43543.0859184838</v>
      </c>
      <c r="B1816" s="5">
        <v>43543.377550949</v>
      </c>
      <c r="C1816" s="6">
        <v>1.033</v>
      </c>
      <c r="D1816" s="6">
        <v>66.0</v>
      </c>
      <c r="E1816" s="7" t="s">
        <v>7</v>
      </c>
      <c r="F1816" s="7" t="s">
        <v>8</v>
      </c>
      <c r="G1816" s="8"/>
    </row>
    <row r="1817">
      <c r="A1817" s="4">
        <v>43543.0963418287</v>
      </c>
      <c r="B1817" s="5">
        <v>43543.3879718634</v>
      </c>
      <c r="C1817" s="6">
        <v>1.033</v>
      </c>
      <c r="D1817" s="6">
        <v>66.0</v>
      </c>
      <c r="E1817" s="7" t="s">
        <v>7</v>
      </c>
      <c r="F1817" s="7" t="s">
        <v>8</v>
      </c>
      <c r="G1817" s="8"/>
    </row>
    <row r="1818">
      <c r="A1818" s="4">
        <v>43543.106759120376</v>
      </c>
      <c r="B1818" s="5">
        <v>43543.398392118</v>
      </c>
      <c r="C1818" s="6">
        <v>1.033</v>
      </c>
      <c r="D1818" s="6">
        <v>66.0</v>
      </c>
      <c r="E1818" s="7" t="s">
        <v>7</v>
      </c>
      <c r="F1818" s="7" t="s">
        <v>8</v>
      </c>
      <c r="G1818" s="8"/>
    </row>
    <row r="1819">
      <c r="A1819" s="4">
        <v>43543.11718001157</v>
      </c>
      <c r="B1819" s="5">
        <v>43543.4088153009</v>
      </c>
      <c r="C1819" s="6">
        <v>1.033</v>
      </c>
      <c r="D1819" s="6">
        <v>66.0</v>
      </c>
      <c r="E1819" s="7" t="s">
        <v>7</v>
      </c>
      <c r="F1819" s="7" t="s">
        <v>8</v>
      </c>
      <c r="G1819" s="8"/>
    </row>
    <row r="1820">
      <c r="A1820" s="4">
        <v>43543.127613993056</v>
      </c>
      <c r="B1820" s="5">
        <v>43543.4192467245</v>
      </c>
      <c r="C1820" s="6">
        <v>1.033</v>
      </c>
      <c r="D1820" s="6">
        <v>66.0</v>
      </c>
      <c r="E1820" s="7" t="s">
        <v>7</v>
      </c>
      <c r="F1820" s="7" t="s">
        <v>8</v>
      </c>
      <c r="G1820" s="8"/>
    </row>
    <row r="1821">
      <c r="A1821" s="4">
        <v>43543.138030625</v>
      </c>
      <c r="B1821" s="5">
        <v>43543.4296673495</v>
      </c>
      <c r="C1821" s="6">
        <v>1.033</v>
      </c>
      <c r="D1821" s="6">
        <v>66.0</v>
      </c>
      <c r="E1821" s="7" t="s">
        <v>7</v>
      </c>
      <c r="F1821" s="7" t="s">
        <v>8</v>
      </c>
      <c r="G1821" s="8"/>
    </row>
    <row r="1822">
      <c r="A1822" s="4">
        <v>43543.148466134255</v>
      </c>
      <c r="B1822" s="5">
        <v>43543.4400892939</v>
      </c>
      <c r="C1822" s="6">
        <v>1.033</v>
      </c>
      <c r="D1822" s="6">
        <v>66.0</v>
      </c>
      <c r="E1822" s="7" t="s">
        <v>7</v>
      </c>
      <c r="F1822" s="7" t="s">
        <v>8</v>
      </c>
      <c r="G1822" s="8"/>
    </row>
    <row r="1823">
      <c r="A1823" s="4">
        <v>43543.15888945602</v>
      </c>
      <c r="B1823" s="5">
        <v>43543.4505240046</v>
      </c>
      <c r="C1823" s="6">
        <v>1.033</v>
      </c>
      <c r="D1823" s="6">
        <v>66.0</v>
      </c>
      <c r="E1823" s="7" t="s">
        <v>7</v>
      </c>
      <c r="F1823" s="7" t="s">
        <v>8</v>
      </c>
      <c r="G1823" s="8"/>
    </row>
    <row r="1824">
      <c r="A1824" s="4">
        <v>43543.169314513885</v>
      </c>
      <c r="B1824" s="5">
        <v>43543.4609451157</v>
      </c>
      <c r="C1824" s="6">
        <v>1.033</v>
      </c>
      <c r="D1824" s="6">
        <v>66.0</v>
      </c>
      <c r="E1824" s="7" t="s">
        <v>7</v>
      </c>
      <c r="F1824" s="7" t="s">
        <v>8</v>
      </c>
      <c r="G1824" s="8"/>
    </row>
    <row r="1825">
      <c r="A1825" s="4">
        <v>43543.179727002316</v>
      </c>
      <c r="B1825" s="5">
        <v>43543.4713666203</v>
      </c>
      <c r="C1825" s="6">
        <v>1.032</v>
      </c>
      <c r="D1825" s="6">
        <v>66.0</v>
      </c>
      <c r="E1825" s="7" t="s">
        <v>7</v>
      </c>
      <c r="F1825" s="7" t="s">
        <v>8</v>
      </c>
      <c r="G1825" s="8"/>
    </row>
    <row r="1826">
      <c r="A1826" s="4">
        <v>43543.19015159723</v>
      </c>
      <c r="B1826" s="5">
        <v>43543.4817878125</v>
      </c>
      <c r="C1826" s="6">
        <v>1.033</v>
      </c>
      <c r="D1826" s="6">
        <v>66.0</v>
      </c>
      <c r="E1826" s="7" t="s">
        <v>7</v>
      </c>
      <c r="F1826" s="7" t="s">
        <v>8</v>
      </c>
      <c r="G1826" s="8"/>
    </row>
    <row r="1827">
      <c r="A1827" s="4">
        <v>43543.20057408565</v>
      </c>
      <c r="B1827" s="5">
        <v>43543.4922112615</v>
      </c>
      <c r="C1827" s="6">
        <v>1.033</v>
      </c>
      <c r="D1827" s="6">
        <v>66.0</v>
      </c>
      <c r="E1827" s="7" t="s">
        <v>7</v>
      </c>
      <c r="F1827" s="7" t="s">
        <v>8</v>
      </c>
      <c r="G1827" s="8"/>
    </row>
    <row r="1828">
      <c r="A1828" s="4">
        <v>43543.21100465278</v>
      </c>
      <c r="B1828" s="5">
        <v>43543.5026337384</v>
      </c>
      <c r="C1828" s="6">
        <v>1.033</v>
      </c>
      <c r="D1828" s="6">
        <v>66.0</v>
      </c>
      <c r="E1828" s="7" t="s">
        <v>7</v>
      </c>
      <c r="F1828" s="7" t="s">
        <v>8</v>
      </c>
      <c r="G1828" s="8"/>
    </row>
    <row r="1829">
      <c r="A1829" s="4">
        <v>43543.22143068287</v>
      </c>
      <c r="B1829" s="5">
        <v>43543.5130659027</v>
      </c>
      <c r="C1829" s="6">
        <v>1.033</v>
      </c>
      <c r="D1829" s="6">
        <v>66.0</v>
      </c>
      <c r="E1829" s="7" t="s">
        <v>7</v>
      </c>
      <c r="F1829" s="7" t="s">
        <v>8</v>
      </c>
      <c r="G1829" s="8"/>
    </row>
    <row r="1830">
      <c r="A1830" s="4">
        <v>43543.23186222222</v>
      </c>
      <c r="B1830" s="5">
        <v>43543.5234873379</v>
      </c>
      <c r="C1830" s="6">
        <v>1.033</v>
      </c>
      <c r="D1830" s="6">
        <v>66.0</v>
      </c>
      <c r="E1830" s="7" t="s">
        <v>7</v>
      </c>
      <c r="F1830" s="7" t="s">
        <v>8</v>
      </c>
      <c r="G1830" s="8"/>
    </row>
    <row r="1831">
      <c r="A1831" s="4">
        <v>43543.242271400464</v>
      </c>
      <c r="B1831" s="5">
        <v>43543.5339084953</v>
      </c>
      <c r="C1831" s="6">
        <v>1.033</v>
      </c>
      <c r="D1831" s="6">
        <v>66.0</v>
      </c>
      <c r="E1831" s="7" t="s">
        <v>7</v>
      </c>
      <c r="F1831" s="7" t="s">
        <v>8</v>
      </c>
      <c r="G1831" s="8"/>
    </row>
    <row r="1832">
      <c r="A1832" s="4">
        <v>43543.25273570602</v>
      </c>
      <c r="B1832" s="5">
        <v>43543.5443651273</v>
      </c>
      <c r="C1832" s="6">
        <v>1.033</v>
      </c>
      <c r="D1832" s="6">
        <v>66.0</v>
      </c>
      <c r="E1832" s="7" t="s">
        <v>7</v>
      </c>
      <c r="F1832" s="7" t="s">
        <v>8</v>
      </c>
      <c r="G1832" s="8"/>
    </row>
    <row r="1833">
      <c r="A1833" s="4">
        <v>43543.26315734954</v>
      </c>
      <c r="B1833" s="5">
        <v>43543.5547880787</v>
      </c>
      <c r="C1833" s="6">
        <v>1.033</v>
      </c>
      <c r="D1833" s="6">
        <v>66.0</v>
      </c>
      <c r="E1833" s="7" t="s">
        <v>7</v>
      </c>
      <c r="F1833" s="7" t="s">
        <v>8</v>
      </c>
      <c r="G1833" s="8"/>
    </row>
    <row r="1834">
      <c r="A1834" s="4">
        <v>43543.27357366898</v>
      </c>
      <c r="B1834" s="5">
        <v>43543.5652092939</v>
      </c>
      <c r="C1834" s="6">
        <v>1.032</v>
      </c>
      <c r="D1834" s="6">
        <v>66.0</v>
      </c>
      <c r="E1834" s="7" t="s">
        <v>7</v>
      </c>
      <c r="F1834" s="7" t="s">
        <v>8</v>
      </c>
      <c r="G1834" s="8"/>
    </row>
    <row r="1835">
      <c r="A1835" s="4">
        <v>43543.284002824075</v>
      </c>
      <c r="B1835" s="5">
        <v>43543.5756407638</v>
      </c>
      <c r="C1835" s="6">
        <v>1.032</v>
      </c>
      <c r="D1835" s="6">
        <v>66.0</v>
      </c>
      <c r="E1835" s="7" t="s">
        <v>7</v>
      </c>
      <c r="F1835" s="7" t="s">
        <v>8</v>
      </c>
      <c r="G1835" s="8"/>
    </row>
    <row r="1836">
      <c r="A1836" s="4">
        <v>43543.29445612269</v>
      </c>
      <c r="B1836" s="5">
        <v>43543.5860962268</v>
      </c>
      <c r="C1836" s="6">
        <v>1.033</v>
      </c>
      <c r="D1836" s="6">
        <v>66.0</v>
      </c>
      <c r="E1836" s="7" t="s">
        <v>7</v>
      </c>
      <c r="F1836" s="7" t="s">
        <v>8</v>
      </c>
      <c r="G1836" s="8"/>
    </row>
    <row r="1837">
      <c r="A1837" s="4">
        <v>43543.30490806713</v>
      </c>
      <c r="B1837" s="5">
        <v>43543.5965413773</v>
      </c>
      <c r="C1837" s="6">
        <v>1.033</v>
      </c>
      <c r="D1837" s="6">
        <v>66.0</v>
      </c>
      <c r="E1837" s="7" t="s">
        <v>7</v>
      </c>
      <c r="F1837" s="7" t="s">
        <v>8</v>
      </c>
      <c r="G1837" s="8"/>
    </row>
    <row r="1838">
      <c r="A1838" s="4">
        <v>43543.315367766205</v>
      </c>
      <c r="B1838" s="5">
        <v>43543.6069976388</v>
      </c>
      <c r="C1838" s="6">
        <v>1.033</v>
      </c>
      <c r="D1838" s="6">
        <v>66.0</v>
      </c>
      <c r="E1838" s="7" t="s">
        <v>7</v>
      </c>
      <c r="F1838" s="7" t="s">
        <v>8</v>
      </c>
      <c r="G1838" s="8"/>
    </row>
    <row r="1839">
      <c r="A1839" s="4">
        <v>43543.325775300924</v>
      </c>
      <c r="B1839" s="5">
        <v>43543.6174174074</v>
      </c>
      <c r="C1839" s="6">
        <v>1.033</v>
      </c>
      <c r="D1839" s="6">
        <v>66.0</v>
      </c>
      <c r="E1839" s="7" t="s">
        <v>7</v>
      </c>
      <c r="F1839" s="7" t="s">
        <v>8</v>
      </c>
      <c r="G1839" s="8"/>
    </row>
    <row r="1840">
      <c r="A1840" s="4">
        <v>43543.33628145834</v>
      </c>
      <c r="B1840" s="5">
        <v>43543.6278945486</v>
      </c>
      <c r="C1840" s="6">
        <v>1.033</v>
      </c>
      <c r="D1840" s="6">
        <v>66.0</v>
      </c>
      <c r="E1840" s="7" t="s">
        <v>7</v>
      </c>
      <c r="F1840" s="7" t="s">
        <v>8</v>
      </c>
      <c r="G1840" s="8"/>
    </row>
    <row r="1841">
      <c r="A1841" s="4">
        <v>43543.34668858796</v>
      </c>
      <c r="B1841" s="5">
        <v>43543.6383177662</v>
      </c>
      <c r="C1841" s="6">
        <v>1.032</v>
      </c>
      <c r="D1841" s="6">
        <v>66.0</v>
      </c>
      <c r="E1841" s="7" t="s">
        <v>7</v>
      </c>
      <c r="F1841" s="7" t="s">
        <v>8</v>
      </c>
      <c r="G1841" s="8"/>
    </row>
    <row r="1842">
      <c r="A1842" s="4">
        <v>43543.35709974537</v>
      </c>
      <c r="B1842" s="5">
        <v>43543.6487393634</v>
      </c>
      <c r="C1842" s="6">
        <v>1.033</v>
      </c>
      <c r="D1842" s="6">
        <v>66.0</v>
      </c>
      <c r="E1842" s="7" t="s">
        <v>7</v>
      </c>
      <c r="F1842" s="7" t="s">
        <v>8</v>
      </c>
      <c r="G1842" s="8"/>
    </row>
    <row r="1843">
      <c r="A1843" s="4">
        <v>43543.36754366898</v>
      </c>
      <c r="B1843" s="5">
        <v>43543.6591714351</v>
      </c>
      <c r="C1843" s="6">
        <v>1.033</v>
      </c>
      <c r="D1843" s="6">
        <v>66.0</v>
      </c>
      <c r="E1843" s="7" t="s">
        <v>7</v>
      </c>
      <c r="F1843" s="7" t="s">
        <v>8</v>
      </c>
      <c r="G1843" s="8"/>
    </row>
    <row r="1844">
      <c r="A1844" s="4">
        <v>43543.37799778935</v>
      </c>
      <c r="B1844" s="5">
        <v>43543.6696290972</v>
      </c>
      <c r="C1844" s="6">
        <v>1.032</v>
      </c>
      <c r="D1844" s="6">
        <v>66.0</v>
      </c>
      <c r="E1844" s="7" t="s">
        <v>7</v>
      </c>
      <c r="F1844" s="7" t="s">
        <v>8</v>
      </c>
      <c r="G1844" s="8"/>
    </row>
    <row r="1845">
      <c r="A1845" s="4">
        <v>43543.388429074075</v>
      </c>
      <c r="B1845" s="5">
        <v>43543.680061875</v>
      </c>
      <c r="C1845" s="6">
        <v>1.032</v>
      </c>
      <c r="D1845" s="6">
        <v>66.0</v>
      </c>
      <c r="E1845" s="7" t="s">
        <v>7</v>
      </c>
      <c r="F1845" s="7" t="s">
        <v>8</v>
      </c>
      <c r="G1845" s="8"/>
    </row>
    <row r="1846">
      <c r="A1846" s="4">
        <v>43543.39885251157</v>
      </c>
      <c r="B1846" s="5">
        <v>43543.6904833217</v>
      </c>
      <c r="C1846" s="6">
        <v>1.032</v>
      </c>
      <c r="D1846" s="6">
        <v>66.0</v>
      </c>
      <c r="E1846" s="7" t="s">
        <v>7</v>
      </c>
      <c r="F1846" s="7" t="s">
        <v>8</v>
      </c>
      <c r="G1846" s="8"/>
    </row>
    <row r="1847">
      <c r="A1847" s="4">
        <v>43543.40926865741</v>
      </c>
      <c r="B1847" s="5">
        <v>43543.7009034143</v>
      </c>
      <c r="C1847" s="6">
        <v>1.032</v>
      </c>
      <c r="D1847" s="6">
        <v>66.0</v>
      </c>
      <c r="E1847" s="7" t="s">
        <v>7</v>
      </c>
      <c r="F1847" s="7" t="s">
        <v>8</v>
      </c>
      <c r="G1847" s="8"/>
    </row>
    <row r="1848">
      <c r="A1848" s="4">
        <v>43543.41970028935</v>
      </c>
      <c r="B1848" s="5">
        <v>43543.7113245023</v>
      </c>
      <c r="C1848" s="6">
        <v>1.032</v>
      </c>
      <c r="D1848" s="6">
        <v>66.0</v>
      </c>
      <c r="E1848" s="7" t="s">
        <v>7</v>
      </c>
      <c r="F1848" s="7" t="s">
        <v>8</v>
      </c>
      <c r="G1848" s="8"/>
    </row>
    <row r="1849">
      <c r="A1849" s="4">
        <v>43543.4301175</v>
      </c>
      <c r="B1849" s="5">
        <v>43543.7217465393</v>
      </c>
      <c r="C1849" s="6">
        <v>1.033</v>
      </c>
      <c r="D1849" s="6">
        <v>66.0</v>
      </c>
      <c r="E1849" s="7" t="s">
        <v>7</v>
      </c>
      <c r="F1849" s="7" t="s">
        <v>8</v>
      </c>
      <c r="G1849" s="8"/>
    </row>
    <row r="1850">
      <c r="A1850" s="4">
        <v>43543.44053393519</v>
      </c>
      <c r="B1850" s="5">
        <v>43543.7321695486</v>
      </c>
      <c r="C1850" s="6">
        <v>1.032</v>
      </c>
      <c r="D1850" s="6">
        <v>66.0</v>
      </c>
      <c r="E1850" s="7" t="s">
        <v>7</v>
      </c>
      <c r="F1850" s="7" t="s">
        <v>8</v>
      </c>
      <c r="G1850" s="8"/>
    </row>
    <row r="1851">
      <c r="A1851" s="4">
        <v>43543.45100265046</v>
      </c>
      <c r="B1851" s="5">
        <v>43543.7426375231</v>
      </c>
      <c r="C1851" s="6">
        <v>1.032</v>
      </c>
      <c r="D1851" s="6">
        <v>66.0</v>
      </c>
      <c r="E1851" s="7" t="s">
        <v>7</v>
      </c>
      <c r="F1851" s="7" t="s">
        <v>8</v>
      </c>
      <c r="G1851" s="8"/>
    </row>
    <row r="1852">
      <c r="A1852" s="4">
        <v>43543.46141819445</v>
      </c>
      <c r="B1852" s="5">
        <v>43543.7530584722</v>
      </c>
      <c r="C1852" s="6">
        <v>1.032</v>
      </c>
      <c r="D1852" s="6">
        <v>66.0</v>
      </c>
      <c r="E1852" s="7" t="s">
        <v>7</v>
      </c>
      <c r="F1852" s="7" t="s">
        <v>8</v>
      </c>
      <c r="G1852" s="8"/>
    </row>
    <row r="1853">
      <c r="A1853" s="4">
        <v>43543.47186777778</v>
      </c>
      <c r="B1853" s="5">
        <v>43543.7635016435</v>
      </c>
      <c r="C1853" s="6">
        <v>1.032</v>
      </c>
      <c r="D1853" s="6">
        <v>66.0</v>
      </c>
      <c r="E1853" s="7" t="s">
        <v>7</v>
      </c>
      <c r="F1853" s="7" t="s">
        <v>8</v>
      </c>
      <c r="G1853" s="8"/>
    </row>
    <row r="1854">
      <c r="A1854" s="4">
        <v>43543.48230379629</v>
      </c>
      <c r="B1854" s="5">
        <v>43543.7739342361</v>
      </c>
      <c r="C1854" s="6">
        <v>1.032</v>
      </c>
      <c r="D1854" s="6">
        <v>65.0</v>
      </c>
      <c r="E1854" s="7" t="s">
        <v>7</v>
      </c>
      <c r="F1854" s="7" t="s">
        <v>8</v>
      </c>
      <c r="G1854" s="8"/>
    </row>
    <row r="1855">
      <c r="A1855" s="4">
        <v>43543.49272469907</v>
      </c>
      <c r="B1855" s="5">
        <v>43543.7843537963</v>
      </c>
      <c r="C1855" s="6">
        <v>1.032</v>
      </c>
      <c r="D1855" s="6">
        <v>65.0</v>
      </c>
      <c r="E1855" s="7" t="s">
        <v>7</v>
      </c>
      <c r="F1855" s="7" t="s">
        <v>8</v>
      </c>
      <c r="G1855" s="8"/>
    </row>
    <row r="1856">
      <c r="A1856" s="4">
        <v>43543.503156226856</v>
      </c>
      <c r="B1856" s="5">
        <v>43543.794773287</v>
      </c>
      <c r="C1856" s="6">
        <v>1.032</v>
      </c>
      <c r="D1856" s="6">
        <v>65.0</v>
      </c>
      <c r="E1856" s="7" t="s">
        <v>7</v>
      </c>
      <c r="F1856" s="7" t="s">
        <v>8</v>
      </c>
      <c r="G1856" s="8"/>
    </row>
    <row r="1857">
      <c r="A1857" s="4">
        <v>43543.51358298611</v>
      </c>
      <c r="B1857" s="5">
        <v>43543.8052066435</v>
      </c>
      <c r="C1857" s="6">
        <v>1.032</v>
      </c>
      <c r="D1857" s="6">
        <v>65.0</v>
      </c>
      <c r="E1857" s="7" t="s">
        <v>7</v>
      </c>
      <c r="F1857" s="7" t="s">
        <v>8</v>
      </c>
      <c r="G1857" s="8"/>
    </row>
    <row r="1858">
      <c r="A1858" s="4">
        <v>43543.52399053241</v>
      </c>
      <c r="B1858" s="5">
        <v>43543.8156264004</v>
      </c>
      <c r="C1858" s="6">
        <v>1.032</v>
      </c>
      <c r="D1858" s="6">
        <v>65.0</v>
      </c>
      <c r="E1858" s="7" t="s">
        <v>7</v>
      </c>
      <c r="F1858" s="7" t="s">
        <v>8</v>
      </c>
      <c r="G1858" s="8"/>
    </row>
    <row r="1859">
      <c r="A1859" s="4">
        <v>43543.53441304398</v>
      </c>
      <c r="B1859" s="5">
        <v>43543.8260492476</v>
      </c>
      <c r="C1859" s="6">
        <v>1.032</v>
      </c>
      <c r="D1859" s="6">
        <v>65.0</v>
      </c>
      <c r="E1859" s="7" t="s">
        <v>7</v>
      </c>
      <c r="F1859" s="7" t="s">
        <v>8</v>
      </c>
      <c r="G1859" s="8"/>
    </row>
    <row r="1860">
      <c r="A1860" s="4">
        <v>43543.5448415162</v>
      </c>
      <c r="B1860" s="5">
        <v>43543.8364695023</v>
      </c>
      <c r="C1860" s="6">
        <v>1.032</v>
      </c>
      <c r="D1860" s="6">
        <v>65.0</v>
      </c>
      <c r="E1860" s="7" t="s">
        <v>7</v>
      </c>
      <c r="F1860" s="7" t="s">
        <v>8</v>
      </c>
      <c r="G1860" s="8"/>
    </row>
    <row r="1861">
      <c r="A1861" s="4">
        <v>43543.55526837963</v>
      </c>
      <c r="B1861" s="5">
        <v>43543.8469003703</v>
      </c>
      <c r="C1861" s="6">
        <v>1.032</v>
      </c>
      <c r="D1861" s="6">
        <v>65.0</v>
      </c>
      <c r="E1861" s="7" t="s">
        <v>7</v>
      </c>
      <c r="F1861" s="7" t="s">
        <v>8</v>
      </c>
      <c r="G1861" s="8"/>
    </row>
    <row r="1862">
      <c r="A1862" s="4">
        <v>43543.56569969907</v>
      </c>
      <c r="B1862" s="5">
        <v>43543.8573211805</v>
      </c>
      <c r="C1862" s="6">
        <v>1.032</v>
      </c>
      <c r="D1862" s="6">
        <v>65.0</v>
      </c>
      <c r="E1862" s="7" t="s">
        <v>7</v>
      </c>
      <c r="F1862" s="7" t="s">
        <v>8</v>
      </c>
      <c r="G1862" s="8"/>
    </row>
    <row r="1863">
      <c r="A1863" s="4">
        <v>43543.57615306713</v>
      </c>
      <c r="B1863" s="5">
        <v>43543.8677419097</v>
      </c>
      <c r="C1863" s="6">
        <v>1.032</v>
      </c>
      <c r="D1863" s="6">
        <v>65.0</v>
      </c>
      <c r="E1863" s="7" t="s">
        <v>7</v>
      </c>
      <c r="F1863" s="7" t="s">
        <v>8</v>
      </c>
      <c r="G1863" s="8"/>
    </row>
    <row r="1864">
      <c r="A1864" s="4">
        <v>43543.586534849535</v>
      </c>
      <c r="B1864" s="5">
        <v>43543.8781666782</v>
      </c>
      <c r="C1864" s="6">
        <v>1.032</v>
      </c>
      <c r="D1864" s="6">
        <v>65.0</v>
      </c>
      <c r="E1864" s="7" t="s">
        <v>7</v>
      </c>
      <c r="F1864" s="7" t="s">
        <v>8</v>
      </c>
      <c r="G1864" s="8"/>
    </row>
    <row r="1865">
      <c r="A1865" s="4">
        <v>43543.596956712965</v>
      </c>
      <c r="B1865" s="5">
        <v>43543.8885893518</v>
      </c>
      <c r="C1865" s="6">
        <v>1.032</v>
      </c>
      <c r="D1865" s="6">
        <v>65.0</v>
      </c>
      <c r="E1865" s="7" t="s">
        <v>7</v>
      </c>
      <c r="F1865" s="7" t="s">
        <v>8</v>
      </c>
      <c r="G1865" s="8"/>
    </row>
    <row r="1866">
      <c r="A1866" s="4">
        <v>43543.607386689815</v>
      </c>
      <c r="B1866" s="5">
        <v>43543.8990107754</v>
      </c>
      <c r="C1866" s="6">
        <v>1.032</v>
      </c>
      <c r="D1866" s="6">
        <v>65.0</v>
      </c>
      <c r="E1866" s="7" t="s">
        <v>7</v>
      </c>
      <c r="F1866" s="7" t="s">
        <v>8</v>
      </c>
      <c r="G1866" s="8"/>
    </row>
    <row r="1867">
      <c r="A1867" s="4">
        <v>43543.61779443287</v>
      </c>
      <c r="B1867" s="5">
        <v>43543.9094318981</v>
      </c>
      <c r="C1867" s="6">
        <v>1.032</v>
      </c>
      <c r="D1867" s="6">
        <v>66.0</v>
      </c>
      <c r="E1867" s="7" t="s">
        <v>7</v>
      </c>
      <c r="F1867" s="7" t="s">
        <v>8</v>
      </c>
      <c r="G1867" s="8"/>
    </row>
    <row r="1868">
      <c r="A1868" s="4">
        <v>43543.62822074074</v>
      </c>
      <c r="B1868" s="5">
        <v>43543.9198522916</v>
      </c>
      <c r="C1868" s="6">
        <v>1.032</v>
      </c>
      <c r="D1868" s="6">
        <v>65.0</v>
      </c>
      <c r="E1868" s="7" t="s">
        <v>7</v>
      </c>
      <c r="F1868" s="7" t="s">
        <v>8</v>
      </c>
      <c r="G1868" s="8"/>
    </row>
    <row r="1869">
      <c r="A1869" s="4">
        <v>43543.6386733449</v>
      </c>
      <c r="B1869" s="5">
        <v>43543.9302957638</v>
      </c>
      <c r="C1869" s="6">
        <v>1.032</v>
      </c>
      <c r="D1869" s="6">
        <v>66.0</v>
      </c>
      <c r="E1869" s="7" t="s">
        <v>7</v>
      </c>
      <c r="F1869" s="7" t="s">
        <v>8</v>
      </c>
      <c r="G1869" s="8"/>
    </row>
    <row r="1870">
      <c r="A1870" s="4">
        <v>43543.64908876157</v>
      </c>
      <c r="B1870" s="5">
        <v>43543.9407182638</v>
      </c>
      <c r="C1870" s="6">
        <v>1.032</v>
      </c>
      <c r="D1870" s="6">
        <v>66.0</v>
      </c>
      <c r="E1870" s="7" t="s">
        <v>7</v>
      </c>
      <c r="F1870" s="7" t="s">
        <v>8</v>
      </c>
      <c r="G1870" s="8"/>
    </row>
    <row r="1871">
      <c r="A1871" s="4">
        <v>43543.65952710648</v>
      </c>
      <c r="B1871" s="5">
        <v>43543.9511518287</v>
      </c>
      <c r="C1871" s="6">
        <v>1.032</v>
      </c>
      <c r="D1871" s="6">
        <v>66.0</v>
      </c>
      <c r="E1871" s="7" t="s">
        <v>7</v>
      </c>
      <c r="F1871" s="7" t="s">
        <v>8</v>
      </c>
      <c r="G1871" s="8"/>
    </row>
    <row r="1872">
      <c r="A1872" s="4">
        <v>43543.66993386574</v>
      </c>
      <c r="B1872" s="5">
        <v>43543.9615734259</v>
      </c>
      <c r="C1872" s="6">
        <v>1.032</v>
      </c>
      <c r="D1872" s="6">
        <v>66.0</v>
      </c>
      <c r="E1872" s="7" t="s">
        <v>7</v>
      </c>
      <c r="F1872" s="7" t="s">
        <v>8</v>
      </c>
      <c r="G1872" s="8"/>
    </row>
    <row r="1873">
      <c r="A1873" s="4">
        <v>43543.68037393519</v>
      </c>
      <c r="B1873" s="5">
        <v>43543.9720071296</v>
      </c>
      <c r="C1873" s="6">
        <v>1.032</v>
      </c>
      <c r="D1873" s="6">
        <v>66.0</v>
      </c>
      <c r="E1873" s="7" t="s">
        <v>7</v>
      </c>
      <c r="F1873" s="7" t="s">
        <v>8</v>
      </c>
      <c r="G1873" s="8"/>
    </row>
    <row r="1874">
      <c r="A1874" s="4">
        <v>43543.690861111114</v>
      </c>
      <c r="B1874" s="5">
        <v>43543.9824389583</v>
      </c>
      <c r="C1874" s="6">
        <v>1.032</v>
      </c>
      <c r="D1874" s="6">
        <v>66.0</v>
      </c>
      <c r="E1874" s="7" t="s">
        <v>7</v>
      </c>
      <c r="F1874" s="7" t="s">
        <v>8</v>
      </c>
      <c r="G1874" s="8"/>
    </row>
    <row r="1875">
      <c r="A1875" s="4">
        <v>43543.70123319444</v>
      </c>
      <c r="B1875" s="5">
        <v>43543.9928612499</v>
      </c>
      <c r="C1875" s="6">
        <v>1.032</v>
      </c>
      <c r="D1875" s="6">
        <v>66.0</v>
      </c>
      <c r="E1875" s="7" t="s">
        <v>7</v>
      </c>
      <c r="F1875" s="7" t="s">
        <v>8</v>
      </c>
      <c r="G1875" s="8"/>
    </row>
    <row r="1876">
      <c r="A1876" s="4">
        <v>43543.71165388889</v>
      </c>
      <c r="B1876" s="5">
        <v>43544.0032832175</v>
      </c>
      <c r="C1876" s="6">
        <v>1.032</v>
      </c>
      <c r="D1876" s="6">
        <v>66.0</v>
      </c>
      <c r="E1876" s="7" t="s">
        <v>7</v>
      </c>
      <c r="F1876" s="7" t="s">
        <v>8</v>
      </c>
      <c r="G1876" s="8"/>
    </row>
    <row r="1877">
      <c r="A1877" s="4">
        <v>43543.722071550925</v>
      </c>
      <c r="B1877" s="5">
        <v>43544.0137038657</v>
      </c>
      <c r="C1877" s="6">
        <v>1.032</v>
      </c>
      <c r="D1877" s="6">
        <v>66.0</v>
      </c>
      <c r="E1877" s="7" t="s">
        <v>7</v>
      </c>
      <c r="F1877" s="7" t="s">
        <v>8</v>
      </c>
      <c r="G1877" s="8"/>
    </row>
    <row r="1878">
      <c r="A1878" s="4">
        <v>43543.73248957176</v>
      </c>
      <c r="B1878" s="5">
        <v>43544.0241245254</v>
      </c>
      <c r="C1878" s="6">
        <v>1.032</v>
      </c>
      <c r="D1878" s="6">
        <v>66.0</v>
      </c>
      <c r="E1878" s="7" t="s">
        <v>7</v>
      </c>
      <c r="F1878" s="7" t="s">
        <v>8</v>
      </c>
      <c r="G1878" s="8"/>
    </row>
    <row r="1879">
      <c r="A1879" s="4">
        <v>43543.742921689816</v>
      </c>
      <c r="B1879" s="5">
        <v>43544.0345561921</v>
      </c>
      <c r="C1879" s="6">
        <v>1.032</v>
      </c>
      <c r="D1879" s="6">
        <v>66.0</v>
      </c>
      <c r="E1879" s="7" t="s">
        <v>7</v>
      </c>
      <c r="F1879" s="7" t="s">
        <v>8</v>
      </c>
      <c r="G1879" s="8"/>
    </row>
    <row r="1880">
      <c r="A1880" s="4">
        <v>43543.753339560186</v>
      </c>
      <c r="B1880" s="5">
        <v>43544.0449768634</v>
      </c>
      <c r="C1880" s="6">
        <v>1.032</v>
      </c>
      <c r="D1880" s="6">
        <v>66.0</v>
      </c>
      <c r="E1880" s="7" t="s">
        <v>7</v>
      </c>
      <c r="F1880" s="7" t="s">
        <v>8</v>
      </c>
      <c r="G1880" s="8"/>
    </row>
    <row r="1881">
      <c r="A1881" s="4">
        <v>43543.76381331019</v>
      </c>
      <c r="B1881" s="5">
        <v>43544.0554218287</v>
      </c>
      <c r="C1881" s="6">
        <v>1.032</v>
      </c>
      <c r="D1881" s="6">
        <v>66.0</v>
      </c>
      <c r="E1881" s="7" t="s">
        <v>7</v>
      </c>
      <c r="F1881" s="7" t="s">
        <v>8</v>
      </c>
      <c r="G1881" s="8"/>
    </row>
    <row r="1882">
      <c r="A1882" s="4">
        <v>43543.7742306713</v>
      </c>
      <c r="B1882" s="5">
        <v>43544.0658668865</v>
      </c>
      <c r="C1882" s="6">
        <v>1.032</v>
      </c>
      <c r="D1882" s="6">
        <v>66.0</v>
      </c>
      <c r="E1882" s="7" t="s">
        <v>7</v>
      </c>
      <c r="F1882" s="7" t="s">
        <v>8</v>
      </c>
      <c r="G1882" s="8"/>
    </row>
    <row r="1883">
      <c r="A1883" s="4">
        <v>43543.78471363426</v>
      </c>
      <c r="B1883" s="5">
        <v>43544.0762892824</v>
      </c>
      <c r="C1883" s="6">
        <v>1.032</v>
      </c>
      <c r="D1883" s="6">
        <v>66.0</v>
      </c>
      <c r="E1883" s="7" t="s">
        <v>7</v>
      </c>
      <c r="F1883" s="7" t="s">
        <v>8</v>
      </c>
      <c r="G1883" s="8"/>
    </row>
    <row r="1884">
      <c r="A1884" s="4">
        <v>43543.79507211805</v>
      </c>
      <c r="B1884" s="5">
        <v>43544.0867099305</v>
      </c>
      <c r="C1884" s="6">
        <v>1.032</v>
      </c>
      <c r="D1884" s="6">
        <v>66.0</v>
      </c>
      <c r="E1884" s="7" t="s">
        <v>7</v>
      </c>
      <c r="F1884" s="7" t="s">
        <v>8</v>
      </c>
      <c r="G1884" s="8"/>
    </row>
    <row r="1885">
      <c r="A1885" s="4">
        <v>43543.80549971065</v>
      </c>
      <c r="B1885" s="5">
        <v>43544.097130081</v>
      </c>
      <c r="C1885" s="6">
        <v>1.032</v>
      </c>
      <c r="D1885" s="6">
        <v>66.0</v>
      </c>
      <c r="E1885" s="7" t="s">
        <v>7</v>
      </c>
      <c r="F1885" s="7" t="s">
        <v>8</v>
      </c>
      <c r="G1885" s="8"/>
    </row>
    <row r="1886">
      <c r="A1886" s="4">
        <v>43543.81592167824</v>
      </c>
      <c r="B1886" s="5">
        <v>43544.1075519791</v>
      </c>
      <c r="C1886" s="6">
        <v>1.032</v>
      </c>
      <c r="D1886" s="6">
        <v>66.0</v>
      </c>
      <c r="E1886" s="7" t="s">
        <v>7</v>
      </c>
      <c r="F1886" s="7" t="s">
        <v>8</v>
      </c>
      <c r="G1886" s="8"/>
    </row>
    <row r="1887">
      <c r="A1887" s="4">
        <v>43543.82638378472</v>
      </c>
      <c r="B1887" s="5">
        <v>43544.1180200578</v>
      </c>
      <c r="C1887" s="6">
        <v>1.032</v>
      </c>
      <c r="D1887" s="6">
        <v>66.0</v>
      </c>
      <c r="E1887" s="7" t="s">
        <v>7</v>
      </c>
      <c r="F1887" s="7" t="s">
        <v>8</v>
      </c>
      <c r="G1887" s="8"/>
    </row>
    <row r="1888">
      <c r="A1888" s="4">
        <v>43543.836812152775</v>
      </c>
      <c r="B1888" s="5">
        <v>43544.1284402662</v>
      </c>
      <c r="C1888" s="6">
        <v>1.032</v>
      </c>
      <c r="D1888" s="6">
        <v>66.0</v>
      </c>
      <c r="E1888" s="7" t="s">
        <v>7</v>
      </c>
      <c r="F1888" s="7" t="s">
        <v>8</v>
      </c>
      <c r="G1888" s="8"/>
    </row>
    <row r="1889">
      <c r="A1889" s="4">
        <v>43543.847249189814</v>
      </c>
      <c r="B1889" s="5">
        <v>43544.138884456</v>
      </c>
      <c r="C1889" s="6">
        <v>1.032</v>
      </c>
      <c r="D1889" s="6">
        <v>66.0</v>
      </c>
      <c r="E1889" s="7" t="s">
        <v>7</v>
      </c>
      <c r="F1889" s="7" t="s">
        <v>8</v>
      </c>
      <c r="G1889" s="8"/>
    </row>
    <row r="1890">
      <c r="A1890" s="4">
        <v>43543.857702696754</v>
      </c>
      <c r="B1890" s="5">
        <v>43544.1493291666</v>
      </c>
      <c r="C1890" s="6">
        <v>1.032</v>
      </c>
      <c r="D1890" s="6">
        <v>66.0</v>
      </c>
      <c r="E1890" s="7" t="s">
        <v>7</v>
      </c>
      <c r="F1890" s="7" t="s">
        <v>8</v>
      </c>
      <c r="G1890" s="8"/>
    </row>
    <row r="1891">
      <c r="A1891" s="4">
        <v>43543.86813204861</v>
      </c>
      <c r="B1891" s="5">
        <v>43544.159761574</v>
      </c>
      <c r="C1891" s="6">
        <v>1.032</v>
      </c>
      <c r="D1891" s="6">
        <v>66.0</v>
      </c>
      <c r="E1891" s="7" t="s">
        <v>7</v>
      </c>
      <c r="F1891" s="7" t="s">
        <v>8</v>
      </c>
      <c r="G1891" s="8"/>
    </row>
    <row r="1892">
      <c r="A1892" s="4">
        <v>43543.878564108796</v>
      </c>
      <c r="B1892" s="5">
        <v>43544.1701952662</v>
      </c>
      <c r="C1892" s="6">
        <v>1.032</v>
      </c>
      <c r="D1892" s="6">
        <v>66.0</v>
      </c>
      <c r="E1892" s="7" t="s">
        <v>7</v>
      </c>
      <c r="F1892" s="7" t="s">
        <v>8</v>
      </c>
      <c r="G1892" s="8"/>
    </row>
    <row r="1893">
      <c r="A1893" s="4">
        <v>43543.88899229167</v>
      </c>
      <c r="B1893" s="5">
        <v>43544.1806269791</v>
      </c>
      <c r="C1893" s="6">
        <v>1.032</v>
      </c>
      <c r="D1893" s="6">
        <v>66.0</v>
      </c>
      <c r="E1893" s="7" t="s">
        <v>7</v>
      </c>
      <c r="F1893" s="7" t="s">
        <v>8</v>
      </c>
      <c r="G1893" s="8"/>
    </row>
    <row r="1894">
      <c r="A1894" s="4">
        <v>43543.899418761575</v>
      </c>
      <c r="B1894" s="5">
        <v>43544.1910487615</v>
      </c>
      <c r="C1894" s="6">
        <v>1.032</v>
      </c>
      <c r="D1894" s="6">
        <v>66.0</v>
      </c>
      <c r="E1894" s="7" t="s">
        <v>7</v>
      </c>
      <c r="F1894" s="7" t="s">
        <v>8</v>
      </c>
      <c r="G1894" s="8"/>
    </row>
    <row r="1895">
      <c r="A1895" s="4">
        <v>43543.90984765046</v>
      </c>
      <c r="B1895" s="5">
        <v>43544.201473206</v>
      </c>
      <c r="C1895" s="6">
        <v>1.032</v>
      </c>
      <c r="D1895" s="6">
        <v>66.0</v>
      </c>
      <c r="E1895" s="7" t="s">
        <v>7</v>
      </c>
      <c r="F1895" s="7" t="s">
        <v>8</v>
      </c>
      <c r="G1895" s="8"/>
    </row>
    <row r="1896">
      <c r="A1896" s="4">
        <v>43543.92026585648</v>
      </c>
      <c r="B1896" s="5">
        <v>43544.2118940972</v>
      </c>
      <c r="C1896" s="6">
        <v>1.032</v>
      </c>
      <c r="D1896" s="6">
        <v>66.0</v>
      </c>
      <c r="E1896" s="7" t="s">
        <v>7</v>
      </c>
      <c r="F1896" s="7" t="s">
        <v>8</v>
      </c>
      <c r="G1896" s="8"/>
    </row>
    <row r="1897">
      <c r="A1897" s="4">
        <v>43543.930689699075</v>
      </c>
      <c r="B1897" s="5">
        <v>43544.2223268171</v>
      </c>
      <c r="C1897" s="6">
        <v>1.032</v>
      </c>
      <c r="D1897" s="6">
        <v>66.0</v>
      </c>
      <c r="E1897" s="7" t="s">
        <v>7</v>
      </c>
      <c r="F1897" s="7" t="s">
        <v>8</v>
      </c>
      <c r="G1897" s="8"/>
    </row>
    <row r="1898">
      <c r="A1898" s="4">
        <v>43543.94111071759</v>
      </c>
      <c r="B1898" s="5">
        <v>43544.2327455439</v>
      </c>
      <c r="C1898" s="6">
        <v>1.032</v>
      </c>
      <c r="D1898" s="6">
        <v>66.0</v>
      </c>
      <c r="E1898" s="7" t="s">
        <v>7</v>
      </c>
      <c r="F1898" s="7" t="s">
        <v>8</v>
      </c>
      <c r="G1898" s="8"/>
    </row>
    <row r="1899">
      <c r="A1899" s="4">
        <v>43543.95152667824</v>
      </c>
      <c r="B1899" s="5">
        <v>43544.2431656134</v>
      </c>
      <c r="C1899" s="6">
        <v>1.032</v>
      </c>
      <c r="D1899" s="6">
        <v>66.0</v>
      </c>
      <c r="E1899" s="7" t="s">
        <v>7</v>
      </c>
      <c r="F1899" s="7" t="s">
        <v>8</v>
      </c>
      <c r="G1899" s="8"/>
    </row>
    <row r="1900">
      <c r="A1900" s="4">
        <v>43543.961951122685</v>
      </c>
      <c r="B1900" s="5">
        <v>43544.2535872338</v>
      </c>
      <c r="C1900" s="6">
        <v>1.032</v>
      </c>
      <c r="D1900" s="6">
        <v>66.0</v>
      </c>
      <c r="E1900" s="7" t="s">
        <v>7</v>
      </c>
      <c r="F1900" s="7" t="s">
        <v>8</v>
      </c>
      <c r="G1900" s="8"/>
    </row>
    <row r="1901">
      <c r="A1901" s="4">
        <v>43543.97238024305</v>
      </c>
      <c r="B1901" s="5">
        <v>43544.264008912</v>
      </c>
      <c r="C1901" s="6">
        <v>1.032</v>
      </c>
      <c r="D1901" s="6">
        <v>66.0</v>
      </c>
      <c r="E1901" s="7" t="s">
        <v>7</v>
      </c>
      <c r="F1901" s="7" t="s">
        <v>8</v>
      </c>
      <c r="G1901" s="8"/>
    </row>
    <row r="1902">
      <c r="A1902" s="4">
        <v>43543.98279277778</v>
      </c>
      <c r="B1902" s="5">
        <v>43544.2744287847</v>
      </c>
      <c r="C1902" s="6">
        <v>1.032</v>
      </c>
      <c r="D1902" s="6">
        <v>66.0</v>
      </c>
      <c r="E1902" s="7" t="s">
        <v>7</v>
      </c>
      <c r="F1902" s="7" t="s">
        <v>8</v>
      </c>
      <c r="G1902" s="8"/>
    </row>
    <row r="1903">
      <c r="A1903" s="4">
        <v>43543.993221701385</v>
      </c>
      <c r="B1903" s="5">
        <v>43544.2848609606</v>
      </c>
      <c r="C1903" s="6">
        <v>1.032</v>
      </c>
      <c r="D1903" s="6">
        <v>66.0</v>
      </c>
      <c r="E1903" s="7" t="s">
        <v>7</v>
      </c>
      <c r="F1903" s="7" t="s">
        <v>8</v>
      </c>
      <c r="G1903" s="8"/>
    </row>
    <row r="1904">
      <c r="A1904" s="4">
        <v>43544.00366267361</v>
      </c>
      <c r="B1904" s="5">
        <v>43544.2952940393</v>
      </c>
      <c r="C1904" s="6">
        <v>1.032</v>
      </c>
      <c r="D1904" s="6">
        <v>66.0</v>
      </c>
      <c r="E1904" s="7" t="s">
        <v>7</v>
      </c>
      <c r="F1904" s="7" t="s">
        <v>8</v>
      </c>
      <c r="G1904" s="8"/>
    </row>
    <row r="1905">
      <c r="A1905" s="4">
        <v>43544.01408354167</v>
      </c>
      <c r="B1905" s="5">
        <v>43544.3057143171</v>
      </c>
      <c r="C1905" s="6">
        <v>1.032</v>
      </c>
      <c r="D1905" s="6">
        <v>66.0</v>
      </c>
      <c r="E1905" s="7" t="s">
        <v>7</v>
      </c>
      <c r="F1905" s="7" t="s">
        <v>8</v>
      </c>
      <c r="G1905" s="8"/>
    </row>
    <row r="1906">
      <c r="A1906" s="4">
        <v>43544.024503865745</v>
      </c>
      <c r="B1906" s="5">
        <v>43544.3161367592</v>
      </c>
      <c r="C1906" s="6">
        <v>1.032</v>
      </c>
      <c r="D1906" s="6">
        <v>66.0</v>
      </c>
      <c r="E1906" s="7" t="s">
        <v>7</v>
      </c>
      <c r="F1906" s="7" t="s">
        <v>8</v>
      </c>
      <c r="G1906" s="8"/>
    </row>
    <row r="1907">
      <c r="A1907" s="4">
        <v>43544.03493826389</v>
      </c>
      <c r="B1907" s="5">
        <v>43544.3265698148</v>
      </c>
      <c r="C1907" s="6">
        <v>1.032</v>
      </c>
      <c r="D1907" s="6">
        <v>66.0</v>
      </c>
      <c r="E1907" s="7" t="s">
        <v>7</v>
      </c>
      <c r="F1907" s="7" t="s">
        <v>8</v>
      </c>
      <c r="G1907" s="8"/>
    </row>
    <row r="1908">
      <c r="A1908" s="4">
        <v>43544.04536469908</v>
      </c>
      <c r="B1908" s="5">
        <v>43544.3369916203</v>
      </c>
      <c r="C1908" s="6">
        <v>1.032</v>
      </c>
      <c r="D1908" s="6">
        <v>66.0</v>
      </c>
      <c r="E1908" s="7" t="s">
        <v>7</v>
      </c>
      <c r="F1908" s="7" t="s">
        <v>8</v>
      </c>
      <c r="G1908" s="8"/>
    </row>
    <row r="1909">
      <c r="A1909" s="4">
        <v>43544.055773726854</v>
      </c>
      <c r="B1909" s="5">
        <v>43544.3474115972</v>
      </c>
      <c r="C1909" s="6">
        <v>1.032</v>
      </c>
      <c r="D1909" s="6">
        <v>66.0</v>
      </c>
      <c r="E1909" s="7" t="s">
        <v>7</v>
      </c>
      <c r="F1909" s="7" t="s">
        <v>8</v>
      </c>
      <c r="G1909" s="8"/>
    </row>
    <row r="1910">
      <c r="A1910" s="4">
        <v>43544.06620101852</v>
      </c>
      <c r="B1910" s="5">
        <v>43544.3578327199</v>
      </c>
      <c r="C1910" s="6">
        <v>1.031</v>
      </c>
      <c r="D1910" s="6">
        <v>66.0</v>
      </c>
      <c r="E1910" s="7" t="s">
        <v>7</v>
      </c>
      <c r="F1910" s="7" t="s">
        <v>8</v>
      </c>
      <c r="G1910" s="8"/>
    </row>
    <row r="1911">
      <c r="A1911" s="4">
        <v>43544.076621238426</v>
      </c>
      <c r="B1911" s="5">
        <v>43544.3682536458</v>
      </c>
      <c r="C1911" s="6">
        <v>1.031</v>
      </c>
      <c r="D1911" s="6">
        <v>66.0</v>
      </c>
      <c r="E1911" s="7" t="s">
        <v>7</v>
      </c>
      <c r="F1911" s="7" t="s">
        <v>8</v>
      </c>
      <c r="G1911" s="8"/>
    </row>
    <row r="1912">
      <c r="A1912" s="4">
        <v>43544.08703730324</v>
      </c>
      <c r="B1912" s="5">
        <v>43544.3786747685</v>
      </c>
      <c r="C1912" s="6">
        <v>1.032</v>
      </c>
      <c r="D1912" s="6">
        <v>65.0</v>
      </c>
      <c r="E1912" s="7" t="s">
        <v>7</v>
      </c>
      <c r="F1912" s="7" t="s">
        <v>8</v>
      </c>
      <c r="G1912" s="8"/>
    </row>
    <row r="1913">
      <c r="A1913" s="4">
        <v>43544.097462453705</v>
      </c>
      <c r="B1913" s="5">
        <v>43544.3890950231</v>
      </c>
      <c r="C1913" s="6">
        <v>1.031</v>
      </c>
      <c r="D1913" s="6">
        <v>66.0</v>
      </c>
      <c r="E1913" s="7" t="s">
        <v>7</v>
      </c>
      <c r="F1913" s="7" t="s">
        <v>8</v>
      </c>
      <c r="G1913" s="8"/>
    </row>
    <row r="1914">
      <c r="A1914" s="4">
        <v>43544.10789986111</v>
      </c>
      <c r="B1914" s="5">
        <v>43544.3995292708</v>
      </c>
      <c r="C1914" s="6">
        <v>1.031</v>
      </c>
      <c r="D1914" s="6">
        <v>65.0</v>
      </c>
      <c r="E1914" s="7" t="s">
        <v>7</v>
      </c>
      <c r="F1914" s="7" t="s">
        <v>8</v>
      </c>
      <c r="G1914" s="8"/>
    </row>
    <row r="1915">
      <c r="A1915" s="4">
        <v>43544.11831542824</v>
      </c>
      <c r="B1915" s="5">
        <v>43544.409950868</v>
      </c>
      <c r="C1915" s="6">
        <v>1.032</v>
      </c>
      <c r="D1915" s="6">
        <v>65.0</v>
      </c>
      <c r="E1915" s="7" t="s">
        <v>7</v>
      </c>
      <c r="F1915" s="7" t="s">
        <v>8</v>
      </c>
      <c r="G1915" s="8"/>
    </row>
    <row r="1916">
      <c r="A1916" s="4">
        <v>43544.12873834491</v>
      </c>
      <c r="B1916" s="5">
        <v>43544.4203719328</v>
      </c>
      <c r="C1916" s="6">
        <v>1.032</v>
      </c>
      <c r="D1916" s="6">
        <v>65.0</v>
      </c>
      <c r="E1916" s="7" t="s">
        <v>7</v>
      </c>
      <c r="F1916" s="7" t="s">
        <v>8</v>
      </c>
      <c r="G1916" s="8"/>
    </row>
    <row r="1917">
      <c r="A1917" s="4">
        <v>43544.13917322917</v>
      </c>
      <c r="B1917" s="5">
        <v>43544.4308052083</v>
      </c>
      <c r="C1917" s="6">
        <v>1.031</v>
      </c>
      <c r="D1917" s="6">
        <v>65.0</v>
      </c>
      <c r="E1917" s="7" t="s">
        <v>7</v>
      </c>
      <c r="F1917" s="7" t="s">
        <v>8</v>
      </c>
      <c r="G1917" s="8"/>
    </row>
    <row r="1918">
      <c r="A1918" s="4">
        <v>43544.14958982639</v>
      </c>
      <c r="B1918" s="5">
        <v>43544.4412253819</v>
      </c>
      <c r="C1918" s="6">
        <v>1.032</v>
      </c>
      <c r="D1918" s="6">
        <v>65.0</v>
      </c>
      <c r="E1918" s="7" t="s">
        <v>7</v>
      </c>
      <c r="F1918" s="7" t="s">
        <v>8</v>
      </c>
      <c r="G1918" s="8"/>
    </row>
    <row r="1919">
      <c r="A1919" s="4">
        <v>43544.16001640046</v>
      </c>
      <c r="B1919" s="5">
        <v>43544.4516458564</v>
      </c>
      <c r="C1919" s="6">
        <v>1.031</v>
      </c>
      <c r="D1919" s="6">
        <v>65.0</v>
      </c>
      <c r="E1919" s="7" t="s">
        <v>7</v>
      </c>
      <c r="F1919" s="7" t="s">
        <v>8</v>
      </c>
      <c r="G1919" s="8"/>
    </row>
    <row r="1920">
      <c r="A1920" s="4">
        <v>43544.17044230324</v>
      </c>
      <c r="B1920" s="5">
        <v>43544.4620778356</v>
      </c>
      <c r="C1920" s="6">
        <v>1.032</v>
      </c>
      <c r="D1920" s="6">
        <v>66.0</v>
      </c>
      <c r="E1920" s="7" t="s">
        <v>7</v>
      </c>
      <c r="F1920" s="7" t="s">
        <v>8</v>
      </c>
      <c r="G1920" s="8"/>
    </row>
    <row r="1921">
      <c r="A1921" s="4">
        <v>43544.18086158565</v>
      </c>
      <c r="B1921" s="5">
        <v>43544.4724992361</v>
      </c>
      <c r="C1921" s="6">
        <v>1.032</v>
      </c>
      <c r="D1921" s="6">
        <v>66.0</v>
      </c>
      <c r="E1921" s="7" t="s">
        <v>7</v>
      </c>
      <c r="F1921" s="7" t="s">
        <v>8</v>
      </c>
      <c r="G1921" s="8"/>
    </row>
    <row r="1922">
      <c r="A1922" s="4">
        <v>43544.1913358912</v>
      </c>
      <c r="B1922" s="5">
        <v>43544.4829667129</v>
      </c>
      <c r="C1922" s="6">
        <v>1.031</v>
      </c>
      <c r="D1922" s="6">
        <v>65.0</v>
      </c>
      <c r="E1922" s="7" t="s">
        <v>7</v>
      </c>
      <c r="F1922" s="7" t="s">
        <v>8</v>
      </c>
      <c r="G1922" s="8"/>
    </row>
    <row r="1923">
      <c r="A1923" s="4">
        <v>43544.201750277774</v>
      </c>
      <c r="B1923" s="5">
        <v>43544.4933873263</v>
      </c>
      <c r="C1923" s="6">
        <v>1.031</v>
      </c>
      <c r="D1923" s="6">
        <v>66.0</v>
      </c>
      <c r="E1923" s="7" t="s">
        <v>7</v>
      </c>
      <c r="F1923" s="7" t="s">
        <v>8</v>
      </c>
      <c r="G1923" s="8"/>
    </row>
    <row r="1924">
      <c r="A1924" s="4">
        <v>43544.21216996528</v>
      </c>
      <c r="B1924" s="5">
        <v>43544.5038089814</v>
      </c>
      <c r="C1924" s="6">
        <v>1.031</v>
      </c>
      <c r="D1924" s="6">
        <v>66.0</v>
      </c>
      <c r="E1924" s="7" t="s">
        <v>7</v>
      </c>
      <c r="F1924" s="7" t="s">
        <v>8</v>
      </c>
      <c r="G1924" s="8"/>
    </row>
    <row r="1925">
      <c r="A1925" s="4">
        <v>43544.22262502315</v>
      </c>
      <c r="B1925" s="5">
        <v>43544.5142533796</v>
      </c>
      <c r="C1925" s="6">
        <v>1.031</v>
      </c>
      <c r="D1925" s="6">
        <v>66.0</v>
      </c>
      <c r="E1925" s="7" t="s">
        <v>7</v>
      </c>
      <c r="F1925" s="7" t="s">
        <v>8</v>
      </c>
      <c r="G1925" s="8"/>
    </row>
    <row r="1926">
      <c r="A1926" s="4">
        <v>43544.23306275463</v>
      </c>
      <c r="B1926" s="5">
        <v>43544.5246871759</v>
      </c>
      <c r="C1926" s="6">
        <v>1.032</v>
      </c>
      <c r="D1926" s="6">
        <v>66.0</v>
      </c>
      <c r="E1926" s="7" t="s">
        <v>7</v>
      </c>
      <c r="F1926" s="7" t="s">
        <v>8</v>
      </c>
      <c r="G1926" s="8"/>
    </row>
    <row r="1927">
      <c r="A1927" s="4">
        <v>43544.243473738425</v>
      </c>
      <c r="B1927" s="5">
        <v>43544.5351073379</v>
      </c>
      <c r="C1927" s="6">
        <v>1.031</v>
      </c>
      <c r="D1927" s="6">
        <v>66.0</v>
      </c>
      <c r="E1927" s="7" t="s">
        <v>7</v>
      </c>
      <c r="F1927" s="7" t="s">
        <v>8</v>
      </c>
      <c r="G1927" s="8"/>
    </row>
    <row r="1928">
      <c r="A1928" s="4">
        <v>43544.25389303241</v>
      </c>
      <c r="B1928" s="5">
        <v>43544.545528368</v>
      </c>
      <c r="C1928" s="6">
        <v>1.031</v>
      </c>
      <c r="D1928" s="6">
        <v>66.0</v>
      </c>
      <c r="E1928" s="7" t="s">
        <v>7</v>
      </c>
      <c r="F1928" s="7" t="s">
        <v>8</v>
      </c>
      <c r="G1928" s="8"/>
    </row>
    <row r="1929">
      <c r="A1929" s="4">
        <v>43544.26431387731</v>
      </c>
      <c r="B1929" s="5">
        <v>43544.5559497916</v>
      </c>
      <c r="C1929" s="6">
        <v>1.032</v>
      </c>
      <c r="D1929" s="6">
        <v>66.0</v>
      </c>
      <c r="E1929" s="7" t="s">
        <v>7</v>
      </c>
      <c r="F1929" s="7" t="s">
        <v>8</v>
      </c>
      <c r="G1929" s="8"/>
    </row>
    <row r="1930">
      <c r="A1930" s="4">
        <v>43544.27478894676</v>
      </c>
      <c r="B1930" s="5">
        <v>43544.5664181828</v>
      </c>
      <c r="C1930" s="6">
        <v>1.031</v>
      </c>
      <c r="D1930" s="6">
        <v>66.0</v>
      </c>
      <c r="E1930" s="7" t="s">
        <v>7</v>
      </c>
      <c r="F1930" s="7" t="s">
        <v>8</v>
      </c>
      <c r="G1930" s="8"/>
    </row>
    <row r="1931">
      <c r="A1931" s="4">
        <v>43544.2852083912</v>
      </c>
      <c r="B1931" s="5">
        <v>43544.5768399768</v>
      </c>
      <c r="C1931" s="6">
        <v>1.031</v>
      </c>
      <c r="D1931" s="6">
        <v>66.0</v>
      </c>
      <c r="E1931" s="7" t="s">
        <v>7</v>
      </c>
      <c r="F1931" s="7" t="s">
        <v>8</v>
      </c>
      <c r="G1931" s="8"/>
    </row>
    <row r="1932">
      <c r="A1932" s="4">
        <v>43544.29568109954</v>
      </c>
      <c r="B1932" s="5">
        <v>43544.58730875</v>
      </c>
      <c r="C1932" s="6">
        <v>1.031</v>
      </c>
      <c r="D1932" s="6">
        <v>66.0</v>
      </c>
      <c r="E1932" s="7" t="s">
        <v>7</v>
      </c>
      <c r="F1932" s="7" t="s">
        <v>8</v>
      </c>
      <c r="G1932" s="8"/>
    </row>
    <row r="1933">
      <c r="A1933" s="4">
        <v>43544.30610909722</v>
      </c>
      <c r="B1933" s="5">
        <v>43544.5977410532</v>
      </c>
      <c r="C1933" s="6">
        <v>1.031</v>
      </c>
      <c r="D1933" s="6">
        <v>66.0</v>
      </c>
      <c r="E1933" s="7" t="s">
        <v>7</v>
      </c>
      <c r="F1933" s="7" t="s">
        <v>8</v>
      </c>
      <c r="G1933" s="8"/>
    </row>
    <row r="1934">
      <c r="A1934" s="4">
        <v>43544.316525462964</v>
      </c>
      <c r="B1934" s="5">
        <v>43544.6081607754</v>
      </c>
      <c r="C1934" s="6">
        <v>1.031</v>
      </c>
      <c r="D1934" s="6">
        <v>66.0</v>
      </c>
      <c r="E1934" s="7" t="s">
        <v>7</v>
      </c>
      <c r="F1934" s="7" t="s">
        <v>8</v>
      </c>
      <c r="G1934" s="8"/>
    </row>
    <row r="1935">
      <c r="A1935" s="4">
        <v>43544.32694648148</v>
      </c>
      <c r="B1935" s="5">
        <v>43544.618581574</v>
      </c>
      <c r="C1935" s="6">
        <v>1.031</v>
      </c>
      <c r="D1935" s="6">
        <v>66.0</v>
      </c>
      <c r="E1935" s="7" t="s">
        <v>7</v>
      </c>
      <c r="F1935" s="7" t="s">
        <v>8</v>
      </c>
      <c r="G1935" s="8"/>
    </row>
    <row r="1936">
      <c r="A1936" s="4">
        <v>43544.337376967596</v>
      </c>
      <c r="B1936" s="5">
        <v>43544.6290138078</v>
      </c>
      <c r="C1936" s="6">
        <v>1.031</v>
      </c>
      <c r="D1936" s="6">
        <v>66.0</v>
      </c>
      <c r="E1936" s="7" t="s">
        <v>7</v>
      </c>
      <c r="F1936" s="7" t="s">
        <v>8</v>
      </c>
      <c r="G1936" s="8"/>
    </row>
    <row r="1937">
      <c r="A1937" s="4">
        <v>43544.34781835648</v>
      </c>
      <c r="B1937" s="5">
        <v>43544.6394470138</v>
      </c>
      <c r="C1937" s="6">
        <v>1.031</v>
      </c>
      <c r="D1937" s="6">
        <v>66.0</v>
      </c>
      <c r="E1937" s="7" t="s">
        <v>7</v>
      </c>
      <c r="F1937" s="7" t="s">
        <v>8</v>
      </c>
      <c r="G1937" s="8"/>
    </row>
    <row r="1938">
      <c r="A1938" s="4">
        <v>43544.358231342594</v>
      </c>
      <c r="B1938" s="5">
        <v>43544.6498667824</v>
      </c>
      <c r="C1938" s="6">
        <v>1.031</v>
      </c>
      <c r="D1938" s="6">
        <v>66.0</v>
      </c>
      <c r="E1938" s="7" t="s">
        <v>7</v>
      </c>
      <c r="F1938" s="7" t="s">
        <v>8</v>
      </c>
      <c r="G1938" s="8"/>
    </row>
    <row r="1939">
      <c r="A1939" s="4">
        <v>43544.36867305556</v>
      </c>
      <c r="B1939" s="5">
        <v>43544.6602988773</v>
      </c>
      <c r="C1939" s="6">
        <v>1.031</v>
      </c>
      <c r="D1939" s="6">
        <v>66.0</v>
      </c>
      <c r="E1939" s="7" t="s">
        <v>7</v>
      </c>
      <c r="F1939" s="7" t="s">
        <v>8</v>
      </c>
      <c r="G1939" s="8"/>
    </row>
    <row r="1940">
      <c r="A1940" s="4">
        <v>43544.37910207176</v>
      </c>
      <c r="B1940" s="5">
        <v>43544.6707316203</v>
      </c>
      <c r="C1940" s="6">
        <v>1.031</v>
      </c>
      <c r="D1940" s="6">
        <v>66.0</v>
      </c>
      <c r="E1940" s="7" t="s">
        <v>7</v>
      </c>
      <c r="F1940" s="7" t="s">
        <v>8</v>
      </c>
      <c r="G1940" s="8"/>
    </row>
    <row r="1941">
      <c r="A1941" s="4">
        <v>43544.38952483796</v>
      </c>
      <c r="B1941" s="5">
        <v>43544.681153368</v>
      </c>
      <c r="C1941" s="6">
        <v>1.031</v>
      </c>
      <c r="D1941" s="6">
        <v>66.0</v>
      </c>
      <c r="E1941" s="7" t="s">
        <v>7</v>
      </c>
      <c r="F1941" s="7" t="s">
        <v>8</v>
      </c>
      <c r="G1941" s="8"/>
    </row>
    <row r="1942">
      <c r="A1942" s="4">
        <v>43544.39994696759</v>
      </c>
      <c r="B1942" s="5">
        <v>43544.6915739351</v>
      </c>
      <c r="C1942" s="6">
        <v>1.031</v>
      </c>
      <c r="D1942" s="6">
        <v>66.0</v>
      </c>
      <c r="E1942" s="7" t="s">
        <v>7</v>
      </c>
      <c r="F1942" s="7" t="s">
        <v>8</v>
      </c>
      <c r="G1942" s="8"/>
    </row>
    <row r="1943">
      <c r="A1943" s="4">
        <v>43544.410383703704</v>
      </c>
      <c r="B1943" s="5">
        <v>43544.7019947106</v>
      </c>
      <c r="C1943" s="6">
        <v>1.031</v>
      </c>
      <c r="D1943" s="6">
        <v>66.0</v>
      </c>
      <c r="E1943" s="7" t="s">
        <v>7</v>
      </c>
      <c r="F1943" s="7" t="s">
        <v>8</v>
      </c>
      <c r="G1943" s="8"/>
    </row>
    <row r="1944">
      <c r="A1944" s="4">
        <v>43544.4207980787</v>
      </c>
      <c r="B1944" s="5">
        <v>43544.7124271527</v>
      </c>
      <c r="C1944" s="6">
        <v>1.031</v>
      </c>
      <c r="D1944" s="6">
        <v>65.0</v>
      </c>
      <c r="E1944" s="7" t="s">
        <v>7</v>
      </c>
      <c r="F1944" s="7" t="s">
        <v>8</v>
      </c>
      <c r="G1944" s="8"/>
    </row>
    <row r="1945">
      <c r="A1945" s="4">
        <v>43544.43120979167</v>
      </c>
      <c r="B1945" s="5">
        <v>43544.7228481597</v>
      </c>
      <c r="C1945" s="6">
        <v>1.031</v>
      </c>
      <c r="D1945" s="6">
        <v>65.0</v>
      </c>
      <c r="E1945" s="7" t="s">
        <v>7</v>
      </c>
      <c r="F1945" s="7" t="s">
        <v>8</v>
      </c>
      <c r="G1945" s="8"/>
    </row>
    <row r="1946">
      <c r="A1946" s="4">
        <v>43544.4416477662</v>
      </c>
      <c r="B1946" s="5">
        <v>43544.7332811921</v>
      </c>
      <c r="C1946" s="6">
        <v>1.031</v>
      </c>
      <c r="D1946" s="6">
        <v>66.0</v>
      </c>
      <c r="E1946" s="7" t="s">
        <v>7</v>
      </c>
      <c r="F1946" s="7" t="s">
        <v>8</v>
      </c>
      <c r="G1946" s="8"/>
    </row>
    <row r="1947">
      <c r="A1947" s="4">
        <v>43544.452078449074</v>
      </c>
      <c r="B1947" s="5">
        <v>43544.7437153935</v>
      </c>
      <c r="C1947" s="6">
        <v>1.031</v>
      </c>
      <c r="D1947" s="6">
        <v>65.0</v>
      </c>
      <c r="E1947" s="7" t="s">
        <v>7</v>
      </c>
      <c r="F1947" s="7" t="s">
        <v>8</v>
      </c>
      <c r="G1947" s="8"/>
    </row>
    <row r="1948">
      <c r="A1948" s="4">
        <v>43544.46249880787</v>
      </c>
      <c r="B1948" s="5">
        <v>43544.7541376388</v>
      </c>
      <c r="C1948" s="6">
        <v>1.031</v>
      </c>
      <c r="D1948" s="6">
        <v>65.0</v>
      </c>
      <c r="E1948" s="7" t="s">
        <v>7</v>
      </c>
      <c r="F1948" s="7" t="s">
        <v>8</v>
      </c>
      <c r="G1948" s="8"/>
    </row>
    <row r="1949">
      <c r="A1949" s="4">
        <v>43544.472923946756</v>
      </c>
      <c r="B1949" s="5">
        <v>43544.7645569675</v>
      </c>
      <c r="C1949" s="6">
        <v>1.031</v>
      </c>
      <c r="D1949" s="6">
        <v>65.0</v>
      </c>
      <c r="E1949" s="7" t="s">
        <v>7</v>
      </c>
      <c r="F1949" s="7" t="s">
        <v>8</v>
      </c>
      <c r="G1949" s="8"/>
    </row>
    <row r="1950">
      <c r="A1950" s="4">
        <v>43544.483355335644</v>
      </c>
      <c r="B1950" s="5">
        <v>43544.774979456</v>
      </c>
      <c r="C1950" s="6">
        <v>1.031</v>
      </c>
      <c r="D1950" s="6">
        <v>65.0</v>
      </c>
      <c r="E1950" s="7" t="s">
        <v>7</v>
      </c>
      <c r="F1950" s="7" t="s">
        <v>8</v>
      </c>
      <c r="G1950" s="8"/>
    </row>
    <row r="1951">
      <c r="A1951" s="4">
        <v>43544.49376577546</v>
      </c>
      <c r="B1951" s="5">
        <v>43544.7853998726</v>
      </c>
      <c r="C1951" s="6">
        <v>1.031</v>
      </c>
      <c r="D1951" s="6">
        <v>65.0</v>
      </c>
      <c r="E1951" s="7" t="s">
        <v>7</v>
      </c>
      <c r="F1951" s="7" t="s">
        <v>8</v>
      </c>
      <c r="G1951" s="8"/>
    </row>
    <row r="1952">
      <c r="A1952" s="4">
        <v>43544.50419490741</v>
      </c>
      <c r="B1952" s="5">
        <v>43544.7958203819</v>
      </c>
      <c r="C1952" s="6">
        <v>1.031</v>
      </c>
      <c r="D1952" s="6">
        <v>65.0</v>
      </c>
      <c r="E1952" s="7" t="s">
        <v>7</v>
      </c>
      <c r="F1952" s="7" t="s">
        <v>8</v>
      </c>
      <c r="G1952" s="8"/>
    </row>
    <row r="1953">
      <c r="A1953" s="4">
        <v>43544.51461103009</v>
      </c>
      <c r="B1953" s="5">
        <v>43544.8062412152</v>
      </c>
      <c r="C1953" s="6">
        <v>1.031</v>
      </c>
      <c r="D1953" s="6">
        <v>65.0</v>
      </c>
      <c r="E1953" s="7" t="s">
        <v>7</v>
      </c>
      <c r="F1953" s="7" t="s">
        <v>8</v>
      </c>
      <c r="G1953" s="8"/>
    </row>
    <row r="1954">
      <c r="A1954" s="4">
        <v>43544.52504078703</v>
      </c>
      <c r="B1954" s="5">
        <v>43544.8166753935</v>
      </c>
      <c r="C1954" s="6">
        <v>1.031</v>
      </c>
      <c r="D1954" s="6">
        <v>65.0</v>
      </c>
      <c r="E1954" s="7" t="s">
        <v>7</v>
      </c>
      <c r="F1954" s="7" t="s">
        <v>8</v>
      </c>
      <c r="G1954" s="8"/>
    </row>
    <row r="1955">
      <c r="A1955" s="4">
        <v>43544.5354590625</v>
      </c>
      <c r="B1955" s="5">
        <v>43544.827095162</v>
      </c>
      <c r="C1955" s="6">
        <v>1.031</v>
      </c>
      <c r="D1955" s="6">
        <v>65.0</v>
      </c>
      <c r="E1955" s="7" t="s">
        <v>7</v>
      </c>
      <c r="F1955" s="7" t="s">
        <v>8</v>
      </c>
      <c r="G1955" s="8"/>
    </row>
    <row r="1956">
      <c r="A1956" s="4">
        <v>43544.54589793981</v>
      </c>
      <c r="B1956" s="5">
        <v>43544.8375293865</v>
      </c>
      <c r="C1956" s="6">
        <v>1.031</v>
      </c>
      <c r="D1956" s="6">
        <v>65.0</v>
      </c>
      <c r="E1956" s="7" t="s">
        <v>7</v>
      </c>
      <c r="F1956" s="7" t="s">
        <v>8</v>
      </c>
      <c r="G1956" s="8"/>
    </row>
    <row r="1957">
      <c r="A1957" s="4">
        <v>43544.55638800926</v>
      </c>
      <c r="B1957" s="5">
        <v>43544.8479610532</v>
      </c>
      <c r="C1957" s="6">
        <v>1.031</v>
      </c>
      <c r="D1957" s="6">
        <v>65.0</v>
      </c>
      <c r="E1957" s="7" t="s">
        <v>7</v>
      </c>
      <c r="F1957" s="7" t="s">
        <v>8</v>
      </c>
      <c r="G1957" s="8"/>
    </row>
    <row r="1958">
      <c r="A1958" s="4">
        <v>43544.56678922454</v>
      </c>
      <c r="B1958" s="5">
        <v>43544.8584294328</v>
      </c>
      <c r="C1958" s="6">
        <v>1.031</v>
      </c>
      <c r="D1958" s="6">
        <v>65.0</v>
      </c>
      <c r="E1958" s="7" t="s">
        <v>7</v>
      </c>
      <c r="F1958" s="7" t="s">
        <v>8</v>
      </c>
      <c r="G1958" s="8"/>
    </row>
    <row r="1959">
      <c r="A1959" s="4">
        <v>43544.57730040509</v>
      </c>
      <c r="B1959" s="5">
        <v>43544.8688950231</v>
      </c>
      <c r="C1959" s="6">
        <v>1.031</v>
      </c>
      <c r="D1959" s="6">
        <v>65.0</v>
      </c>
      <c r="E1959" s="7" t="s">
        <v>7</v>
      </c>
      <c r="F1959" s="7" t="s">
        <v>8</v>
      </c>
      <c r="G1959" s="8"/>
    </row>
    <row r="1960">
      <c r="A1960" s="4">
        <v>43544.5877512963</v>
      </c>
      <c r="B1960" s="5">
        <v>43544.8793259027</v>
      </c>
      <c r="C1960" s="6">
        <v>1.031</v>
      </c>
      <c r="D1960" s="6">
        <v>65.0</v>
      </c>
      <c r="E1960" s="7" t="s">
        <v>7</v>
      </c>
      <c r="F1960" s="7" t="s">
        <v>8</v>
      </c>
      <c r="G1960" s="8"/>
    </row>
    <row r="1961">
      <c r="A1961" s="4">
        <v>43544.598168125</v>
      </c>
      <c r="B1961" s="5">
        <v>43544.8898037268</v>
      </c>
      <c r="C1961" s="6">
        <v>1.031</v>
      </c>
      <c r="D1961" s="6">
        <v>65.0</v>
      </c>
      <c r="E1961" s="7" t="s">
        <v>7</v>
      </c>
      <c r="F1961" s="7" t="s">
        <v>8</v>
      </c>
      <c r="G1961" s="8"/>
    </row>
    <row r="1962">
      <c r="A1962" s="4">
        <v>43544.60862172453</v>
      </c>
      <c r="B1962" s="5">
        <v>43544.9002484143</v>
      </c>
      <c r="C1962" s="6">
        <v>1.031</v>
      </c>
      <c r="D1962" s="6">
        <v>65.0</v>
      </c>
      <c r="E1962" s="7" t="s">
        <v>7</v>
      </c>
      <c r="F1962" s="7" t="s">
        <v>8</v>
      </c>
      <c r="G1962" s="8"/>
    </row>
    <row r="1963">
      <c r="A1963" s="4">
        <v>43544.61903947916</v>
      </c>
      <c r="B1963" s="5">
        <v>43544.9106749652</v>
      </c>
      <c r="C1963" s="6">
        <v>1.031</v>
      </c>
      <c r="D1963" s="6">
        <v>65.0</v>
      </c>
      <c r="E1963" s="7" t="s">
        <v>7</v>
      </c>
      <c r="F1963" s="7" t="s">
        <v>8</v>
      </c>
      <c r="G1963" s="8"/>
    </row>
    <row r="1964">
      <c r="A1964" s="4">
        <v>43544.62949045139</v>
      </c>
      <c r="B1964" s="5">
        <v>43544.9211269097</v>
      </c>
      <c r="C1964" s="6">
        <v>1.031</v>
      </c>
      <c r="D1964" s="6">
        <v>65.0</v>
      </c>
      <c r="E1964" s="7" t="s">
        <v>7</v>
      </c>
      <c r="F1964" s="7" t="s">
        <v>8</v>
      </c>
      <c r="G1964" s="8"/>
    </row>
    <row r="1965">
      <c r="A1965" s="4">
        <v>43544.63993123843</v>
      </c>
      <c r="B1965" s="5">
        <v>43544.9315590046</v>
      </c>
      <c r="C1965" s="6">
        <v>1.031</v>
      </c>
      <c r="D1965" s="6">
        <v>65.0</v>
      </c>
      <c r="E1965" s="7" t="s">
        <v>7</v>
      </c>
      <c r="F1965" s="7" t="s">
        <v>8</v>
      </c>
      <c r="G1965" s="8"/>
    </row>
    <row r="1966">
      <c r="A1966" s="4">
        <v>43544.65034729167</v>
      </c>
      <c r="B1966" s="5">
        <v>43544.9419803587</v>
      </c>
      <c r="C1966" s="6">
        <v>1.031</v>
      </c>
      <c r="D1966" s="6">
        <v>65.0</v>
      </c>
      <c r="E1966" s="7" t="s">
        <v>7</v>
      </c>
      <c r="F1966" s="7" t="s">
        <v>8</v>
      </c>
      <c r="G1966" s="8"/>
    </row>
    <row r="1967">
      <c r="A1967" s="4">
        <v>43544.660762025465</v>
      </c>
      <c r="B1967" s="5">
        <v>43544.9524005208</v>
      </c>
      <c r="C1967" s="6">
        <v>1.031</v>
      </c>
      <c r="D1967" s="6">
        <v>65.0</v>
      </c>
      <c r="E1967" s="7" t="s">
        <v>7</v>
      </c>
      <c r="F1967" s="7" t="s">
        <v>8</v>
      </c>
      <c r="G1967" s="8"/>
    </row>
    <row r="1968">
      <c r="A1968" s="4">
        <v>43544.67118295139</v>
      </c>
      <c r="B1968" s="5">
        <v>43544.9628199768</v>
      </c>
      <c r="C1968" s="6">
        <v>1.031</v>
      </c>
      <c r="D1968" s="6">
        <v>65.0</v>
      </c>
      <c r="E1968" s="7" t="s">
        <v>7</v>
      </c>
      <c r="F1968" s="7" t="s">
        <v>8</v>
      </c>
      <c r="G1968" s="8"/>
    </row>
    <row r="1969">
      <c r="A1969" s="4">
        <v>43544.68166015046</v>
      </c>
      <c r="B1969" s="5">
        <v>43544.9732984027</v>
      </c>
      <c r="C1969" s="6">
        <v>1.031</v>
      </c>
      <c r="D1969" s="6">
        <v>65.0</v>
      </c>
      <c r="E1969" s="7" t="s">
        <v>7</v>
      </c>
      <c r="F1969" s="7" t="s">
        <v>8</v>
      </c>
      <c r="G1969" s="8"/>
    </row>
    <row r="1970">
      <c r="A1970" s="4">
        <v>43544.69212096065</v>
      </c>
      <c r="B1970" s="5">
        <v>43544.9837547685</v>
      </c>
      <c r="C1970" s="6">
        <v>1.031</v>
      </c>
      <c r="D1970" s="6">
        <v>66.0</v>
      </c>
      <c r="E1970" s="7" t="s">
        <v>7</v>
      </c>
      <c r="F1970" s="7" t="s">
        <v>8</v>
      </c>
      <c r="G1970" s="8"/>
    </row>
    <row r="1971">
      <c r="A1971" s="4">
        <v>43544.70256643518</v>
      </c>
      <c r="B1971" s="5">
        <v>43544.9941992939</v>
      </c>
      <c r="C1971" s="6">
        <v>1.031</v>
      </c>
      <c r="D1971" s="6">
        <v>66.0</v>
      </c>
      <c r="E1971" s="7" t="s">
        <v>7</v>
      </c>
      <c r="F1971" s="7" t="s">
        <v>8</v>
      </c>
      <c r="G1971" s="8"/>
    </row>
    <row r="1972">
      <c r="A1972" s="4">
        <v>43544.71299944444</v>
      </c>
      <c r="B1972" s="5">
        <v>43545.0046437152</v>
      </c>
      <c r="C1972" s="6">
        <v>1.031</v>
      </c>
      <c r="D1972" s="6">
        <v>66.0</v>
      </c>
      <c r="E1972" s="7" t="s">
        <v>7</v>
      </c>
      <c r="F1972" s="7" t="s">
        <v>8</v>
      </c>
      <c r="G1972" s="8"/>
    </row>
    <row r="1973">
      <c r="A1973" s="4">
        <v>43544.723438506946</v>
      </c>
      <c r="B1973" s="5">
        <v>43545.0150656018</v>
      </c>
      <c r="C1973" s="6">
        <v>1.031</v>
      </c>
      <c r="D1973" s="6">
        <v>66.0</v>
      </c>
      <c r="E1973" s="7" t="s">
        <v>7</v>
      </c>
      <c r="F1973" s="7" t="s">
        <v>8</v>
      </c>
      <c r="G1973" s="8"/>
    </row>
    <row r="1974">
      <c r="A1974" s="4">
        <v>43544.73391895833</v>
      </c>
      <c r="B1974" s="5">
        <v>43545.0254975578</v>
      </c>
      <c r="C1974" s="6">
        <v>1.031</v>
      </c>
      <c r="D1974" s="6">
        <v>66.0</v>
      </c>
      <c r="E1974" s="7" t="s">
        <v>7</v>
      </c>
      <c r="F1974" s="7" t="s">
        <v>8</v>
      </c>
      <c r="G1974" s="8"/>
    </row>
    <row r="1975">
      <c r="A1975" s="4">
        <v>43544.74429333334</v>
      </c>
      <c r="B1975" s="5">
        <v>43545.0359293055</v>
      </c>
      <c r="C1975" s="6">
        <v>1.031</v>
      </c>
      <c r="D1975" s="6">
        <v>66.0</v>
      </c>
      <c r="E1975" s="7" t="s">
        <v>7</v>
      </c>
      <c r="F1975" s="7" t="s">
        <v>8</v>
      </c>
      <c r="G1975" s="8"/>
    </row>
    <row r="1976">
      <c r="A1976" s="4">
        <v>43544.75473891204</v>
      </c>
      <c r="B1976" s="5">
        <v>43545.0463735185</v>
      </c>
      <c r="C1976" s="6">
        <v>1.031</v>
      </c>
      <c r="D1976" s="6">
        <v>66.0</v>
      </c>
      <c r="E1976" s="7" t="s">
        <v>7</v>
      </c>
      <c r="F1976" s="7" t="s">
        <v>8</v>
      </c>
      <c r="G1976" s="8"/>
    </row>
    <row r="1977">
      <c r="A1977" s="4">
        <v>43544.76519009259</v>
      </c>
      <c r="B1977" s="5">
        <v>43545.0568174768</v>
      </c>
      <c r="C1977" s="6">
        <v>1.031</v>
      </c>
      <c r="D1977" s="6">
        <v>66.0</v>
      </c>
      <c r="E1977" s="7" t="s">
        <v>7</v>
      </c>
      <c r="F1977" s="7" t="s">
        <v>8</v>
      </c>
      <c r="G1977" s="8"/>
    </row>
    <row r="1978">
      <c r="A1978" s="4">
        <v>43544.77561865741</v>
      </c>
      <c r="B1978" s="5">
        <v>43545.067250162</v>
      </c>
      <c r="C1978" s="6">
        <v>1.031</v>
      </c>
      <c r="D1978" s="6">
        <v>66.0</v>
      </c>
      <c r="E1978" s="7" t="s">
        <v>7</v>
      </c>
      <c r="F1978" s="7" t="s">
        <v>8</v>
      </c>
      <c r="G1978" s="8"/>
    </row>
    <row r="1979">
      <c r="A1979" s="4">
        <v>43544.7860621875</v>
      </c>
      <c r="B1979" s="5">
        <v>43545.0776942361</v>
      </c>
      <c r="C1979" s="6">
        <v>1.031</v>
      </c>
      <c r="D1979" s="6">
        <v>66.0</v>
      </c>
      <c r="E1979" s="7" t="s">
        <v>7</v>
      </c>
      <c r="F1979" s="7" t="s">
        <v>8</v>
      </c>
      <c r="G1979" s="8"/>
    </row>
    <row r="1980">
      <c r="A1980" s="4">
        <v>43544.79648534722</v>
      </c>
      <c r="B1980" s="5">
        <v>43545.0881140509</v>
      </c>
      <c r="C1980" s="6">
        <v>1.031</v>
      </c>
      <c r="D1980" s="6">
        <v>66.0</v>
      </c>
      <c r="E1980" s="7" t="s">
        <v>7</v>
      </c>
      <c r="F1980" s="7" t="s">
        <v>8</v>
      </c>
      <c r="G1980" s="8"/>
    </row>
    <row r="1981">
      <c r="A1981" s="4">
        <v>43544.80691056713</v>
      </c>
      <c r="B1981" s="5">
        <v>43545.0985470601</v>
      </c>
      <c r="C1981" s="6">
        <v>1.031</v>
      </c>
      <c r="D1981" s="6">
        <v>66.0</v>
      </c>
      <c r="E1981" s="7" t="s">
        <v>7</v>
      </c>
      <c r="F1981" s="7" t="s">
        <v>8</v>
      </c>
      <c r="G1981" s="8"/>
    </row>
    <row r="1982">
      <c r="A1982" s="4">
        <v>43544.81733261574</v>
      </c>
      <c r="B1982" s="5">
        <v>43545.1089676504</v>
      </c>
      <c r="C1982" s="6">
        <v>1.031</v>
      </c>
      <c r="D1982" s="6">
        <v>66.0</v>
      </c>
      <c r="E1982" s="7" t="s">
        <v>7</v>
      </c>
      <c r="F1982" s="7" t="s">
        <v>8</v>
      </c>
      <c r="G1982" s="8"/>
    </row>
    <row r="1983">
      <c r="A1983" s="4">
        <v>43544.82775172454</v>
      </c>
      <c r="B1983" s="5">
        <v>43545.1193869328</v>
      </c>
      <c r="C1983" s="6">
        <v>1.031</v>
      </c>
      <c r="D1983" s="6">
        <v>66.0</v>
      </c>
      <c r="E1983" s="7" t="s">
        <v>7</v>
      </c>
      <c r="F1983" s="7" t="s">
        <v>8</v>
      </c>
      <c r="G1983" s="8"/>
    </row>
    <row r="1984">
      <c r="A1984" s="4">
        <v>43544.838195868055</v>
      </c>
      <c r="B1984" s="5">
        <v>43545.1298198611</v>
      </c>
      <c r="C1984" s="6">
        <v>1.031</v>
      </c>
      <c r="D1984" s="6">
        <v>66.0</v>
      </c>
      <c r="E1984" s="7" t="s">
        <v>7</v>
      </c>
      <c r="F1984" s="7" t="s">
        <v>8</v>
      </c>
      <c r="G1984" s="8"/>
    </row>
    <row r="1985">
      <c r="A1985" s="4">
        <v>43544.848635937495</v>
      </c>
      <c r="B1985" s="5">
        <v>43545.1402665856</v>
      </c>
      <c r="C1985" s="6">
        <v>1.031</v>
      </c>
      <c r="D1985" s="6">
        <v>66.0</v>
      </c>
      <c r="E1985" s="7" t="s">
        <v>7</v>
      </c>
      <c r="F1985" s="7" t="s">
        <v>8</v>
      </c>
      <c r="G1985" s="8"/>
    </row>
    <row r="1986">
      <c r="A1986" s="4">
        <v>43544.85904851852</v>
      </c>
      <c r="B1986" s="5">
        <v>43545.1506890509</v>
      </c>
      <c r="C1986" s="6">
        <v>1.031</v>
      </c>
      <c r="D1986" s="6">
        <v>66.0</v>
      </c>
      <c r="E1986" s="7" t="s">
        <v>7</v>
      </c>
      <c r="F1986" s="7" t="s">
        <v>8</v>
      </c>
      <c r="G1986" s="8"/>
    </row>
    <row r="1987">
      <c r="A1987" s="4">
        <v>43544.869494618055</v>
      </c>
      <c r="B1987" s="5">
        <v>43545.1611319791</v>
      </c>
      <c r="C1987" s="6">
        <v>1.031</v>
      </c>
      <c r="D1987" s="6">
        <v>66.0</v>
      </c>
      <c r="E1987" s="7" t="s">
        <v>7</v>
      </c>
      <c r="F1987" s="7" t="s">
        <v>8</v>
      </c>
      <c r="G1987" s="8"/>
    </row>
    <row r="1988">
      <c r="A1988" s="4">
        <v>43544.87992535879</v>
      </c>
      <c r="B1988" s="5">
        <v>43545.1715619791</v>
      </c>
      <c r="C1988" s="6">
        <v>1.031</v>
      </c>
      <c r="D1988" s="6">
        <v>66.0</v>
      </c>
      <c r="E1988" s="7" t="s">
        <v>7</v>
      </c>
      <c r="F1988" s="7" t="s">
        <v>8</v>
      </c>
      <c r="G1988" s="8"/>
    </row>
    <row r="1989">
      <c r="A1989" s="4">
        <v>43544.890352800925</v>
      </c>
      <c r="B1989" s="5">
        <v>43545.1819923495</v>
      </c>
      <c r="C1989" s="6">
        <v>1.031</v>
      </c>
      <c r="D1989" s="6">
        <v>66.0</v>
      </c>
      <c r="E1989" s="7" t="s">
        <v>7</v>
      </c>
      <c r="F1989" s="7" t="s">
        <v>8</v>
      </c>
      <c r="G1989" s="8"/>
    </row>
    <row r="1990">
      <c r="A1990" s="4">
        <v>43544.900792546294</v>
      </c>
      <c r="B1990" s="5">
        <v>43545.192426493</v>
      </c>
      <c r="C1990" s="6">
        <v>1.031</v>
      </c>
      <c r="D1990" s="6">
        <v>66.0</v>
      </c>
      <c r="E1990" s="7" t="s">
        <v>7</v>
      </c>
      <c r="F1990" s="7" t="s">
        <v>8</v>
      </c>
      <c r="G1990" s="8"/>
    </row>
    <row r="1991">
      <c r="A1991" s="4">
        <v>43544.911278761574</v>
      </c>
      <c r="B1991" s="5">
        <v>43545.2028592592</v>
      </c>
      <c r="C1991" s="6">
        <v>1.031</v>
      </c>
      <c r="D1991" s="6">
        <v>66.0</v>
      </c>
      <c r="E1991" s="7" t="s">
        <v>7</v>
      </c>
      <c r="F1991" s="7" t="s">
        <v>8</v>
      </c>
      <c r="G1991" s="8"/>
    </row>
    <row r="1992">
      <c r="A1992" s="4">
        <v>43544.92170155093</v>
      </c>
      <c r="B1992" s="5">
        <v>43545.2132780208</v>
      </c>
      <c r="C1992" s="6">
        <v>1.031</v>
      </c>
      <c r="D1992" s="6">
        <v>66.0</v>
      </c>
      <c r="E1992" s="7" t="s">
        <v>7</v>
      </c>
      <c r="F1992" s="7" t="s">
        <v>8</v>
      </c>
      <c r="G1992" s="8"/>
    </row>
    <row r="1993">
      <c r="A1993" s="4">
        <v>43544.932078252314</v>
      </c>
      <c r="B1993" s="5">
        <v>43545.2237095833</v>
      </c>
      <c r="C1993" s="6">
        <v>1.03</v>
      </c>
      <c r="D1993" s="6">
        <v>66.0</v>
      </c>
      <c r="E1993" s="7" t="s">
        <v>7</v>
      </c>
      <c r="F1993" s="7" t="s">
        <v>8</v>
      </c>
      <c r="G1993" s="8"/>
    </row>
    <row r="1994">
      <c r="A1994" s="4">
        <v>43544.94248857639</v>
      </c>
      <c r="B1994" s="5">
        <v>43545.2341300694</v>
      </c>
      <c r="C1994" s="6">
        <v>1.031</v>
      </c>
      <c r="D1994" s="6">
        <v>66.0</v>
      </c>
      <c r="E1994" s="7" t="s">
        <v>7</v>
      </c>
      <c r="F1994" s="7" t="s">
        <v>8</v>
      </c>
      <c r="G1994" s="8"/>
    </row>
    <row r="1995">
      <c r="A1995" s="4">
        <v>43544.95297478009</v>
      </c>
      <c r="B1995" s="5">
        <v>43545.2446085416</v>
      </c>
      <c r="C1995" s="6">
        <v>1.031</v>
      </c>
      <c r="D1995" s="6">
        <v>66.0</v>
      </c>
      <c r="E1995" s="7" t="s">
        <v>7</v>
      </c>
      <c r="F1995" s="7" t="s">
        <v>8</v>
      </c>
      <c r="G1995" s="8"/>
    </row>
    <row r="1996">
      <c r="A1996" s="4">
        <v>43544.96343939815</v>
      </c>
      <c r="B1996" s="5">
        <v>43545.2550764467</v>
      </c>
      <c r="C1996" s="6">
        <v>1.031</v>
      </c>
      <c r="D1996" s="6">
        <v>66.0</v>
      </c>
      <c r="E1996" s="7" t="s">
        <v>7</v>
      </c>
      <c r="F1996" s="7" t="s">
        <v>8</v>
      </c>
      <c r="G1996" s="8"/>
    </row>
    <row r="1997">
      <c r="A1997" s="4">
        <v>43544.973882094906</v>
      </c>
      <c r="B1997" s="5">
        <v>43545.2655202199</v>
      </c>
      <c r="C1997" s="6">
        <v>1.031</v>
      </c>
      <c r="D1997" s="6">
        <v>66.0</v>
      </c>
      <c r="E1997" s="7" t="s">
        <v>7</v>
      </c>
      <c r="F1997" s="7" t="s">
        <v>8</v>
      </c>
      <c r="G1997" s="8"/>
    </row>
    <row r="1998">
      <c r="A1998" s="4">
        <v>43544.9843109838</v>
      </c>
      <c r="B1998" s="5">
        <v>43545.2759408912</v>
      </c>
      <c r="C1998" s="6">
        <v>1.031</v>
      </c>
      <c r="D1998" s="6">
        <v>66.0</v>
      </c>
      <c r="E1998" s="7" t="s">
        <v>7</v>
      </c>
      <c r="F1998" s="7" t="s">
        <v>8</v>
      </c>
      <c r="G1998" s="8"/>
    </row>
    <row r="1999">
      <c r="A1999" s="4">
        <v>43544.99481635417</v>
      </c>
      <c r="B1999" s="5">
        <v>43545.2863967939</v>
      </c>
      <c r="C1999" s="6">
        <v>1.031</v>
      </c>
      <c r="D1999" s="6">
        <v>66.0</v>
      </c>
      <c r="E1999" s="7" t="s">
        <v>7</v>
      </c>
      <c r="F1999" s="7" t="s">
        <v>8</v>
      </c>
      <c r="G1999" s="8"/>
    </row>
    <row r="2000">
      <c r="A2000" s="4">
        <v>43545.00517924769</v>
      </c>
      <c r="B2000" s="5">
        <v>43545.2968173726</v>
      </c>
      <c r="C2000" s="6">
        <v>1.031</v>
      </c>
      <c r="D2000" s="6">
        <v>66.0</v>
      </c>
      <c r="E2000" s="7" t="s">
        <v>7</v>
      </c>
      <c r="F2000" s="7" t="s">
        <v>8</v>
      </c>
      <c r="G2000" s="8"/>
    </row>
    <row r="2001">
      <c r="A2001" s="4">
        <v>43545.01560273148</v>
      </c>
      <c r="B2001" s="5">
        <v>43545.3072390856</v>
      </c>
      <c r="C2001" s="6">
        <v>1.031</v>
      </c>
      <c r="D2001" s="6">
        <v>66.0</v>
      </c>
      <c r="E2001" s="7" t="s">
        <v>7</v>
      </c>
      <c r="F2001" s="7" t="s">
        <v>8</v>
      </c>
      <c r="G2001" s="8"/>
    </row>
    <row r="2002">
      <c r="A2002" s="4">
        <v>43545.02603487269</v>
      </c>
      <c r="B2002" s="5">
        <v>43545.3176738773</v>
      </c>
      <c r="C2002" s="6">
        <v>1.031</v>
      </c>
      <c r="D2002" s="6">
        <v>66.0</v>
      </c>
      <c r="E2002" s="7" t="s">
        <v>7</v>
      </c>
      <c r="F2002" s="7" t="s">
        <v>8</v>
      </c>
      <c r="G2002" s="8"/>
    </row>
    <row r="2003">
      <c r="A2003" s="4">
        <v>43545.0364724074</v>
      </c>
      <c r="B2003" s="5">
        <v>43545.3281060995</v>
      </c>
      <c r="C2003" s="6">
        <v>1.031</v>
      </c>
      <c r="D2003" s="6">
        <v>66.0</v>
      </c>
      <c r="E2003" s="7" t="s">
        <v>7</v>
      </c>
      <c r="F2003" s="7" t="s">
        <v>8</v>
      </c>
      <c r="G2003" s="8"/>
    </row>
    <row r="2004">
      <c r="A2004" s="4">
        <v>43545.04689254629</v>
      </c>
      <c r="B2004" s="5">
        <v>43545.3385270833</v>
      </c>
      <c r="C2004" s="6">
        <v>1.031</v>
      </c>
      <c r="D2004" s="6">
        <v>66.0</v>
      </c>
      <c r="E2004" s="7" t="s">
        <v>7</v>
      </c>
      <c r="F2004" s="7" t="s">
        <v>8</v>
      </c>
      <c r="G2004" s="8"/>
    </row>
    <row r="2005">
      <c r="A2005" s="4">
        <v>43545.05730849537</v>
      </c>
      <c r="B2005" s="5">
        <v>43545.3489493981</v>
      </c>
      <c r="C2005" s="6">
        <v>1.03</v>
      </c>
      <c r="D2005" s="6">
        <v>66.0</v>
      </c>
      <c r="E2005" s="7" t="s">
        <v>7</v>
      </c>
      <c r="F2005" s="7" t="s">
        <v>8</v>
      </c>
      <c r="G2005" s="8"/>
    </row>
    <row r="2006">
      <c r="A2006" s="4">
        <v>43545.06774107639</v>
      </c>
      <c r="B2006" s="5">
        <v>43545.359371493</v>
      </c>
      <c r="C2006" s="6">
        <v>1.031</v>
      </c>
      <c r="D2006" s="6">
        <v>66.0</v>
      </c>
      <c r="E2006" s="7" t="s">
        <v>7</v>
      </c>
      <c r="F2006" s="7" t="s">
        <v>8</v>
      </c>
      <c r="G2006" s="8"/>
    </row>
    <row r="2007">
      <c r="A2007" s="4">
        <v>43545.07815829861</v>
      </c>
      <c r="B2007" s="5">
        <v>43545.3697928472</v>
      </c>
      <c r="C2007" s="6">
        <v>1.03</v>
      </c>
      <c r="D2007" s="6">
        <v>66.0</v>
      </c>
      <c r="E2007" s="7" t="s">
        <v>7</v>
      </c>
      <c r="F2007" s="7" t="s">
        <v>8</v>
      </c>
      <c r="G2007" s="8"/>
    </row>
    <row r="2008">
      <c r="A2008" s="4">
        <v>43545.08859773148</v>
      </c>
      <c r="B2008" s="5">
        <v>43545.3802377199</v>
      </c>
      <c r="C2008" s="6">
        <v>1.03</v>
      </c>
      <c r="D2008" s="6">
        <v>66.0</v>
      </c>
      <c r="E2008" s="7" t="s">
        <v>7</v>
      </c>
      <c r="F2008" s="7" t="s">
        <v>8</v>
      </c>
      <c r="G2008" s="8"/>
    </row>
    <row r="2009">
      <c r="A2009" s="4">
        <v>43545.0990220949</v>
      </c>
      <c r="B2009" s="5">
        <v>43545.3906589004</v>
      </c>
      <c r="C2009" s="6">
        <v>1.03</v>
      </c>
      <c r="D2009" s="6">
        <v>66.0</v>
      </c>
      <c r="E2009" s="7" t="s">
        <v>7</v>
      </c>
      <c r="F2009" s="7" t="s">
        <v>8</v>
      </c>
      <c r="G2009" s="8"/>
    </row>
    <row r="2010">
      <c r="A2010" s="4">
        <v>43545.10945173611</v>
      </c>
      <c r="B2010" s="5">
        <v>43545.4010903935</v>
      </c>
      <c r="C2010" s="6">
        <v>1.03</v>
      </c>
      <c r="D2010" s="6">
        <v>66.0</v>
      </c>
      <c r="E2010" s="7" t="s">
        <v>7</v>
      </c>
      <c r="F2010" s="7" t="s">
        <v>8</v>
      </c>
      <c r="G2010" s="8"/>
    </row>
    <row r="2011">
      <c r="A2011" s="4">
        <v>43545.1198775</v>
      </c>
      <c r="B2011" s="5">
        <v>43545.4115106134</v>
      </c>
      <c r="C2011" s="6">
        <v>1.03</v>
      </c>
      <c r="D2011" s="6">
        <v>66.0</v>
      </c>
      <c r="E2011" s="7" t="s">
        <v>7</v>
      </c>
      <c r="F2011" s="7" t="s">
        <v>8</v>
      </c>
      <c r="G2011" s="8"/>
    </row>
    <row r="2012">
      <c r="A2012" s="4">
        <v>43545.13029421296</v>
      </c>
      <c r="B2012" s="5">
        <v>43545.4219295254</v>
      </c>
      <c r="C2012" s="6">
        <v>1.03</v>
      </c>
      <c r="D2012" s="6">
        <v>66.0</v>
      </c>
      <c r="E2012" s="7" t="s">
        <v>7</v>
      </c>
      <c r="F2012" s="7" t="s">
        <v>8</v>
      </c>
      <c r="G2012" s="8"/>
    </row>
    <row r="2013">
      <c r="A2013" s="4">
        <v>43545.140712650464</v>
      </c>
      <c r="B2013" s="5">
        <v>43545.4323511805</v>
      </c>
      <c r="C2013" s="6">
        <v>1.03</v>
      </c>
      <c r="D2013" s="6">
        <v>66.0</v>
      </c>
      <c r="E2013" s="7" t="s">
        <v>7</v>
      </c>
      <c r="F2013" s="7" t="s">
        <v>8</v>
      </c>
      <c r="G2013" s="8"/>
    </row>
    <row r="2014">
      <c r="A2014" s="4">
        <v>43545.15113886574</v>
      </c>
      <c r="B2014" s="5">
        <v>43545.4427724768</v>
      </c>
      <c r="C2014" s="6">
        <v>1.03</v>
      </c>
      <c r="D2014" s="6">
        <v>66.0</v>
      </c>
      <c r="E2014" s="7" t="s">
        <v>7</v>
      </c>
      <c r="F2014" s="7" t="s">
        <v>8</v>
      </c>
      <c r="G2014" s="8"/>
    </row>
    <row r="2015">
      <c r="A2015" s="4">
        <v>43545.161581249995</v>
      </c>
      <c r="B2015" s="5">
        <v>43545.4532180671</v>
      </c>
      <c r="C2015" s="6">
        <v>1.03</v>
      </c>
      <c r="D2015" s="6">
        <v>66.0</v>
      </c>
      <c r="E2015" s="7" t="s">
        <v>7</v>
      </c>
      <c r="F2015" s="7" t="s">
        <v>8</v>
      </c>
      <c r="G2015" s="8"/>
    </row>
    <row r="2016">
      <c r="A2016" s="4">
        <v>43545.172021875</v>
      </c>
      <c r="B2016" s="5">
        <v>43545.4636628472</v>
      </c>
      <c r="C2016" s="6">
        <v>1.031</v>
      </c>
      <c r="D2016" s="6">
        <v>66.0</v>
      </c>
      <c r="E2016" s="7" t="s">
        <v>7</v>
      </c>
      <c r="F2016" s="7" t="s">
        <v>8</v>
      </c>
      <c r="G2016" s="8"/>
    </row>
    <row r="2017">
      <c r="A2017" s="4">
        <v>43545.18260355324</v>
      </c>
      <c r="B2017" s="5">
        <v>43545.4740844212</v>
      </c>
      <c r="C2017" s="6">
        <v>1.03</v>
      </c>
      <c r="D2017" s="6">
        <v>66.0</v>
      </c>
      <c r="E2017" s="7" t="s">
        <v>7</v>
      </c>
      <c r="F2017" s="7" t="s">
        <v>8</v>
      </c>
      <c r="G2017" s="8"/>
    </row>
    <row r="2018">
      <c r="A2018" s="4">
        <v>43545.19286622685</v>
      </c>
      <c r="B2018" s="5">
        <v>43545.4845056597</v>
      </c>
      <c r="C2018" s="6">
        <v>1.03</v>
      </c>
      <c r="D2018" s="6">
        <v>66.0</v>
      </c>
      <c r="E2018" s="7" t="s">
        <v>7</v>
      </c>
      <c r="F2018" s="7" t="s">
        <v>8</v>
      </c>
      <c r="G2018" s="8"/>
    </row>
    <row r="2019">
      <c r="A2019" s="4">
        <v>43545.20329722222</v>
      </c>
      <c r="B2019" s="5">
        <v>43545.494928449</v>
      </c>
      <c r="C2019" s="6">
        <v>1.03</v>
      </c>
      <c r="D2019" s="6">
        <v>66.0</v>
      </c>
      <c r="E2019" s="7" t="s">
        <v>7</v>
      </c>
      <c r="F2019" s="7" t="s">
        <v>8</v>
      </c>
      <c r="G2019" s="8"/>
    </row>
    <row r="2020">
      <c r="A2020" s="4">
        <v>43545.21371902778</v>
      </c>
      <c r="B2020" s="5">
        <v>43545.505349618</v>
      </c>
      <c r="C2020" s="6">
        <v>1.03</v>
      </c>
      <c r="D2020" s="6">
        <v>66.0</v>
      </c>
      <c r="E2020" s="7" t="s">
        <v>7</v>
      </c>
      <c r="F2020" s="7" t="s">
        <v>8</v>
      </c>
      <c r="G2020" s="8"/>
    </row>
    <row r="2021">
      <c r="A2021" s="4">
        <v>43545.22413689815</v>
      </c>
      <c r="B2021" s="5">
        <v>43545.5157702777</v>
      </c>
      <c r="C2021" s="6">
        <v>1.031</v>
      </c>
      <c r="D2021" s="6">
        <v>66.0</v>
      </c>
      <c r="E2021" s="7" t="s">
        <v>7</v>
      </c>
      <c r="F2021" s="7" t="s">
        <v>8</v>
      </c>
      <c r="G2021" s="8"/>
    </row>
    <row r="2022">
      <c r="A2022" s="4">
        <v>43545.23455891204</v>
      </c>
      <c r="B2022" s="5">
        <v>43545.5261911805</v>
      </c>
      <c r="C2022" s="6">
        <v>1.03</v>
      </c>
      <c r="D2022" s="6">
        <v>66.0</v>
      </c>
      <c r="E2022" s="7" t="s">
        <v>7</v>
      </c>
      <c r="F2022" s="7" t="s">
        <v>8</v>
      </c>
      <c r="G2022" s="8"/>
    </row>
    <row r="2023">
      <c r="A2023" s="4">
        <v>43545.24498178241</v>
      </c>
      <c r="B2023" s="5">
        <v>43545.5366145949</v>
      </c>
      <c r="C2023" s="6">
        <v>1.03</v>
      </c>
      <c r="D2023" s="6">
        <v>66.0</v>
      </c>
      <c r="E2023" s="7" t="s">
        <v>7</v>
      </c>
      <c r="F2023" s="7" t="s">
        <v>8</v>
      </c>
      <c r="G2023" s="8"/>
    </row>
    <row r="2024">
      <c r="A2024" s="4">
        <v>43545.25541550926</v>
      </c>
      <c r="B2024" s="5">
        <v>43545.5470484027</v>
      </c>
      <c r="C2024" s="6">
        <v>1.03</v>
      </c>
      <c r="D2024" s="6">
        <v>66.0</v>
      </c>
      <c r="E2024" s="7" t="s">
        <v>7</v>
      </c>
      <c r="F2024" s="7" t="s">
        <v>8</v>
      </c>
      <c r="G2024" s="8"/>
    </row>
    <row r="2025">
      <c r="A2025" s="4">
        <v>43545.26584487269</v>
      </c>
      <c r="B2025" s="5">
        <v>43545.5574806134</v>
      </c>
      <c r="C2025" s="6">
        <v>1.03</v>
      </c>
      <c r="D2025" s="6">
        <v>66.0</v>
      </c>
      <c r="E2025" s="7" t="s">
        <v>7</v>
      </c>
      <c r="F2025" s="7" t="s">
        <v>8</v>
      </c>
      <c r="G2025" s="8"/>
    </row>
    <row r="2026">
      <c r="A2026" s="4">
        <v>43545.27627002315</v>
      </c>
      <c r="B2026" s="5">
        <v>43545.5679025347</v>
      </c>
      <c r="C2026" s="6">
        <v>1.03</v>
      </c>
      <c r="D2026" s="6">
        <v>66.0</v>
      </c>
      <c r="E2026" s="7" t="s">
        <v>7</v>
      </c>
      <c r="F2026" s="7" t="s">
        <v>8</v>
      </c>
      <c r="G2026" s="8"/>
    </row>
    <row r="2027">
      <c r="A2027" s="4">
        <v>43545.286696932875</v>
      </c>
      <c r="B2027" s="5">
        <v>43545.5783239699</v>
      </c>
      <c r="C2027" s="6">
        <v>1.03</v>
      </c>
      <c r="D2027" s="6">
        <v>66.0</v>
      </c>
      <c r="E2027" s="7" t="s">
        <v>7</v>
      </c>
      <c r="F2027" s="7" t="s">
        <v>8</v>
      </c>
      <c r="G2027" s="8"/>
    </row>
    <row r="2028">
      <c r="A2028" s="4">
        <v>43545.29713706019</v>
      </c>
      <c r="B2028" s="5">
        <v>43545.5887679398</v>
      </c>
      <c r="C2028" s="6">
        <v>1.03</v>
      </c>
      <c r="D2028" s="6">
        <v>66.0</v>
      </c>
      <c r="E2028" s="7" t="s">
        <v>7</v>
      </c>
      <c r="F2028" s="7" t="s">
        <v>8</v>
      </c>
      <c r="G2028" s="8"/>
    </row>
    <row r="2029">
      <c r="A2029" s="4">
        <v>43545.30755440972</v>
      </c>
      <c r="B2029" s="5">
        <v>43545.5991899537</v>
      </c>
      <c r="C2029" s="6">
        <v>1.03</v>
      </c>
      <c r="D2029" s="6">
        <v>66.0</v>
      </c>
      <c r="E2029" s="7" t="s">
        <v>7</v>
      </c>
      <c r="F2029" s="7" t="s">
        <v>8</v>
      </c>
      <c r="G2029" s="8"/>
    </row>
    <row r="2030">
      <c r="A2030" s="4">
        <v>43545.31798216436</v>
      </c>
      <c r="B2030" s="5">
        <v>43545.6096105787</v>
      </c>
      <c r="C2030" s="6">
        <v>1.03</v>
      </c>
      <c r="D2030" s="6">
        <v>66.0</v>
      </c>
      <c r="E2030" s="7" t="s">
        <v>7</v>
      </c>
      <c r="F2030" s="7" t="s">
        <v>8</v>
      </c>
      <c r="G2030" s="8"/>
    </row>
    <row r="2031">
      <c r="A2031" s="4">
        <v>43545.328400706014</v>
      </c>
      <c r="B2031" s="5">
        <v>43545.6200321064</v>
      </c>
      <c r="C2031" s="6">
        <v>1.03</v>
      </c>
      <c r="D2031" s="6">
        <v>66.0</v>
      </c>
      <c r="E2031" s="7" t="s">
        <v>7</v>
      </c>
      <c r="F2031" s="7" t="s">
        <v>8</v>
      </c>
      <c r="G2031" s="8"/>
    </row>
    <row r="2032">
      <c r="A2032" s="4">
        <v>43545.33885626157</v>
      </c>
      <c r="B2032" s="5">
        <v>43545.6304873842</v>
      </c>
      <c r="C2032" s="6">
        <v>1.03</v>
      </c>
      <c r="D2032" s="6">
        <v>66.0</v>
      </c>
      <c r="E2032" s="7" t="s">
        <v>7</v>
      </c>
      <c r="F2032" s="7" t="s">
        <v>8</v>
      </c>
      <c r="G2032" s="8"/>
    </row>
    <row r="2033">
      <c r="A2033" s="4">
        <v>43545.349267743055</v>
      </c>
      <c r="B2033" s="5">
        <v>43545.6409076041</v>
      </c>
      <c r="C2033" s="6">
        <v>1.03</v>
      </c>
      <c r="D2033" s="6">
        <v>66.0</v>
      </c>
      <c r="E2033" s="7" t="s">
        <v>7</v>
      </c>
      <c r="F2033" s="7" t="s">
        <v>8</v>
      </c>
      <c r="G2033" s="8"/>
    </row>
    <row r="2034">
      <c r="A2034" s="4">
        <v>43545.3597121875</v>
      </c>
      <c r="B2034" s="5">
        <v>43545.6513401967</v>
      </c>
      <c r="C2034" s="6">
        <v>1.03</v>
      </c>
      <c r="D2034" s="6">
        <v>66.0</v>
      </c>
      <c r="E2034" s="7" t="s">
        <v>7</v>
      </c>
      <c r="F2034" s="7" t="s">
        <v>8</v>
      </c>
      <c r="G2034" s="8"/>
    </row>
    <row r="2035">
      <c r="A2035" s="4">
        <v>43545.37016070602</v>
      </c>
      <c r="B2035" s="5">
        <v>43545.6617981944</v>
      </c>
      <c r="C2035" s="6">
        <v>1.03</v>
      </c>
      <c r="D2035" s="6">
        <v>66.0</v>
      </c>
      <c r="E2035" s="7" t="s">
        <v>7</v>
      </c>
      <c r="F2035" s="7" t="s">
        <v>8</v>
      </c>
      <c r="G2035" s="8"/>
    </row>
    <row r="2036">
      <c r="A2036" s="4">
        <v>43545.38065878472</v>
      </c>
      <c r="B2036" s="5">
        <v>43545.6722877662</v>
      </c>
      <c r="C2036" s="6">
        <v>1.03</v>
      </c>
      <c r="D2036" s="6">
        <v>66.0</v>
      </c>
      <c r="E2036" s="7" t="s">
        <v>7</v>
      </c>
      <c r="F2036" s="7" t="s">
        <v>8</v>
      </c>
      <c r="G2036" s="8"/>
    </row>
    <row r="2037">
      <c r="A2037" s="4">
        <v>43545.39107460648</v>
      </c>
      <c r="B2037" s="5">
        <v>43545.6827086342</v>
      </c>
      <c r="C2037" s="6">
        <v>1.03</v>
      </c>
      <c r="D2037" s="6">
        <v>66.0</v>
      </c>
      <c r="E2037" s="7" t="s">
        <v>7</v>
      </c>
      <c r="F2037" s="7" t="s">
        <v>8</v>
      </c>
      <c r="G2037" s="8"/>
    </row>
    <row r="2038">
      <c r="A2038" s="4">
        <v>43545.401517245366</v>
      </c>
      <c r="B2038" s="5">
        <v>43545.6931518981</v>
      </c>
      <c r="C2038" s="6">
        <v>1.03</v>
      </c>
      <c r="D2038" s="6">
        <v>66.0</v>
      </c>
      <c r="E2038" s="7" t="s">
        <v>7</v>
      </c>
      <c r="F2038" s="7" t="s">
        <v>8</v>
      </c>
      <c r="G2038" s="8"/>
    </row>
    <row r="2039">
      <c r="A2039" s="4">
        <v>43545.411944189815</v>
      </c>
      <c r="B2039" s="5">
        <v>43545.7035743055</v>
      </c>
      <c r="C2039" s="6">
        <v>1.03</v>
      </c>
      <c r="D2039" s="6">
        <v>66.0</v>
      </c>
      <c r="E2039" s="7" t="s">
        <v>7</v>
      </c>
      <c r="F2039" s="7" t="s">
        <v>8</v>
      </c>
      <c r="G2039" s="8"/>
    </row>
    <row r="2040">
      <c r="A2040" s="4">
        <v>43545.42238013889</v>
      </c>
      <c r="B2040" s="5">
        <v>43545.714007199</v>
      </c>
      <c r="C2040" s="6">
        <v>1.03</v>
      </c>
      <c r="D2040" s="6">
        <v>66.0</v>
      </c>
      <c r="E2040" s="7" t="s">
        <v>7</v>
      </c>
      <c r="F2040" s="7" t="s">
        <v>8</v>
      </c>
      <c r="G2040" s="8"/>
    </row>
    <row r="2041">
      <c r="A2041" s="4">
        <v>43545.432818437504</v>
      </c>
      <c r="B2041" s="5">
        <v>43545.72445</v>
      </c>
      <c r="C2041" s="6">
        <v>1.03</v>
      </c>
      <c r="D2041" s="6">
        <v>66.0</v>
      </c>
      <c r="E2041" s="7" t="s">
        <v>7</v>
      </c>
      <c r="F2041" s="7" t="s">
        <v>8</v>
      </c>
      <c r="G2041" s="8"/>
    </row>
    <row r="2042">
      <c r="A2042" s="4">
        <v>43545.44325768518</v>
      </c>
      <c r="B2042" s="5">
        <v>43545.7348950347</v>
      </c>
      <c r="C2042" s="6">
        <v>1.03</v>
      </c>
      <c r="D2042" s="6">
        <v>66.0</v>
      </c>
      <c r="E2042" s="7" t="s">
        <v>7</v>
      </c>
      <c r="F2042" s="7" t="s">
        <v>8</v>
      </c>
      <c r="G2042" s="8"/>
    </row>
    <row r="2043">
      <c r="A2043" s="4">
        <v>43545.45371621528</v>
      </c>
      <c r="B2043" s="5">
        <v>43545.7453494097</v>
      </c>
      <c r="C2043" s="6">
        <v>1.03</v>
      </c>
      <c r="D2043" s="6">
        <v>66.0</v>
      </c>
      <c r="E2043" s="7" t="s">
        <v>7</v>
      </c>
      <c r="F2043" s="7" t="s">
        <v>8</v>
      </c>
      <c r="G2043" s="8"/>
    </row>
    <row r="2044">
      <c r="A2044" s="4">
        <v>43545.464136875</v>
      </c>
      <c r="B2044" s="5">
        <v>43545.7557686921</v>
      </c>
      <c r="C2044" s="6">
        <v>1.03</v>
      </c>
      <c r="D2044" s="6">
        <v>66.0</v>
      </c>
      <c r="E2044" s="7" t="s">
        <v>7</v>
      </c>
      <c r="F2044" s="7" t="s">
        <v>8</v>
      </c>
      <c r="G2044" s="8"/>
    </row>
    <row r="2045">
      <c r="A2045" s="4">
        <v>43545.474565972225</v>
      </c>
      <c r="B2045" s="5">
        <v>43545.7661910995</v>
      </c>
      <c r="C2045" s="6">
        <v>1.03</v>
      </c>
      <c r="D2045" s="6">
        <v>66.0</v>
      </c>
      <c r="E2045" s="7" t="s">
        <v>7</v>
      </c>
      <c r="F2045" s="7" t="s">
        <v>8</v>
      </c>
      <c r="G2045" s="8"/>
    </row>
    <row r="2046">
      <c r="A2046" s="4">
        <v>43545.48499157408</v>
      </c>
      <c r="B2046" s="5">
        <v>43545.776613831</v>
      </c>
      <c r="C2046" s="6">
        <v>1.03</v>
      </c>
      <c r="D2046" s="6">
        <v>66.0</v>
      </c>
      <c r="E2046" s="7" t="s">
        <v>7</v>
      </c>
      <c r="F2046" s="7" t="s">
        <v>8</v>
      </c>
      <c r="G2046" s="8"/>
    </row>
    <row r="2047">
      <c r="A2047" s="4">
        <v>43545.495414062505</v>
      </c>
      <c r="B2047" s="5">
        <v>43545.7870466782</v>
      </c>
      <c r="C2047" s="6">
        <v>1.03</v>
      </c>
      <c r="D2047" s="6">
        <v>66.0</v>
      </c>
      <c r="E2047" s="7" t="s">
        <v>7</v>
      </c>
      <c r="F2047" s="7" t="s">
        <v>8</v>
      </c>
      <c r="G2047" s="8"/>
    </row>
    <row r="2048">
      <c r="A2048" s="4">
        <v>43545.50584537037</v>
      </c>
      <c r="B2048" s="5">
        <v>43545.7974793055</v>
      </c>
      <c r="C2048" s="6">
        <v>1.03</v>
      </c>
      <c r="D2048" s="6">
        <v>66.0</v>
      </c>
      <c r="E2048" s="7" t="s">
        <v>7</v>
      </c>
      <c r="F2048" s="7" t="s">
        <v>8</v>
      </c>
      <c r="G2048" s="8"/>
    </row>
    <row r="2049">
      <c r="A2049" s="4">
        <v>43545.51627709491</v>
      </c>
      <c r="B2049" s="5">
        <v>43545.8079124768</v>
      </c>
      <c r="C2049" s="6">
        <v>1.03</v>
      </c>
      <c r="D2049" s="6">
        <v>66.0</v>
      </c>
      <c r="E2049" s="7" t="s">
        <v>7</v>
      </c>
      <c r="F2049" s="7" t="s">
        <v>8</v>
      </c>
      <c r="G2049" s="8"/>
    </row>
    <row r="2050">
      <c r="A2050" s="4">
        <v>43545.52669262732</v>
      </c>
      <c r="B2050" s="5">
        <v>43545.8183320254</v>
      </c>
      <c r="C2050" s="6">
        <v>1.03</v>
      </c>
      <c r="D2050" s="6">
        <v>66.0</v>
      </c>
      <c r="E2050" s="7" t="s">
        <v>7</v>
      </c>
      <c r="F2050" s="7" t="s">
        <v>8</v>
      </c>
      <c r="G2050" s="8"/>
    </row>
    <row r="2051">
      <c r="A2051" s="4">
        <v>43545.537180405096</v>
      </c>
      <c r="B2051" s="5">
        <v>43545.8288119791</v>
      </c>
      <c r="C2051" s="6">
        <v>1.03</v>
      </c>
      <c r="D2051" s="6">
        <v>66.0</v>
      </c>
      <c r="E2051" s="7" t="s">
        <v>7</v>
      </c>
      <c r="F2051" s="7" t="s">
        <v>8</v>
      </c>
      <c r="G2051" s="8"/>
    </row>
    <row r="2052">
      <c r="A2052" s="4">
        <v>43545.54762517361</v>
      </c>
      <c r="B2052" s="5">
        <v>43545.8392560532</v>
      </c>
      <c r="C2052" s="6">
        <v>1.03</v>
      </c>
      <c r="D2052" s="6">
        <v>66.0</v>
      </c>
      <c r="E2052" s="7" t="s">
        <v>7</v>
      </c>
      <c r="F2052" s="7" t="s">
        <v>8</v>
      </c>
      <c r="G2052" s="8"/>
    </row>
    <row r="2053">
      <c r="A2053" s="4">
        <v>43545.55804388889</v>
      </c>
      <c r="B2053" s="5">
        <v>43545.8496767708</v>
      </c>
      <c r="C2053" s="6">
        <v>1.03</v>
      </c>
      <c r="D2053" s="6">
        <v>66.0</v>
      </c>
      <c r="E2053" s="7" t="s">
        <v>7</v>
      </c>
      <c r="F2053" s="7" t="s">
        <v>8</v>
      </c>
      <c r="G2053" s="8"/>
    </row>
    <row r="2054">
      <c r="A2054" s="4">
        <v>43545.56846488426</v>
      </c>
      <c r="B2054" s="5">
        <v>43545.8600987731</v>
      </c>
      <c r="C2054" s="6">
        <v>1.03</v>
      </c>
      <c r="D2054" s="6">
        <v>66.0</v>
      </c>
      <c r="E2054" s="7" t="s">
        <v>7</v>
      </c>
      <c r="F2054" s="7" t="s">
        <v>8</v>
      </c>
      <c r="G2054" s="8"/>
    </row>
    <row r="2055">
      <c r="A2055" s="4">
        <v>43545.57890145833</v>
      </c>
      <c r="B2055" s="5">
        <v>43545.8705416782</v>
      </c>
      <c r="C2055" s="6">
        <v>1.03</v>
      </c>
      <c r="D2055" s="6">
        <v>66.0</v>
      </c>
      <c r="E2055" s="7" t="s">
        <v>7</v>
      </c>
      <c r="F2055" s="7" t="s">
        <v>8</v>
      </c>
      <c r="G2055" s="8"/>
    </row>
    <row r="2056">
      <c r="A2056" s="4">
        <v>43545.589385011575</v>
      </c>
      <c r="B2056" s="5">
        <v>43545.8810218055</v>
      </c>
      <c r="C2056" s="6">
        <v>1.03</v>
      </c>
      <c r="D2056" s="6">
        <v>66.0</v>
      </c>
      <c r="E2056" s="7" t="s">
        <v>7</v>
      </c>
      <c r="F2056" s="7" t="s">
        <v>8</v>
      </c>
      <c r="G2056" s="8"/>
    </row>
    <row r="2057">
      <c r="A2057" s="4">
        <v>43545.599827997685</v>
      </c>
      <c r="B2057" s="5">
        <v>43545.8914660532</v>
      </c>
      <c r="C2057" s="6">
        <v>1.03</v>
      </c>
      <c r="D2057" s="6">
        <v>66.0</v>
      </c>
      <c r="E2057" s="7" t="s">
        <v>7</v>
      </c>
      <c r="F2057" s="7" t="s">
        <v>8</v>
      </c>
      <c r="G2057" s="8"/>
    </row>
    <row r="2058">
      <c r="A2058" s="4">
        <v>43545.61026700231</v>
      </c>
      <c r="B2058" s="5">
        <v>43545.9019000463</v>
      </c>
      <c r="C2058" s="6">
        <v>1.03</v>
      </c>
      <c r="D2058" s="6">
        <v>66.0</v>
      </c>
      <c r="E2058" s="7" t="s">
        <v>7</v>
      </c>
      <c r="F2058" s="7" t="s">
        <v>8</v>
      </c>
      <c r="G2058" s="8"/>
    </row>
    <row r="2059">
      <c r="A2059" s="4">
        <v>43545.62068653935</v>
      </c>
      <c r="B2059" s="5">
        <v>43545.9123226388</v>
      </c>
      <c r="C2059" s="6">
        <v>1.03</v>
      </c>
      <c r="D2059" s="6">
        <v>66.0</v>
      </c>
      <c r="E2059" s="7" t="s">
        <v>7</v>
      </c>
      <c r="F2059" s="7" t="s">
        <v>8</v>
      </c>
      <c r="G2059" s="8"/>
    </row>
    <row r="2060">
      <c r="A2060" s="4">
        <v>43545.6311218287</v>
      </c>
      <c r="B2060" s="5">
        <v>43545.9227443634</v>
      </c>
      <c r="C2060" s="6">
        <v>1.03</v>
      </c>
      <c r="D2060" s="6">
        <v>66.0</v>
      </c>
      <c r="E2060" s="7" t="s">
        <v>7</v>
      </c>
      <c r="F2060" s="7" t="s">
        <v>8</v>
      </c>
      <c r="G2060" s="8"/>
    </row>
    <row r="2061">
      <c r="A2061" s="4">
        <v>43545.64158246528</v>
      </c>
      <c r="B2061" s="5">
        <v>43545.9332232291</v>
      </c>
      <c r="C2061" s="6">
        <v>1.03</v>
      </c>
      <c r="D2061" s="6">
        <v>66.0</v>
      </c>
      <c r="E2061" s="7" t="s">
        <v>7</v>
      </c>
      <c r="F2061" s="7" t="s">
        <v>8</v>
      </c>
      <c r="G2061" s="8"/>
    </row>
    <row r="2062">
      <c r="A2062" s="4">
        <v>43545.65203324074</v>
      </c>
      <c r="B2062" s="5">
        <v>43545.9436682407</v>
      </c>
      <c r="C2062" s="6">
        <v>1.03</v>
      </c>
      <c r="D2062" s="6">
        <v>66.0</v>
      </c>
      <c r="E2062" s="7" t="s">
        <v>7</v>
      </c>
      <c r="F2062" s="7" t="s">
        <v>8</v>
      </c>
      <c r="G2062" s="8"/>
    </row>
    <row r="2063">
      <c r="A2063" s="4">
        <v>43545.66247199074</v>
      </c>
      <c r="B2063" s="5">
        <v>43545.9541008217</v>
      </c>
      <c r="C2063" s="6">
        <v>1.03</v>
      </c>
      <c r="D2063" s="6">
        <v>66.0</v>
      </c>
      <c r="E2063" s="7" t="s">
        <v>7</v>
      </c>
      <c r="F2063" s="7" t="s">
        <v>8</v>
      </c>
      <c r="G2063" s="8"/>
    </row>
    <row r="2064">
      <c r="A2064" s="4">
        <v>43545.6728834838</v>
      </c>
      <c r="B2064" s="5">
        <v>43545.9645213078</v>
      </c>
      <c r="C2064" s="6">
        <v>1.03</v>
      </c>
      <c r="D2064" s="6">
        <v>66.0</v>
      </c>
      <c r="E2064" s="7" t="s">
        <v>7</v>
      </c>
      <c r="F2064" s="7" t="s">
        <v>8</v>
      </c>
      <c r="G2064" s="8"/>
    </row>
    <row r="2065">
      <c r="A2065" s="4">
        <v>43545.68333679398</v>
      </c>
      <c r="B2065" s="5">
        <v>43545.9749675115</v>
      </c>
      <c r="C2065" s="6">
        <v>1.03</v>
      </c>
      <c r="D2065" s="6">
        <v>66.0</v>
      </c>
      <c r="E2065" s="7" t="s">
        <v>7</v>
      </c>
      <c r="F2065" s="7" t="s">
        <v>8</v>
      </c>
      <c r="G2065" s="8"/>
    </row>
    <row r="2066">
      <c r="A2066" s="4">
        <v>43545.69381465278</v>
      </c>
      <c r="B2066" s="5">
        <v>43545.9854460185</v>
      </c>
      <c r="C2066" s="6">
        <v>1.03</v>
      </c>
      <c r="D2066" s="6">
        <v>66.0</v>
      </c>
      <c r="E2066" s="7" t="s">
        <v>7</v>
      </c>
      <c r="F2066" s="7" t="s">
        <v>8</v>
      </c>
      <c r="G2066" s="8"/>
    </row>
    <row r="2067">
      <c r="A2067" s="4">
        <v>43545.70424229167</v>
      </c>
      <c r="B2067" s="5">
        <v>43545.9958773726</v>
      </c>
      <c r="C2067" s="6">
        <v>1.03</v>
      </c>
      <c r="D2067" s="6">
        <v>66.0</v>
      </c>
      <c r="E2067" s="7" t="s">
        <v>7</v>
      </c>
      <c r="F2067" s="7" t="s">
        <v>8</v>
      </c>
      <c r="G2067" s="8"/>
    </row>
    <row r="2068">
      <c r="A2068" s="4">
        <v>43545.71472420139</v>
      </c>
      <c r="B2068" s="5">
        <v>43546.0063558333</v>
      </c>
      <c r="C2068" s="6">
        <v>1.03</v>
      </c>
      <c r="D2068" s="6">
        <v>66.0</v>
      </c>
      <c r="E2068" s="7" t="s">
        <v>7</v>
      </c>
      <c r="F2068" s="7" t="s">
        <v>8</v>
      </c>
      <c r="G2068" s="8"/>
    </row>
    <row r="2069">
      <c r="A2069" s="4">
        <v>43545.725146111115</v>
      </c>
      <c r="B2069" s="5">
        <v>43546.0167766088</v>
      </c>
      <c r="C2069" s="6">
        <v>1.03</v>
      </c>
      <c r="D2069" s="6">
        <v>66.0</v>
      </c>
      <c r="E2069" s="7" t="s">
        <v>7</v>
      </c>
      <c r="F2069" s="7" t="s">
        <v>8</v>
      </c>
      <c r="G2069" s="8"/>
    </row>
    <row r="2070">
      <c r="A2070" s="4">
        <v>43545.735565254625</v>
      </c>
      <c r="B2070" s="5">
        <v>43546.0271994444</v>
      </c>
      <c r="C2070" s="6">
        <v>1.03</v>
      </c>
      <c r="D2070" s="6">
        <v>66.0</v>
      </c>
      <c r="E2070" s="7" t="s">
        <v>7</v>
      </c>
      <c r="F2070" s="7" t="s">
        <v>8</v>
      </c>
      <c r="G2070" s="8"/>
    </row>
    <row r="2071">
      <c r="A2071" s="4">
        <v>43545.745991435186</v>
      </c>
      <c r="B2071" s="5">
        <v>43546.0376202546</v>
      </c>
      <c r="C2071" s="6">
        <v>1.03</v>
      </c>
      <c r="D2071" s="6">
        <v>66.0</v>
      </c>
      <c r="E2071" s="7" t="s">
        <v>7</v>
      </c>
      <c r="F2071" s="7" t="s">
        <v>8</v>
      </c>
      <c r="G2071" s="8"/>
    </row>
    <row r="2072">
      <c r="A2072" s="4">
        <v>43545.7564184375</v>
      </c>
      <c r="B2072" s="5">
        <v>43546.048052824</v>
      </c>
      <c r="C2072" s="6">
        <v>1.03</v>
      </c>
      <c r="D2072" s="6">
        <v>66.0</v>
      </c>
      <c r="E2072" s="7" t="s">
        <v>7</v>
      </c>
      <c r="F2072" s="7" t="s">
        <v>8</v>
      </c>
      <c r="G2072" s="8"/>
    </row>
    <row r="2073">
      <c r="A2073" s="4">
        <v>43545.76686333334</v>
      </c>
      <c r="B2073" s="5">
        <v>43546.0584974421</v>
      </c>
      <c r="C2073" s="6">
        <v>1.03</v>
      </c>
      <c r="D2073" s="6">
        <v>66.0</v>
      </c>
      <c r="E2073" s="7" t="s">
        <v>7</v>
      </c>
      <c r="F2073" s="7" t="s">
        <v>8</v>
      </c>
      <c r="G2073" s="8"/>
    </row>
    <row r="2074">
      <c r="A2074" s="4">
        <v>43545.77729921296</v>
      </c>
      <c r="B2074" s="5">
        <v>43546.0689301736</v>
      </c>
      <c r="C2074" s="6">
        <v>1.03</v>
      </c>
      <c r="D2074" s="6">
        <v>66.0</v>
      </c>
      <c r="E2074" s="7" t="s">
        <v>7</v>
      </c>
      <c r="F2074" s="7" t="s">
        <v>8</v>
      </c>
      <c r="G2074" s="8"/>
    </row>
    <row r="2075">
      <c r="A2075" s="4">
        <v>43545.7877194676</v>
      </c>
      <c r="B2075" s="5">
        <v>43546.0793508564</v>
      </c>
      <c r="C2075" s="6">
        <v>1.03</v>
      </c>
      <c r="D2075" s="6">
        <v>66.0</v>
      </c>
      <c r="E2075" s="7" t="s">
        <v>7</v>
      </c>
      <c r="F2075" s="7" t="s">
        <v>8</v>
      </c>
      <c r="G2075" s="8"/>
    </row>
    <row r="2076">
      <c r="A2076" s="4">
        <v>43545.79814895833</v>
      </c>
      <c r="B2076" s="5">
        <v>43546.089782905</v>
      </c>
      <c r="C2076" s="6">
        <v>1.03</v>
      </c>
      <c r="D2076" s="6">
        <v>66.0</v>
      </c>
      <c r="E2076" s="7" t="s">
        <v>7</v>
      </c>
      <c r="F2076" s="7" t="s">
        <v>8</v>
      </c>
      <c r="G2076" s="8"/>
    </row>
    <row r="2077">
      <c r="A2077" s="4">
        <v>43545.80856737269</v>
      </c>
      <c r="B2077" s="5">
        <v>43546.1002031713</v>
      </c>
      <c r="C2077" s="6">
        <v>1.03</v>
      </c>
      <c r="D2077" s="6">
        <v>66.0</v>
      </c>
      <c r="E2077" s="7" t="s">
        <v>7</v>
      </c>
      <c r="F2077" s="7" t="s">
        <v>8</v>
      </c>
      <c r="G2077" s="8"/>
    </row>
    <row r="2078">
      <c r="A2078" s="4">
        <v>43545.81898984953</v>
      </c>
      <c r="B2078" s="5">
        <v>43546.1106233101</v>
      </c>
      <c r="C2078" s="6">
        <v>1.03</v>
      </c>
      <c r="D2078" s="6">
        <v>66.0</v>
      </c>
      <c r="E2078" s="7" t="s">
        <v>7</v>
      </c>
      <c r="F2078" s="7" t="s">
        <v>8</v>
      </c>
      <c r="G2078" s="8"/>
    </row>
    <row r="2079">
      <c r="A2079" s="4">
        <v>43545.82941685185</v>
      </c>
      <c r="B2079" s="5">
        <v>43546.1210548958</v>
      </c>
      <c r="C2079" s="6">
        <v>1.03</v>
      </c>
      <c r="D2079" s="6">
        <v>66.0</v>
      </c>
      <c r="E2079" s="7" t="s">
        <v>7</v>
      </c>
      <c r="F2079" s="7" t="s">
        <v>8</v>
      </c>
      <c r="G2079" s="8"/>
    </row>
    <row r="2080">
      <c r="A2080" s="4">
        <v>43545.839846793984</v>
      </c>
      <c r="B2080" s="5">
        <v>43546.131476875</v>
      </c>
      <c r="C2080" s="6">
        <v>1.03</v>
      </c>
      <c r="D2080" s="6">
        <v>66.0</v>
      </c>
      <c r="E2080" s="7" t="s">
        <v>7</v>
      </c>
      <c r="F2080" s="7" t="s">
        <v>8</v>
      </c>
      <c r="G2080" s="8"/>
    </row>
    <row r="2081">
      <c r="A2081" s="4">
        <v>43545.85027401621</v>
      </c>
      <c r="B2081" s="5">
        <v>43546.1419097916</v>
      </c>
      <c r="C2081" s="6">
        <v>1.03</v>
      </c>
      <c r="D2081" s="6">
        <v>66.0</v>
      </c>
      <c r="E2081" s="7" t="s">
        <v>7</v>
      </c>
      <c r="F2081" s="7" t="s">
        <v>8</v>
      </c>
      <c r="G2081" s="8"/>
    </row>
    <row r="2082">
      <c r="A2082" s="4">
        <v>43545.860707604166</v>
      </c>
      <c r="B2082" s="5">
        <v>43546.1523325</v>
      </c>
      <c r="C2082" s="6">
        <v>1.03</v>
      </c>
      <c r="D2082" s="6">
        <v>66.0</v>
      </c>
      <c r="E2082" s="7" t="s">
        <v>7</v>
      </c>
      <c r="F2082" s="7" t="s">
        <v>8</v>
      </c>
      <c r="G2082" s="8"/>
    </row>
    <row r="2083">
      <c r="A2083" s="4">
        <v>43545.87112069444</v>
      </c>
      <c r="B2083" s="5">
        <v>43546.1627545717</v>
      </c>
      <c r="C2083" s="6">
        <v>1.03</v>
      </c>
      <c r="D2083" s="6">
        <v>66.0</v>
      </c>
      <c r="E2083" s="7" t="s">
        <v>7</v>
      </c>
      <c r="F2083" s="7" t="s">
        <v>8</v>
      </c>
      <c r="G2083" s="8"/>
    </row>
    <row r="2084">
      <c r="A2084" s="4">
        <v>43545.881538773145</v>
      </c>
      <c r="B2084" s="5">
        <v>43546.1731754629</v>
      </c>
      <c r="C2084" s="6">
        <v>1.03</v>
      </c>
      <c r="D2084" s="6">
        <v>66.0</v>
      </c>
      <c r="E2084" s="7" t="s">
        <v>7</v>
      </c>
      <c r="F2084" s="7" t="s">
        <v>8</v>
      </c>
      <c r="G2084" s="8"/>
    </row>
    <row r="2085">
      <c r="A2085" s="4">
        <v>43545.89195953704</v>
      </c>
      <c r="B2085" s="5">
        <v>43546.1835955324</v>
      </c>
      <c r="C2085" s="6">
        <v>1.03</v>
      </c>
      <c r="D2085" s="6">
        <v>66.0</v>
      </c>
      <c r="E2085" s="7" t="s">
        <v>7</v>
      </c>
      <c r="F2085" s="7" t="s">
        <v>8</v>
      </c>
      <c r="G2085" s="8"/>
    </row>
    <row r="2086">
      <c r="A2086" s="4">
        <v>43545.90237966435</v>
      </c>
      <c r="B2086" s="5">
        <v>43546.1940174537</v>
      </c>
      <c r="C2086" s="6">
        <v>1.03</v>
      </c>
      <c r="D2086" s="6">
        <v>66.0</v>
      </c>
      <c r="E2086" s="7" t="s">
        <v>7</v>
      </c>
      <c r="F2086" s="7" t="s">
        <v>8</v>
      </c>
      <c r="G2086" s="8"/>
    </row>
    <row r="2087">
      <c r="A2087" s="4">
        <v>43545.91280421296</v>
      </c>
      <c r="B2087" s="5">
        <v>43546.2044377893</v>
      </c>
      <c r="C2087" s="6">
        <v>1.03</v>
      </c>
      <c r="D2087" s="6">
        <v>66.0</v>
      </c>
      <c r="E2087" s="7" t="s">
        <v>7</v>
      </c>
      <c r="F2087" s="7" t="s">
        <v>8</v>
      </c>
      <c r="G2087" s="8"/>
    </row>
    <row r="2088">
      <c r="A2088" s="4">
        <v>43545.92326224537</v>
      </c>
      <c r="B2088" s="5">
        <v>43546.2148931597</v>
      </c>
      <c r="C2088" s="6">
        <v>1.03</v>
      </c>
      <c r="D2088" s="6">
        <v>66.0</v>
      </c>
      <c r="E2088" s="7" t="s">
        <v>7</v>
      </c>
      <c r="F2088" s="7" t="s">
        <v>8</v>
      </c>
      <c r="G2088" s="8"/>
    </row>
    <row r="2089">
      <c r="A2089" s="4">
        <v>43545.93368515046</v>
      </c>
      <c r="B2089" s="5">
        <v>43546.2253133101</v>
      </c>
      <c r="C2089" s="6">
        <v>1.03</v>
      </c>
      <c r="D2089" s="6">
        <v>66.0</v>
      </c>
      <c r="E2089" s="7" t="s">
        <v>7</v>
      </c>
      <c r="F2089" s="7" t="s">
        <v>8</v>
      </c>
      <c r="G2089" s="8"/>
    </row>
    <row r="2090">
      <c r="A2090" s="4">
        <v>43545.94411899305</v>
      </c>
      <c r="B2090" s="5">
        <v>43546.2357453819</v>
      </c>
      <c r="C2090" s="6">
        <v>1.03</v>
      </c>
      <c r="D2090" s="6">
        <v>66.0</v>
      </c>
      <c r="E2090" s="7" t="s">
        <v>7</v>
      </c>
      <c r="F2090" s="7" t="s">
        <v>8</v>
      </c>
      <c r="G2090" s="8"/>
    </row>
    <row r="2091">
      <c r="A2091" s="4">
        <v>43545.95454178241</v>
      </c>
      <c r="B2091" s="5">
        <v>43546.2461765972</v>
      </c>
      <c r="C2091" s="6">
        <v>1.029</v>
      </c>
      <c r="D2091" s="6">
        <v>66.0</v>
      </c>
      <c r="E2091" s="7" t="s">
        <v>7</v>
      </c>
      <c r="F2091" s="7" t="s">
        <v>8</v>
      </c>
      <c r="G2091" s="8"/>
    </row>
    <row r="2092">
      <c r="A2092" s="4">
        <v>43545.96496246528</v>
      </c>
      <c r="B2092" s="5">
        <v>43546.2565993171</v>
      </c>
      <c r="C2092" s="6">
        <v>1.03</v>
      </c>
      <c r="D2092" s="6">
        <v>66.0</v>
      </c>
      <c r="E2092" s="7" t="s">
        <v>7</v>
      </c>
      <c r="F2092" s="7" t="s">
        <v>8</v>
      </c>
      <c r="G2092" s="8"/>
    </row>
    <row r="2093">
      <c r="A2093" s="4">
        <v>43545.97540486111</v>
      </c>
      <c r="B2093" s="5">
        <v>43546.2670327662</v>
      </c>
      <c r="C2093" s="6">
        <v>1.03</v>
      </c>
      <c r="D2093" s="6">
        <v>66.0</v>
      </c>
      <c r="E2093" s="7" t="s">
        <v>7</v>
      </c>
      <c r="F2093" s="7" t="s">
        <v>8</v>
      </c>
      <c r="G2093" s="8"/>
    </row>
    <row r="2094">
      <c r="A2094" s="4">
        <v>43545.98582324074</v>
      </c>
      <c r="B2094" s="5">
        <v>43546.2774531365</v>
      </c>
      <c r="C2094" s="6">
        <v>1.03</v>
      </c>
      <c r="D2094" s="6">
        <v>66.0</v>
      </c>
      <c r="E2094" s="7" t="s">
        <v>7</v>
      </c>
      <c r="F2094" s="7" t="s">
        <v>8</v>
      </c>
      <c r="G2094" s="8"/>
    </row>
    <row r="2095">
      <c r="A2095" s="4">
        <v>43545.99623575232</v>
      </c>
      <c r="B2095" s="5">
        <v>43546.287873912</v>
      </c>
      <c r="C2095" s="6">
        <v>1.029</v>
      </c>
      <c r="D2095" s="6">
        <v>66.0</v>
      </c>
      <c r="E2095" s="7" t="s">
        <v>7</v>
      </c>
      <c r="F2095" s="7" t="s">
        <v>8</v>
      </c>
      <c r="G2095" s="8"/>
    </row>
    <row r="2096">
      <c r="A2096" s="4">
        <v>43546.006666076384</v>
      </c>
      <c r="B2096" s="5">
        <v>43546.2982957176</v>
      </c>
      <c r="C2096" s="6">
        <v>1.03</v>
      </c>
      <c r="D2096" s="6">
        <v>66.0</v>
      </c>
      <c r="E2096" s="7" t="s">
        <v>7</v>
      </c>
      <c r="F2096" s="7" t="s">
        <v>8</v>
      </c>
      <c r="G2096" s="8"/>
    </row>
    <row r="2097">
      <c r="A2097" s="4">
        <v>43546.017083391205</v>
      </c>
      <c r="B2097" s="5">
        <v>43546.3087172453</v>
      </c>
      <c r="C2097" s="6">
        <v>1.03</v>
      </c>
      <c r="D2097" s="6">
        <v>66.0</v>
      </c>
      <c r="E2097" s="7" t="s">
        <v>7</v>
      </c>
      <c r="F2097" s="7" t="s">
        <v>8</v>
      </c>
      <c r="G2097" s="8"/>
    </row>
    <row r="2098">
      <c r="A2098" s="4">
        <v>43546.02751586806</v>
      </c>
      <c r="B2098" s="5">
        <v>43546.3191503703</v>
      </c>
      <c r="C2098" s="6">
        <v>1.03</v>
      </c>
      <c r="D2098" s="6">
        <v>66.0</v>
      </c>
      <c r="E2098" s="7" t="s">
        <v>7</v>
      </c>
      <c r="F2098" s="7" t="s">
        <v>8</v>
      </c>
      <c r="G2098" s="8"/>
    </row>
    <row r="2099">
      <c r="A2099" s="4">
        <v>43546.0379490162</v>
      </c>
      <c r="B2099" s="5">
        <v>43546.3295830208</v>
      </c>
      <c r="C2099" s="6">
        <v>1.029</v>
      </c>
      <c r="D2099" s="6">
        <v>66.0</v>
      </c>
      <c r="E2099" s="7" t="s">
        <v>7</v>
      </c>
      <c r="F2099" s="7" t="s">
        <v>8</v>
      </c>
      <c r="G2099" s="8"/>
    </row>
    <row r="2100">
      <c r="A2100" s="4">
        <v>43546.048370046294</v>
      </c>
      <c r="B2100" s="5">
        <v>43546.3400053009</v>
      </c>
      <c r="C2100" s="6">
        <v>1.029</v>
      </c>
      <c r="D2100" s="6">
        <v>66.0</v>
      </c>
      <c r="E2100" s="7" t="s">
        <v>7</v>
      </c>
      <c r="F2100" s="7" t="s">
        <v>8</v>
      </c>
      <c r="G2100" s="8"/>
    </row>
    <row r="2101">
      <c r="A2101" s="4">
        <v>43546.05879145833</v>
      </c>
      <c r="B2101" s="5">
        <v>43546.3504269675</v>
      </c>
      <c r="C2101" s="6">
        <v>1.029</v>
      </c>
      <c r="D2101" s="6">
        <v>66.0</v>
      </c>
      <c r="E2101" s="7" t="s">
        <v>7</v>
      </c>
      <c r="F2101" s="7" t="s">
        <v>8</v>
      </c>
      <c r="G2101" s="8"/>
    </row>
    <row r="2102">
      <c r="A2102" s="4">
        <v>43546.069218125005</v>
      </c>
      <c r="B2102" s="5">
        <v>43546.3608501041</v>
      </c>
      <c r="C2102" s="6">
        <v>1.029</v>
      </c>
      <c r="D2102" s="6">
        <v>66.0</v>
      </c>
      <c r="E2102" s="7" t="s">
        <v>7</v>
      </c>
      <c r="F2102" s="7" t="s">
        <v>8</v>
      </c>
      <c r="G2102" s="8"/>
    </row>
    <row r="2103">
      <c r="A2103" s="4">
        <v>43546.0796452662</v>
      </c>
      <c r="B2103" s="5">
        <v>43546.3712722106</v>
      </c>
      <c r="C2103" s="6">
        <v>1.03</v>
      </c>
      <c r="D2103" s="6">
        <v>66.0</v>
      </c>
      <c r="E2103" s="7" t="s">
        <v>7</v>
      </c>
      <c r="F2103" s="7" t="s">
        <v>8</v>
      </c>
      <c r="G2103" s="8"/>
    </row>
    <row r="2104">
      <c r="A2104" s="4">
        <v>43546.09006744213</v>
      </c>
      <c r="B2104" s="5">
        <v>43546.3817052314</v>
      </c>
      <c r="C2104" s="6">
        <v>1.03</v>
      </c>
      <c r="D2104" s="6">
        <v>66.0</v>
      </c>
      <c r="E2104" s="7" t="s">
        <v>7</v>
      </c>
      <c r="F2104" s="7" t="s">
        <v>8</v>
      </c>
      <c r="G2104" s="8"/>
    </row>
    <row r="2105">
      <c r="A2105" s="4">
        <v>43546.10048916667</v>
      </c>
      <c r="B2105" s="5">
        <v>43546.3921262847</v>
      </c>
      <c r="C2105" s="6">
        <v>1.029</v>
      </c>
      <c r="D2105" s="6">
        <v>66.0</v>
      </c>
      <c r="E2105" s="7" t="s">
        <v>7</v>
      </c>
      <c r="F2105" s="7" t="s">
        <v>8</v>
      </c>
      <c r="G2105" s="8"/>
    </row>
    <row r="2106">
      <c r="A2106" s="4">
        <v>43546.110908993054</v>
      </c>
      <c r="B2106" s="5">
        <v>43546.4025467708</v>
      </c>
      <c r="C2106" s="6">
        <v>1.029</v>
      </c>
      <c r="D2106" s="6">
        <v>66.0</v>
      </c>
      <c r="E2106" s="7" t="s">
        <v>7</v>
      </c>
      <c r="F2106" s="7" t="s">
        <v>8</v>
      </c>
      <c r="G2106" s="8"/>
    </row>
    <row r="2107">
      <c r="A2107" s="4">
        <v>43546.12134010417</v>
      </c>
      <c r="B2107" s="5">
        <v>43546.4129685763</v>
      </c>
      <c r="C2107" s="6">
        <v>1.029</v>
      </c>
      <c r="D2107" s="6">
        <v>66.0</v>
      </c>
      <c r="E2107" s="7" t="s">
        <v>7</v>
      </c>
      <c r="F2107" s="7" t="s">
        <v>8</v>
      </c>
      <c r="G2107" s="8"/>
    </row>
    <row r="2108">
      <c r="A2108" s="4">
        <v>43546.13176224537</v>
      </c>
      <c r="B2108" s="5">
        <v>43546.4233914351</v>
      </c>
      <c r="C2108" s="6">
        <v>1.029</v>
      </c>
      <c r="D2108" s="6">
        <v>66.0</v>
      </c>
      <c r="E2108" s="7" t="s">
        <v>7</v>
      </c>
      <c r="F2108" s="7" t="s">
        <v>8</v>
      </c>
      <c r="G2108" s="8"/>
    </row>
    <row r="2109">
      <c r="A2109" s="4">
        <v>43546.14220590278</v>
      </c>
      <c r="B2109" s="5">
        <v>43546.4338367708</v>
      </c>
      <c r="C2109" s="6">
        <v>1.029</v>
      </c>
      <c r="D2109" s="6">
        <v>66.0</v>
      </c>
      <c r="E2109" s="7" t="s">
        <v>7</v>
      </c>
      <c r="F2109" s="7" t="s">
        <v>8</v>
      </c>
      <c r="G2109" s="8"/>
    </row>
    <row r="2110">
      <c r="A2110" s="4">
        <v>43546.15261916666</v>
      </c>
      <c r="B2110" s="5">
        <v>43546.4442573958</v>
      </c>
      <c r="C2110" s="6">
        <v>1.029</v>
      </c>
      <c r="D2110" s="6">
        <v>66.0</v>
      </c>
      <c r="E2110" s="7" t="s">
        <v>7</v>
      </c>
      <c r="F2110" s="7" t="s">
        <v>8</v>
      </c>
      <c r="G2110" s="8"/>
    </row>
    <row r="2111">
      <c r="A2111" s="4">
        <v>43546.16304831018</v>
      </c>
      <c r="B2111" s="5">
        <v>43546.4546801273</v>
      </c>
      <c r="C2111" s="6">
        <v>1.029</v>
      </c>
      <c r="D2111" s="6">
        <v>66.0</v>
      </c>
      <c r="E2111" s="7" t="s">
        <v>7</v>
      </c>
      <c r="F2111" s="7" t="s">
        <v>8</v>
      </c>
      <c r="G2111" s="8"/>
    </row>
    <row r="2112">
      <c r="A2112" s="4">
        <v>43546.17346706019</v>
      </c>
      <c r="B2112" s="5">
        <v>43546.4651013425</v>
      </c>
      <c r="C2112" s="6">
        <v>1.029</v>
      </c>
      <c r="D2112" s="6">
        <v>66.0</v>
      </c>
      <c r="E2112" s="7" t="s">
        <v>7</v>
      </c>
      <c r="F2112" s="7" t="s">
        <v>8</v>
      </c>
      <c r="G2112" s="8"/>
    </row>
    <row r="2113">
      <c r="A2113" s="4">
        <v>43546.18388815972</v>
      </c>
      <c r="B2113" s="5">
        <v>43546.4755207754</v>
      </c>
      <c r="C2113" s="6">
        <v>1.029</v>
      </c>
      <c r="D2113" s="6">
        <v>66.0</v>
      </c>
      <c r="E2113" s="7" t="s">
        <v>7</v>
      </c>
      <c r="F2113" s="7" t="s">
        <v>8</v>
      </c>
      <c r="G2113" s="8"/>
    </row>
    <row r="2114">
      <c r="A2114" s="4">
        <v>43546.19430342593</v>
      </c>
      <c r="B2114" s="5">
        <v>43546.485941493</v>
      </c>
      <c r="C2114" s="6">
        <v>1.029</v>
      </c>
      <c r="D2114" s="6">
        <v>66.0</v>
      </c>
      <c r="E2114" s="7" t="s">
        <v>7</v>
      </c>
      <c r="F2114" s="7" t="s">
        <v>8</v>
      </c>
      <c r="G2114" s="8"/>
    </row>
    <row r="2115">
      <c r="A2115" s="4">
        <v>43546.204723449075</v>
      </c>
      <c r="B2115" s="5">
        <v>43546.4963635763</v>
      </c>
      <c r="C2115" s="6">
        <v>1.029</v>
      </c>
      <c r="D2115" s="6">
        <v>66.0</v>
      </c>
      <c r="E2115" s="7" t="s">
        <v>7</v>
      </c>
      <c r="F2115" s="7" t="s">
        <v>8</v>
      </c>
      <c r="G2115" s="8"/>
    </row>
    <row r="2116">
      <c r="A2116" s="4">
        <v>43546.2151571875</v>
      </c>
      <c r="B2116" s="5">
        <v>43546.5067851736</v>
      </c>
      <c r="C2116" s="6">
        <v>1.029</v>
      </c>
      <c r="D2116" s="6">
        <v>66.0</v>
      </c>
      <c r="E2116" s="7" t="s">
        <v>7</v>
      </c>
      <c r="F2116" s="7" t="s">
        <v>8</v>
      </c>
      <c r="G2116" s="8"/>
    </row>
    <row r="2117">
      <c r="A2117" s="4">
        <v>43546.22558083333</v>
      </c>
      <c r="B2117" s="5">
        <v>43546.5172198842</v>
      </c>
      <c r="C2117" s="6">
        <v>1.029</v>
      </c>
      <c r="D2117" s="6">
        <v>66.0</v>
      </c>
      <c r="E2117" s="7" t="s">
        <v>7</v>
      </c>
      <c r="F2117" s="7" t="s">
        <v>8</v>
      </c>
      <c r="G2117" s="8"/>
    </row>
    <row r="2118">
      <c r="A2118" s="4">
        <v>43546.23600203704</v>
      </c>
      <c r="B2118" s="5">
        <v>43546.5276410879</v>
      </c>
      <c r="C2118" s="6">
        <v>1.029</v>
      </c>
      <c r="D2118" s="6">
        <v>66.0</v>
      </c>
      <c r="E2118" s="7" t="s">
        <v>7</v>
      </c>
      <c r="F2118" s="7" t="s">
        <v>8</v>
      </c>
      <c r="G2118" s="8"/>
    </row>
    <row r="2119">
      <c r="A2119" s="4">
        <v>43546.24642951389</v>
      </c>
      <c r="B2119" s="5">
        <v>43546.5380610069</v>
      </c>
      <c r="C2119" s="6">
        <v>1.029</v>
      </c>
      <c r="D2119" s="6">
        <v>66.0</v>
      </c>
      <c r="E2119" s="7" t="s">
        <v>7</v>
      </c>
      <c r="F2119" s="7" t="s">
        <v>8</v>
      </c>
      <c r="G2119" s="8"/>
    </row>
    <row r="2120">
      <c r="A2120" s="4">
        <v>43546.25687096065</v>
      </c>
      <c r="B2120" s="5">
        <v>43546.5485057523</v>
      </c>
      <c r="C2120" s="6">
        <v>1.029</v>
      </c>
      <c r="D2120" s="6">
        <v>66.0</v>
      </c>
      <c r="E2120" s="7" t="s">
        <v>7</v>
      </c>
      <c r="F2120" s="7" t="s">
        <v>8</v>
      </c>
      <c r="G2120" s="8"/>
    </row>
    <row r="2121">
      <c r="A2121" s="4">
        <v>43546.2673521875</v>
      </c>
      <c r="B2121" s="5">
        <v>43546.5589268518</v>
      </c>
      <c r="C2121" s="6">
        <v>1.029</v>
      </c>
      <c r="D2121" s="6">
        <v>66.0</v>
      </c>
      <c r="E2121" s="7" t="s">
        <v>7</v>
      </c>
      <c r="F2121" s="7" t="s">
        <v>8</v>
      </c>
      <c r="G2121" s="8"/>
    </row>
    <row r="2122">
      <c r="A2122" s="4">
        <v>43546.27771342592</v>
      </c>
      <c r="B2122" s="5">
        <v>43546.5693492939</v>
      </c>
      <c r="C2122" s="6">
        <v>1.029</v>
      </c>
      <c r="D2122" s="6">
        <v>66.0</v>
      </c>
      <c r="E2122" s="7" t="s">
        <v>7</v>
      </c>
      <c r="F2122" s="7" t="s">
        <v>8</v>
      </c>
      <c r="G2122" s="8"/>
    </row>
    <row r="2123">
      <c r="A2123" s="4">
        <v>43546.28815320602</v>
      </c>
      <c r="B2123" s="5">
        <v>43546.5797943402</v>
      </c>
      <c r="C2123" s="6">
        <v>1.029</v>
      </c>
      <c r="D2123" s="6">
        <v>66.0</v>
      </c>
      <c r="E2123" s="7" t="s">
        <v>7</v>
      </c>
      <c r="F2123" s="7" t="s">
        <v>8</v>
      </c>
      <c r="G2123" s="8"/>
    </row>
    <row r="2124">
      <c r="A2124" s="4">
        <v>43546.29857641204</v>
      </c>
      <c r="B2124" s="5">
        <v>43546.5902155324</v>
      </c>
      <c r="C2124" s="6">
        <v>1.029</v>
      </c>
      <c r="D2124" s="6">
        <v>66.0</v>
      </c>
      <c r="E2124" s="7" t="s">
        <v>7</v>
      </c>
      <c r="F2124" s="7" t="s">
        <v>8</v>
      </c>
      <c r="G2124" s="8"/>
    </row>
    <row r="2125">
      <c r="A2125" s="4">
        <v>43546.30900109954</v>
      </c>
      <c r="B2125" s="5">
        <v>43546.6006355208</v>
      </c>
      <c r="C2125" s="6">
        <v>1.029</v>
      </c>
      <c r="D2125" s="6">
        <v>66.0</v>
      </c>
      <c r="E2125" s="7" t="s">
        <v>7</v>
      </c>
      <c r="F2125" s="7" t="s">
        <v>8</v>
      </c>
      <c r="G2125" s="8"/>
    </row>
    <row r="2126">
      <c r="A2126" s="4">
        <v>43546.319429780095</v>
      </c>
      <c r="B2126" s="5">
        <v>43546.611056956</v>
      </c>
      <c r="C2126" s="6">
        <v>1.029</v>
      </c>
      <c r="D2126" s="6">
        <v>66.0</v>
      </c>
      <c r="E2126" s="7" t="s">
        <v>7</v>
      </c>
      <c r="F2126" s="7" t="s">
        <v>8</v>
      </c>
      <c r="G2126" s="8"/>
    </row>
    <row r="2127">
      <c r="A2127" s="4">
        <v>43546.329840879625</v>
      </c>
      <c r="B2127" s="5">
        <v>43546.6214779282</v>
      </c>
      <c r="C2127" s="6">
        <v>1.029</v>
      </c>
      <c r="D2127" s="6">
        <v>66.0</v>
      </c>
      <c r="E2127" s="7" t="s">
        <v>7</v>
      </c>
      <c r="F2127" s="7" t="s">
        <v>8</v>
      </c>
      <c r="G2127" s="8"/>
    </row>
    <row r="2128">
      <c r="A2128" s="4">
        <v>43546.340262129626</v>
      </c>
      <c r="B2128" s="5">
        <v>43546.6318994444</v>
      </c>
      <c r="C2128" s="6">
        <v>1.029</v>
      </c>
      <c r="D2128" s="6">
        <v>66.0</v>
      </c>
      <c r="E2128" s="7" t="s">
        <v>7</v>
      </c>
      <c r="F2128" s="7" t="s">
        <v>8</v>
      </c>
      <c r="G2128" s="8"/>
    </row>
    <row r="2129">
      <c r="A2129" s="4">
        <v>43546.350679247684</v>
      </c>
      <c r="B2129" s="5">
        <v>43546.6423195254</v>
      </c>
      <c r="C2129" s="6">
        <v>1.029</v>
      </c>
      <c r="D2129" s="6">
        <v>66.0</v>
      </c>
      <c r="E2129" s="7" t="s">
        <v>7</v>
      </c>
      <c r="F2129" s="7" t="s">
        <v>8</v>
      </c>
      <c r="G2129" s="8"/>
    </row>
    <row r="2130">
      <c r="A2130" s="4">
        <v>43546.36111712963</v>
      </c>
      <c r="B2130" s="5">
        <v>43546.6527536689</v>
      </c>
      <c r="C2130" s="6">
        <v>1.029</v>
      </c>
      <c r="D2130" s="6">
        <v>66.0</v>
      </c>
      <c r="E2130" s="7" t="s">
        <v>7</v>
      </c>
      <c r="F2130" s="7" t="s">
        <v>8</v>
      </c>
      <c r="G2130" s="8"/>
    </row>
    <row r="2131">
      <c r="A2131" s="4">
        <v>43546.37153655093</v>
      </c>
      <c r="B2131" s="5">
        <v>43546.6631745486</v>
      </c>
      <c r="C2131" s="6">
        <v>1.029</v>
      </c>
      <c r="D2131" s="6">
        <v>66.0</v>
      </c>
      <c r="E2131" s="7" t="s">
        <v>7</v>
      </c>
      <c r="F2131" s="7" t="s">
        <v>8</v>
      </c>
      <c r="G2131" s="8"/>
    </row>
    <row r="2132">
      <c r="A2132" s="4">
        <v>43546.38197261574</v>
      </c>
      <c r="B2132" s="5">
        <v>43546.6736076967</v>
      </c>
      <c r="C2132" s="6">
        <v>1.029</v>
      </c>
      <c r="D2132" s="6">
        <v>66.0</v>
      </c>
      <c r="E2132" s="7" t="s">
        <v>7</v>
      </c>
      <c r="F2132" s="7" t="s">
        <v>8</v>
      </c>
      <c r="G2132" s="8"/>
    </row>
    <row r="2133">
      <c r="A2133" s="4">
        <v>43546.39238615741</v>
      </c>
      <c r="B2133" s="5">
        <v>43546.6840273263</v>
      </c>
      <c r="C2133" s="6">
        <v>1.029</v>
      </c>
      <c r="D2133" s="6">
        <v>66.0</v>
      </c>
      <c r="E2133" s="7" t="s">
        <v>7</v>
      </c>
      <c r="F2133" s="7" t="s">
        <v>8</v>
      </c>
      <c r="G2133" s="8"/>
    </row>
    <row r="2134">
      <c r="A2134" s="4">
        <v>43546.40281701389</v>
      </c>
      <c r="B2134" s="5">
        <v>43546.694448287</v>
      </c>
      <c r="C2134" s="6">
        <v>1.029</v>
      </c>
      <c r="D2134" s="6">
        <v>66.0</v>
      </c>
      <c r="E2134" s="7" t="s">
        <v>7</v>
      </c>
      <c r="F2134" s="7" t="s">
        <v>8</v>
      </c>
      <c r="G2134" s="8"/>
    </row>
    <row r="2135">
      <c r="A2135" s="4">
        <v>43546.41324991898</v>
      </c>
      <c r="B2135" s="5">
        <v>43546.7048813078</v>
      </c>
      <c r="C2135" s="6">
        <v>1.029</v>
      </c>
      <c r="D2135" s="6">
        <v>66.0</v>
      </c>
      <c r="E2135" s="7" t="s">
        <v>7</v>
      </c>
      <c r="F2135" s="7" t="s">
        <v>8</v>
      </c>
      <c r="G2135" s="8"/>
    </row>
    <row r="2136">
      <c r="A2136" s="4">
        <v>43546.423670185184</v>
      </c>
      <c r="B2136" s="5">
        <v>43546.7153047801</v>
      </c>
      <c r="C2136" s="6">
        <v>1.029</v>
      </c>
      <c r="D2136" s="6">
        <v>66.0</v>
      </c>
      <c r="E2136" s="7" t="s">
        <v>7</v>
      </c>
      <c r="F2136" s="7" t="s">
        <v>8</v>
      </c>
      <c r="G2136" s="8"/>
    </row>
    <row r="2137">
      <c r="A2137" s="4">
        <v>43546.434093194446</v>
      </c>
      <c r="B2137" s="5">
        <v>43546.725726331</v>
      </c>
      <c r="C2137" s="6">
        <v>1.029</v>
      </c>
      <c r="D2137" s="6">
        <v>66.0</v>
      </c>
      <c r="E2137" s="7" t="s">
        <v>7</v>
      </c>
      <c r="F2137" s="7" t="s">
        <v>8</v>
      </c>
      <c r="G2137" s="8"/>
    </row>
    <row r="2138">
      <c r="A2138" s="4">
        <v>43546.44450971065</v>
      </c>
      <c r="B2138" s="5">
        <v>43546.736146875</v>
      </c>
      <c r="C2138" s="6">
        <v>1.029</v>
      </c>
      <c r="D2138" s="6">
        <v>66.0</v>
      </c>
      <c r="E2138" s="7" t="s">
        <v>7</v>
      </c>
      <c r="F2138" s="7" t="s">
        <v>8</v>
      </c>
      <c r="G2138" s="8"/>
    </row>
    <row r="2139">
      <c r="A2139" s="4">
        <v>43546.454926377315</v>
      </c>
      <c r="B2139" s="5">
        <v>43546.7465673495</v>
      </c>
      <c r="C2139" s="6">
        <v>1.029</v>
      </c>
      <c r="D2139" s="6">
        <v>66.0</v>
      </c>
      <c r="E2139" s="7" t="s">
        <v>7</v>
      </c>
      <c r="F2139" s="7" t="s">
        <v>8</v>
      </c>
      <c r="G2139" s="8"/>
    </row>
    <row r="2140">
      <c r="A2140" s="4">
        <v>43546.46535103009</v>
      </c>
      <c r="B2140" s="5">
        <v>43546.7569884606</v>
      </c>
      <c r="C2140" s="6">
        <v>1.029</v>
      </c>
      <c r="D2140" s="6">
        <v>66.0</v>
      </c>
      <c r="E2140" s="7" t="s">
        <v>7</v>
      </c>
      <c r="F2140" s="7" t="s">
        <v>8</v>
      </c>
      <c r="G2140" s="8"/>
    </row>
    <row r="2141">
      <c r="A2141" s="4">
        <v>43546.475777291664</v>
      </c>
      <c r="B2141" s="5">
        <v>43546.7674082175</v>
      </c>
      <c r="C2141" s="6">
        <v>1.029</v>
      </c>
      <c r="D2141" s="6">
        <v>66.0</v>
      </c>
      <c r="E2141" s="7" t="s">
        <v>7</v>
      </c>
      <c r="F2141" s="7" t="s">
        <v>8</v>
      </c>
      <c r="G2141" s="8"/>
    </row>
    <row r="2142">
      <c r="A2142" s="4">
        <v>43546.48618896991</v>
      </c>
      <c r="B2142" s="5">
        <v>43546.7778290046</v>
      </c>
      <c r="C2142" s="6">
        <v>1.029</v>
      </c>
      <c r="D2142" s="6">
        <v>66.0</v>
      </c>
      <c r="E2142" s="7" t="s">
        <v>7</v>
      </c>
      <c r="F2142" s="7" t="s">
        <v>8</v>
      </c>
      <c r="G2142" s="8"/>
    </row>
    <row r="2143">
      <c r="A2143" s="4">
        <v>43546.496626631946</v>
      </c>
      <c r="B2143" s="5">
        <v>43546.7882605324</v>
      </c>
      <c r="C2143" s="6">
        <v>1.029</v>
      </c>
      <c r="D2143" s="6">
        <v>66.0</v>
      </c>
      <c r="E2143" s="7" t="s">
        <v>7</v>
      </c>
      <c r="F2143" s="7" t="s">
        <v>8</v>
      </c>
      <c r="G2143" s="8"/>
    </row>
    <row r="2144">
      <c r="A2144" s="4">
        <v>43546.50704872685</v>
      </c>
      <c r="B2144" s="5">
        <v>43546.7986822685</v>
      </c>
      <c r="C2144" s="6">
        <v>1.029</v>
      </c>
      <c r="D2144" s="6">
        <v>66.0</v>
      </c>
      <c r="E2144" s="7" t="s">
        <v>7</v>
      </c>
      <c r="F2144" s="7" t="s">
        <v>8</v>
      </c>
      <c r="G2144" s="8"/>
    </row>
    <row r="2145">
      <c r="A2145" s="4">
        <v>43546.5174677662</v>
      </c>
      <c r="B2145" s="5">
        <v>43546.8091044212</v>
      </c>
      <c r="C2145" s="6">
        <v>1.029</v>
      </c>
      <c r="D2145" s="6">
        <v>66.0</v>
      </c>
      <c r="E2145" s="7" t="s">
        <v>7</v>
      </c>
      <c r="F2145" s="7" t="s">
        <v>8</v>
      </c>
      <c r="G2145" s="8"/>
    </row>
    <row r="2146">
      <c r="A2146" s="4">
        <v>43546.52789408565</v>
      </c>
      <c r="B2146" s="5">
        <v>43546.8195246875</v>
      </c>
      <c r="C2146" s="6">
        <v>1.029</v>
      </c>
      <c r="D2146" s="6">
        <v>66.0</v>
      </c>
      <c r="E2146" s="7" t="s">
        <v>7</v>
      </c>
      <c r="F2146" s="7" t="s">
        <v>8</v>
      </c>
      <c r="G2146" s="8"/>
    </row>
    <row r="2147">
      <c r="A2147" s="4">
        <v>43546.538323125</v>
      </c>
      <c r="B2147" s="5">
        <v>43546.8299439814</v>
      </c>
      <c r="C2147" s="6">
        <v>1.029</v>
      </c>
      <c r="D2147" s="6">
        <v>66.0</v>
      </c>
      <c r="E2147" s="7" t="s">
        <v>7</v>
      </c>
      <c r="F2147" s="7" t="s">
        <v>8</v>
      </c>
      <c r="G2147" s="8"/>
    </row>
    <row r="2148">
      <c r="A2148" s="4">
        <v>43546.548729594906</v>
      </c>
      <c r="B2148" s="5">
        <v>43546.8403647569</v>
      </c>
      <c r="C2148" s="6">
        <v>1.029</v>
      </c>
      <c r="D2148" s="6">
        <v>66.0</v>
      </c>
      <c r="E2148" s="7" t="s">
        <v>7</v>
      </c>
      <c r="F2148" s="7" t="s">
        <v>8</v>
      </c>
      <c r="G2148" s="8"/>
    </row>
    <row r="2149">
      <c r="A2149" s="4">
        <v>43546.55916878472</v>
      </c>
      <c r="B2149" s="5">
        <v>43546.8508092592</v>
      </c>
      <c r="C2149" s="6">
        <v>1.029</v>
      </c>
      <c r="D2149" s="6">
        <v>66.0</v>
      </c>
      <c r="E2149" s="7" t="s">
        <v>7</v>
      </c>
      <c r="F2149" s="7" t="s">
        <v>8</v>
      </c>
      <c r="G2149" s="8"/>
    </row>
    <row r="2150">
      <c r="A2150" s="4">
        <v>43546.569602986114</v>
      </c>
      <c r="B2150" s="5">
        <v>43546.8612407638</v>
      </c>
      <c r="C2150" s="6">
        <v>1.029</v>
      </c>
      <c r="D2150" s="6">
        <v>66.0</v>
      </c>
      <c r="E2150" s="7" t="s">
        <v>7</v>
      </c>
      <c r="F2150" s="7" t="s">
        <v>8</v>
      </c>
      <c r="G2150" s="8"/>
    </row>
    <row r="2151">
      <c r="A2151" s="4">
        <v>43546.58003505787</v>
      </c>
      <c r="B2151" s="5">
        <v>43546.8716757291</v>
      </c>
      <c r="C2151" s="6">
        <v>1.029</v>
      </c>
      <c r="D2151" s="6">
        <v>66.0</v>
      </c>
      <c r="E2151" s="7" t="s">
        <v>7</v>
      </c>
      <c r="F2151" s="7" t="s">
        <v>8</v>
      </c>
      <c r="G2151" s="8"/>
    </row>
    <row r="2152">
      <c r="A2152" s="4">
        <v>43546.590487685186</v>
      </c>
      <c r="B2152" s="5">
        <v>43546.8821198379</v>
      </c>
      <c r="C2152" s="6">
        <v>1.029</v>
      </c>
      <c r="D2152" s="6">
        <v>66.0</v>
      </c>
      <c r="E2152" s="7" t="s">
        <v>7</v>
      </c>
      <c r="F2152" s="7" t="s">
        <v>8</v>
      </c>
      <c r="G2152" s="8"/>
    </row>
    <row r="2153">
      <c r="A2153" s="4">
        <v>43546.60090528935</v>
      </c>
      <c r="B2153" s="5">
        <v>43546.8925418171</v>
      </c>
      <c r="C2153" s="6">
        <v>1.029</v>
      </c>
      <c r="D2153" s="6">
        <v>66.0</v>
      </c>
      <c r="E2153" s="7" t="s">
        <v>7</v>
      </c>
      <c r="F2153" s="7" t="s">
        <v>8</v>
      </c>
      <c r="G2153" s="8"/>
    </row>
    <row r="2154">
      <c r="A2154" s="4">
        <v>43546.61132049769</v>
      </c>
      <c r="B2154" s="5">
        <v>43546.9029618402</v>
      </c>
      <c r="C2154" s="6">
        <v>1.029</v>
      </c>
      <c r="D2154" s="6">
        <v>66.0</v>
      </c>
      <c r="E2154" s="7" t="s">
        <v>7</v>
      </c>
      <c r="F2154" s="7" t="s">
        <v>8</v>
      </c>
      <c r="G2154" s="8"/>
    </row>
    <row r="2155">
      <c r="A2155" s="4">
        <v>43546.621743310185</v>
      </c>
      <c r="B2155" s="5">
        <v>43546.9133836226</v>
      </c>
      <c r="C2155" s="6">
        <v>1.029</v>
      </c>
      <c r="D2155" s="6">
        <v>66.0</v>
      </c>
      <c r="E2155" s="7" t="s">
        <v>7</v>
      </c>
      <c r="F2155" s="7" t="s">
        <v>8</v>
      </c>
      <c r="G2155" s="8"/>
    </row>
    <row r="2156">
      <c r="A2156" s="4">
        <v>43546.63216850694</v>
      </c>
      <c r="B2156" s="5">
        <v>43546.9238038888</v>
      </c>
      <c r="C2156" s="6">
        <v>1.029</v>
      </c>
      <c r="D2156" s="6">
        <v>66.0</v>
      </c>
      <c r="E2156" s="7" t="s">
        <v>7</v>
      </c>
      <c r="F2156" s="7" t="s">
        <v>8</v>
      </c>
      <c r="G2156" s="8"/>
    </row>
    <row r="2157">
      <c r="A2157" s="4">
        <v>43546.64258921296</v>
      </c>
      <c r="B2157" s="5">
        <v>43546.934224537</v>
      </c>
      <c r="C2157" s="6">
        <v>1.029</v>
      </c>
      <c r="D2157" s="6">
        <v>66.0</v>
      </c>
      <c r="E2157" s="7" t="s">
        <v>7</v>
      </c>
      <c r="F2157" s="7" t="s">
        <v>8</v>
      </c>
      <c r="G2157" s="8"/>
    </row>
    <row r="2158">
      <c r="A2158" s="4">
        <v>43546.65301716435</v>
      </c>
      <c r="B2158" s="5">
        <v>43546.9446580902</v>
      </c>
      <c r="C2158" s="6">
        <v>1.029</v>
      </c>
      <c r="D2158" s="6">
        <v>66.0</v>
      </c>
      <c r="E2158" s="7" t="s">
        <v>7</v>
      </c>
      <c r="F2158" s="7" t="s">
        <v>8</v>
      </c>
      <c r="G2158" s="8"/>
    </row>
    <row r="2159">
      <c r="A2159" s="4">
        <v>43546.6634352199</v>
      </c>
      <c r="B2159" s="5">
        <v>43546.9550781944</v>
      </c>
      <c r="C2159" s="6">
        <v>1.029</v>
      </c>
      <c r="D2159" s="6">
        <v>66.0</v>
      </c>
      <c r="E2159" s="7" t="s">
        <v>7</v>
      </c>
      <c r="F2159" s="7" t="s">
        <v>8</v>
      </c>
      <c r="G2159" s="8"/>
    </row>
    <row r="2160">
      <c r="A2160" s="4">
        <v>43546.673865543984</v>
      </c>
      <c r="B2160" s="5">
        <v>43546.9654991898</v>
      </c>
      <c r="C2160" s="6">
        <v>1.029</v>
      </c>
      <c r="D2160" s="6">
        <v>66.0</v>
      </c>
      <c r="E2160" s="7" t="s">
        <v>7</v>
      </c>
      <c r="F2160" s="7" t="s">
        <v>8</v>
      </c>
      <c r="G2160" s="8"/>
    </row>
    <row r="2161">
      <c r="A2161" s="4">
        <v>43546.684303761576</v>
      </c>
      <c r="B2161" s="5">
        <v>43546.9759437962</v>
      </c>
      <c r="C2161" s="6">
        <v>1.029</v>
      </c>
      <c r="D2161" s="6">
        <v>66.0</v>
      </c>
      <c r="E2161" s="7" t="s">
        <v>7</v>
      </c>
      <c r="F2161" s="7" t="s">
        <v>8</v>
      </c>
      <c r="G2161" s="8"/>
    </row>
    <row r="2162">
      <c r="A2162" s="4">
        <v>43546.69478201389</v>
      </c>
      <c r="B2162" s="5">
        <v>43546.9863652546</v>
      </c>
      <c r="C2162" s="6">
        <v>1.029</v>
      </c>
      <c r="D2162" s="6">
        <v>66.0</v>
      </c>
      <c r="E2162" s="7" t="s">
        <v>7</v>
      </c>
      <c r="F2162" s="7" t="s">
        <v>8</v>
      </c>
      <c r="G2162" s="8"/>
    </row>
    <row r="2163">
      <c r="A2163" s="4">
        <v>43546.70515471065</v>
      </c>
      <c r="B2163" s="5">
        <v>43546.9967881481</v>
      </c>
      <c r="C2163" s="6">
        <v>1.029</v>
      </c>
      <c r="D2163" s="6">
        <v>66.0</v>
      </c>
      <c r="E2163" s="7" t="s">
        <v>7</v>
      </c>
      <c r="F2163" s="7" t="s">
        <v>8</v>
      </c>
      <c r="G2163" s="8"/>
    </row>
    <row r="2164">
      <c r="A2164" s="4">
        <v>43546.715573657406</v>
      </c>
      <c r="B2164" s="5">
        <v>43547.0072090856</v>
      </c>
      <c r="C2164" s="6">
        <v>1.029</v>
      </c>
      <c r="D2164" s="6">
        <v>66.0</v>
      </c>
      <c r="E2164" s="7" t="s">
        <v>7</v>
      </c>
      <c r="F2164" s="7" t="s">
        <v>8</v>
      </c>
      <c r="G2164" s="8"/>
    </row>
    <row r="2165">
      <c r="A2165" s="4">
        <v>43546.726008321755</v>
      </c>
      <c r="B2165" s="5">
        <v>43547.0176413657</v>
      </c>
      <c r="C2165" s="6">
        <v>1.029</v>
      </c>
      <c r="D2165" s="6">
        <v>66.0</v>
      </c>
      <c r="E2165" s="7" t="s">
        <v>7</v>
      </c>
      <c r="F2165" s="7" t="s">
        <v>8</v>
      </c>
      <c r="G2165" s="8"/>
    </row>
    <row r="2166">
      <c r="A2166" s="4">
        <v>43546.73642792824</v>
      </c>
      <c r="B2166" s="5">
        <v>43547.0280630324</v>
      </c>
      <c r="C2166" s="6">
        <v>1.029</v>
      </c>
      <c r="D2166" s="6">
        <v>66.0</v>
      </c>
      <c r="E2166" s="7" t="s">
        <v>7</v>
      </c>
      <c r="F2166" s="7" t="s">
        <v>8</v>
      </c>
      <c r="G2166" s="8"/>
    </row>
    <row r="2167">
      <c r="A2167" s="4">
        <v>43546.74684424768</v>
      </c>
      <c r="B2167" s="5">
        <v>43547.0384847338</v>
      </c>
      <c r="C2167" s="6">
        <v>1.029</v>
      </c>
      <c r="D2167" s="6">
        <v>66.0</v>
      </c>
      <c r="E2167" s="7" t="s">
        <v>7</v>
      </c>
      <c r="F2167" s="7" t="s">
        <v>8</v>
      </c>
      <c r="G2167" s="8"/>
    </row>
    <row r="2168">
      <c r="A2168" s="4">
        <v>43546.75727545139</v>
      </c>
      <c r="B2168" s="5">
        <v>43547.0489059374</v>
      </c>
      <c r="C2168" s="6">
        <v>1.029</v>
      </c>
      <c r="D2168" s="6">
        <v>66.0</v>
      </c>
      <c r="E2168" s="7" t="s">
        <v>7</v>
      </c>
      <c r="F2168" s="7" t="s">
        <v>8</v>
      </c>
      <c r="G2168" s="8"/>
    </row>
    <row r="2169">
      <c r="A2169" s="4">
        <v>43546.76769289352</v>
      </c>
      <c r="B2169" s="5">
        <v>43547.0593262731</v>
      </c>
      <c r="C2169" s="6">
        <v>1.029</v>
      </c>
      <c r="D2169" s="6">
        <v>66.0</v>
      </c>
      <c r="E2169" s="7" t="s">
        <v>7</v>
      </c>
      <c r="F2169" s="7" t="s">
        <v>8</v>
      </c>
      <c r="G2169" s="8"/>
    </row>
    <row r="2170">
      <c r="A2170" s="4">
        <v>43546.77813160879</v>
      </c>
      <c r="B2170" s="5">
        <v>43547.0697608333</v>
      </c>
      <c r="C2170" s="6">
        <v>1.029</v>
      </c>
      <c r="D2170" s="6">
        <v>66.0</v>
      </c>
      <c r="E2170" s="7" t="s">
        <v>7</v>
      </c>
      <c r="F2170" s="7" t="s">
        <v>8</v>
      </c>
      <c r="G2170" s="8"/>
    </row>
    <row r="2171">
      <c r="A2171" s="4">
        <v>43546.788549675926</v>
      </c>
      <c r="B2171" s="5">
        <v>43547.0801822685</v>
      </c>
      <c r="C2171" s="6">
        <v>1.029</v>
      </c>
      <c r="D2171" s="6">
        <v>66.0</v>
      </c>
      <c r="E2171" s="7" t="s">
        <v>7</v>
      </c>
      <c r="F2171" s="7" t="s">
        <v>8</v>
      </c>
      <c r="G2171" s="8"/>
    </row>
    <row r="2172">
      <c r="A2172" s="4">
        <v>43546.798964664355</v>
      </c>
      <c r="B2172" s="5">
        <v>43547.0906040625</v>
      </c>
      <c r="C2172" s="6">
        <v>1.028</v>
      </c>
      <c r="D2172" s="6">
        <v>66.0</v>
      </c>
      <c r="E2172" s="7" t="s">
        <v>7</v>
      </c>
      <c r="F2172" s="7" t="s">
        <v>8</v>
      </c>
      <c r="G2172" s="8"/>
    </row>
    <row r="2173">
      <c r="A2173" s="4">
        <v>43546.809391874995</v>
      </c>
      <c r="B2173" s="5">
        <v>43547.1010260995</v>
      </c>
      <c r="C2173" s="6">
        <v>1.029</v>
      </c>
      <c r="D2173" s="6">
        <v>66.0</v>
      </c>
      <c r="E2173" s="7" t="s">
        <v>7</v>
      </c>
      <c r="F2173" s="7" t="s">
        <v>8</v>
      </c>
      <c r="G2173" s="8"/>
    </row>
    <row r="2174">
      <c r="A2174" s="4">
        <v>43546.8198146875</v>
      </c>
      <c r="B2174" s="5">
        <v>43547.1114595717</v>
      </c>
      <c r="C2174" s="6">
        <v>1.029</v>
      </c>
      <c r="D2174" s="6">
        <v>66.0</v>
      </c>
      <c r="E2174" s="7" t="s">
        <v>7</v>
      </c>
      <c r="F2174" s="7" t="s">
        <v>8</v>
      </c>
      <c r="G2174" s="8"/>
    </row>
    <row r="2175">
      <c r="A2175" s="4">
        <v>43546.83023523148</v>
      </c>
      <c r="B2175" s="5">
        <v>43547.1218785879</v>
      </c>
      <c r="C2175" s="6">
        <v>1.029</v>
      </c>
      <c r="D2175" s="6">
        <v>66.0</v>
      </c>
      <c r="E2175" s="7" t="s">
        <v>7</v>
      </c>
      <c r="F2175" s="7" t="s">
        <v>8</v>
      </c>
      <c r="G2175" s="8"/>
    </row>
    <row r="2176">
      <c r="A2176" s="4">
        <v>43546.84066663195</v>
      </c>
      <c r="B2176" s="5">
        <v>43547.132300405</v>
      </c>
      <c r="C2176" s="6">
        <v>1.028</v>
      </c>
      <c r="D2176" s="6">
        <v>66.0</v>
      </c>
      <c r="E2176" s="7" t="s">
        <v>7</v>
      </c>
      <c r="F2176" s="7" t="s">
        <v>8</v>
      </c>
      <c r="G2176" s="8"/>
    </row>
    <row r="2177">
      <c r="A2177" s="4">
        <v>43546.851085312504</v>
      </c>
      <c r="B2177" s="5">
        <v>43547.1427210879</v>
      </c>
      <c r="C2177" s="6">
        <v>1.029</v>
      </c>
      <c r="D2177" s="6">
        <v>66.0</v>
      </c>
      <c r="E2177" s="7" t="s">
        <v>7</v>
      </c>
      <c r="F2177" s="7" t="s">
        <v>8</v>
      </c>
      <c r="G2177" s="8"/>
    </row>
    <row r="2178">
      <c r="A2178" s="4">
        <v>43546.86150274306</v>
      </c>
      <c r="B2178" s="5">
        <v>43547.1531419328</v>
      </c>
      <c r="C2178" s="6">
        <v>1.028</v>
      </c>
      <c r="D2178" s="6">
        <v>66.0</v>
      </c>
      <c r="E2178" s="7" t="s">
        <v>7</v>
      </c>
      <c r="F2178" s="7" t="s">
        <v>8</v>
      </c>
      <c r="G2178" s="8"/>
    </row>
    <row r="2179">
      <c r="A2179" s="4">
        <v>43546.871930891204</v>
      </c>
      <c r="B2179" s="5">
        <v>43547.1635616203</v>
      </c>
      <c r="C2179" s="6">
        <v>1.029</v>
      </c>
      <c r="D2179" s="6">
        <v>66.0</v>
      </c>
      <c r="E2179" s="7" t="s">
        <v>7</v>
      </c>
      <c r="F2179" s="7" t="s">
        <v>8</v>
      </c>
      <c r="G2179" s="8"/>
    </row>
    <row r="2180">
      <c r="A2180" s="4">
        <v>43546.88236251158</v>
      </c>
      <c r="B2180" s="5">
        <v>43547.1739940625</v>
      </c>
      <c r="C2180" s="6">
        <v>1.029</v>
      </c>
      <c r="D2180" s="6">
        <v>66.0</v>
      </c>
      <c r="E2180" s="7" t="s">
        <v>7</v>
      </c>
      <c r="F2180" s="7" t="s">
        <v>8</v>
      </c>
      <c r="G2180" s="8"/>
    </row>
    <row r="2181">
      <c r="A2181" s="4">
        <v>43546.89279333333</v>
      </c>
      <c r="B2181" s="5">
        <v>43547.1844245601</v>
      </c>
      <c r="C2181" s="6">
        <v>1.029</v>
      </c>
      <c r="D2181" s="6">
        <v>66.0</v>
      </c>
      <c r="E2181" s="7" t="s">
        <v>7</v>
      </c>
      <c r="F2181" s="7" t="s">
        <v>8</v>
      </c>
      <c r="G2181" s="8"/>
    </row>
    <row r="2182">
      <c r="A2182" s="4">
        <v>43546.903209537035</v>
      </c>
      <c r="B2182" s="5">
        <v>43547.1948469676</v>
      </c>
      <c r="C2182" s="6">
        <v>1.028</v>
      </c>
      <c r="D2182" s="6">
        <v>66.0</v>
      </c>
      <c r="E2182" s="7" t="s">
        <v>7</v>
      </c>
      <c r="F2182" s="7" t="s">
        <v>8</v>
      </c>
      <c r="G2182" s="8"/>
    </row>
    <row r="2183">
      <c r="A2183" s="4">
        <v>43546.91362814815</v>
      </c>
      <c r="B2183" s="5">
        <v>43547.2052686458</v>
      </c>
      <c r="C2183" s="6">
        <v>1.028</v>
      </c>
      <c r="D2183" s="6">
        <v>66.0</v>
      </c>
      <c r="E2183" s="7" t="s">
        <v>7</v>
      </c>
      <c r="F2183" s="7" t="s">
        <v>8</v>
      </c>
      <c r="G2183" s="8"/>
    </row>
    <row r="2184">
      <c r="A2184" s="4">
        <v>43546.92412755787</v>
      </c>
      <c r="B2184" s="5">
        <v>43547.215700625</v>
      </c>
      <c r="C2184" s="6">
        <v>1.028</v>
      </c>
      <c r="D2184" s="6">
        <v>67.0</v>
      </c>
      <c r="E2184" s="7" t="s">
        <v>7</v>
      </c>
      <c r="F2184" s="7" t="s">
        <v>8</v>
      </c>
      <c r="G2184" s="8"/>
    </row>
    <row r="2185">
      <c r="A2185" s="4">
        <v>43546.93448696759</v>
      </c>
      <c r="B2185" s="5">
        <v>43547.2261213541</v>
      </c>
      <c r="C2185" s="6">
        <v>1.028</v>
      </c>
      <c r="D2185" s="6">
        <v>66.0</v>
      </c>
      <c r="E2185" s="7" t="s">
        <v>7</v>
      </c>
      <c r="F2185" s="7" t="s">
        <v>8</v>
      </c>
      <c r="G2185" s="8"/>
    </row>
    <row r="2186">
      <c r="A2186" s="4">
        <v>43546.94490637731</v>
      </c>
      <c r="B2186" s="5">
        <v>43547.2365432523</v>
      </c>
      <c r="C2186" s="6">
        <v>1.029</v>
      </c>
      <c r="D2186" s="6">
        <v>66.0</v>
      </c>
      <c r="E2186" s="7" t="s">
        <v>7</v>
      </c>
      <c r="F2186" s="7" t="s">
        <v>8</v>
      </c>
      <c r="G2186" s="8"/>
    </row>
    <row r="2187">
      <c r="A2187" s="4">
        <v>43546.95533134259</v>
      </c>
      <c r="B2187" s="5">
        <v>43547.2469649074</v>
      </c>
      <c r="C2187" s="6">
        <v>1.028</v>
      </c>
      <c r="D2187" s="6">
        <v>66.0</v>
      </c>
      <c r="E2187" s="7" t="s">
        <v>7</v>
      </c>
      <c r="F2187" s="7" t="s">
        <v>8</v>
      </c>
      <c r="G2187" s="8"/>
    </row>
    <row r="2188">
      <c r="A2188" s="4">
        <v>43546.96575038195</v>
      </c>
      <c r="B2188" s="5">
        <v>43547.2573867013</v>
      </c>
      <c r="C2188" s="6">
        <v>1.028</v>
      </c>
      <c r="D2188" s="6">
        <v>66.0</v>
      </c>
      <c r="E2188" s="7" t="s">
        <v>7</v>
      </c>
      <c r="F2188" s="7" t="s">
        <v>8</v>
      </c>
      <c r="G2188" s="8"/>
    </row>
    <row r="2189">
      <c r="A2189" s="4">
        <v>43546.97617681713</v>
      </c>
      <c r="B2189" s="5">
        <v>43547.267817743</v>
      </c>
      <c r="C2189" s="6">
        <v>1.029</v>
      </c>
      <c r="D2189" s="6">
        <v>66.0</v>
      </c>
      <c r="E2189" s="7" t="s">
        <v>7</v>
      </c>
      <c r="F2189" s="7" t="s">
        <v>8</v>
      </c>
      <c r="G2189" s="8"/>
    </row>
    <row r="2190">
      <c r="A2190" s="4">
        <v>43546.986614375</v>
      </c>
      <c r="B2190" s="5">
        <v>43547.2782515972</v>
      </c>
      <c r="C2190" s="6">
        <v>1.028</v>
      </c>
      <c r="D2190" s="6">
        <v>66.0</v>
      </c>
      <c r="E2190" s="7" t="s">
        <v>7</v>
      </c>
      <c r="F2190" s="7" t="s">
        <v>8</v>
      </c>
      <c r="G2190" s="8"/>
    </row>
    <row r="2191">
      <c r="A2191" s="4">
        <v>43546.99703501158</v>
      </c>
      <c r="B2191" s="5">
        <v>43547.2886740624</v>
      </c>
      <c r="C2191" s="6">
        <v>1.028</v>
      </c>
      <c r="D2191" s="6">
        <v>66.0</v>
      </c>
      <c r="E2191" s="7" t="s">
        <v>7</v>
      </c>
      <c r="F2191" s="7" t="s">
        <v>8</v>
      </c>
      <c r="G2191" s="8"/>
    </row>
    <row r="2192">
      <c r="A2192" s="4">
        <v>43547.00747172454</v>
      </c>
      <c r="B2192" s="5">
        <v>43547.29910603</v>
      </c>
      <c r="C2192" s="6">
        <v>1.028</v>
      </c>
      <c r="D2192" s="6">
        <v>66.0</v>
      </c>
      <c r="E2192" s="7" t="s">
        <v>7</v>
      </c>
      <c r="F2192" s="7" t="s">
        <v>8</v>
      </c>
      <c r="G2192" s="8"/>
    </row>
    <row r="2193">
      <c r="A2193" s="4">
        <v>43547.017889386574</v>
      </c>
      <c r="B2193" s="5">
        <v>43547.3095273263</v>
      </c>
      <c r="C2193" s="6">
        <v>1.028</v>
      </c>
      <c r="D2193" s="6">
        <v>66.0</v>
      </c>
      <c r="E2193" s="7" t="s">
        <v>7</v>
      </c>
      <c r="F2193" s="7" t="s">
        <v>8</v>
      </c>
      <c r="G2193" s="8"/>
    </row>
    <row r="2194">
      <c r="A2194" s="4">
        <v>43547.0283120949</v>
      </c>
      <c r="B2194" s="5">
        <v>43547.319948993</v>
      </c>
      <c r="C2194" s="6">
        <v>1.028</v>
      </c>
      <c r="D2194" s="6">
        <v>66.0</v>
      </c>
      <c r="E2194" s="7" t="s">
        <v>7</v>
      </c>
      <c r="F2194" s="7" t="s">
        <v>8</v>
      </c>
      <c r="G2194" s="8"/>
    </row>
    <row r="2195">
      <c r="A2195" s="4">
        <v>43547.038727453706</v>
      </c>
      <c r="B2195" s="5">
        <v>43547.3303698379</v>
      </c>
      <c r="C2195" s="6">
        <v>1.028</v>
      </c>
      <c r="D2195" s="6">
        <v>66.0</v>
      </c>
      <c r="E2195" s="7" t="s">
        <v>7</v>
      </c>
      <c r="F2195" s="7" t="s">
        <v>8</v>
      </c>
      <c r="G2195" s="8"/>
    </row>
    <row r="2196">
      <c r="A2196" s="4">
        <v>43547.0491671412</v>
      </c>
      <c r="B2196" s="5">
        <v>43547.3408027314</v>
      </c>
      <c r="C2196" s="6">
        <v>1.028</v>
      </c>
      <c r="D2196" s="6">
        <v>66.0</v>
      </c>
      <c r="E2196" s="7" t="s">
        <v>7</v>
      </c>
      <c r="F2196" s="7" t="s">
        <v>8</v>
      </c>
      <c r="G2196" s="8"/>
    </row>
    <row r="2197">
      <c r="A2197" s="4">
        <v>43547.05958083333</v>
      </c>
      <c r="B2197" s="5">
        <v>43547.351225081</v>
      </c>
      <c r="C2197" s="6">
        <v>1.028</v>
      </c>
      <c r="D2197" s="6">
        <v>66.0</v>
      </c>
      <c r="E2197" s="7" t="s">
        <v>7</v>
      </c>
      <c r="F2197" s="7" t="s">
        <v>8</v>
      </c>
      <c r="G2197" s="8"/>
    </row>
    <row r="2198">
      <c r="A2198" s="4">
        <v>43547.070036805555</v>
      </c>
      <c r="B2198" s="5">
        <v>43547.3616682175</v>
      </c>
      <c r="C2198" s="6">
        <v>1.028</v>
      </c>
      <c r="D2198" s="6">
        <v>66.0</v>
      </c>
      <c r="E2198" s="7" t="s">
        <v>7</v>
      </c>
      <c r="F2198" s="7" t="s">
        <v>8</v>
      </c>
      <c r="G2198" s="8"/>
    </row>
    <row r="2199">
      <c r="A2199" s="4">
        <v>43547.08045793981</v>
      </c>
      <c r="B2199" s="5">
        <v>43547.3720908796</v>
      </c>
      <c r="C2199" s="6">
        <v>1.028</v>
      </c>
      <c r="D2199" s="6">
        <v>66.0</v>
      </c>
      <c r="E2199" s="7" t="s">
        <v>7</v>
      </c>
      <c r="F2199" s="7" t="s">
        <v>8</v>
      </c>
      <c r="G2199" s="8"/>
    </row>
    <row r="2200">
      <c r="A2200" s="4">
        <v>43547.09088076389</v>
      </c>
      <c r="B2200" s="5">
        <v>43547.382510949</v>
      </c>
      <c r="C2200" s="6">
        <v>1.028</v>
      </c>
      <c r="D2200" s="6">
        <v>66.0</v>
      </c>
      <c r="E2200" s="7" t="s">
        <v>7</v>
      </c>
      <c r="F2200" s="7" t="s">
        <v>8</v>
      </c>
      <c r="G2200" s="8"/>
    </row>
    <row r="2201">
      <c r="A2201" s="4">
        <v>43547.1012940162</v>
      </c>
      <c r="B2201" s="5">
        <v>43547.3929323611</v>
      </c>
      <c r="C2201" s="6">
        <v>1.028</v>
      </c>
      <c r="D2201" s="6">
        <v>66.0</v>
      </c>
      <c r="E2201" s="7" t="s">
        <v>7</v>
      </c>
      <c r="F2201" s="7" t="s">
        <v>8</v>
      </c>
      <c r="G2201" s="8"/>
    </row>
    <row r="2202">
      <c r="A2202" s="4">
        <v>43547.11172479167</v>
      </c>
      <c r="B2202" s="5">
        <v>43547.403365243</v>
      </c>
      <c r="C2202" s="6">
        <v>1.028</v>
      </c>
      <c r="D2202" s="6">
        <v>66.0</v>
      </c>
      <c r="E2202" s="7" t="s">
        <v>7</v>
      </c>
      <c r="F2202" s="7" t="s">
        <v>8</v>
      </c>
      <c r="G2202" s="8"/>
    </row>
    <row r="2203">
      <c r="A2203" s="4">
        <v>43547.12217497685</v>
      </c>
      <c r="B2203" s="5">
        <v>43547.4138084143</v>
      </c>
      <c r="C2203" s="6">
        <v>1.028</v>
      </c>
      <c r="D2203" s="6">
        <v>66.0</v>
      </c>
      <c r="E2203" s="7" t="s">
        <v>7</v>
      </c>
      <c r="F2203" s="7" t="s">
        <v>8</v>
      </c>
      <c r="G2203" s="8"/>
    </row>
    <row r="2204">
      <c r="A2204" s="4">
        <v>43547.13260037037</v>
      </c>
      <c r="B2204" s="5">
        <v>43547.4242292476</v>
      </c>
      <c r="C2204" s="6">
        <v>1.028</v>
      </c>
      <c r="D2204" s="6">
        <v>66.0</v>
      </c>
      <c r="E2204" s="7" t="s">
        <v>7</v>
      </c>
      <c r="F2204" s="7" t="s">
        <v>8</v>
      </c>
      <c r="G2204" s="8"/>
    </row>
    <row r="2205">
      <c r="A2205" s="4">
        <v>43547.14301378472</v>
      </c>
      <c r="B2205" s="5">
        <v>43547.4346508333</v>
      </c>
      <c r="C2205" s="6">
        <v>1.028</v>
      </c>
      <c r="D2205" s="6">
        <v>66.0</v>
      </c>
      <c r="E2205" s="7" t="s">
        <v>7</v>
      </c>
      <c r="F2205" s="7" t="s">
        <v>8</v>
      </c>
      <c r="G2205" s="8"/>
    </row>
    <row r="2206">
      <c r="A2206" s="4">
        <v>43547.15343922454</v>
      </c>
      <c r="B2206" s="5">
        <v>43547.445071331</v>
      </c>
      <c r="C2206" s="6">
        <v>1.028</v>
      </c>
      <c r="D2206" s="6">
        <v>66.0</v>
      </c>
      <c r="E2206" s="7" t="s">
        <v>7</v>
      </c>
      <c r="F2206" s="7" t="s">
        <v>8</v>
      </c>
      <c r="G2206" s="8"/>
    </row>
    <row r="2207">
      <c r="A2207" s="4">
        <v>43547.16388190972</v>
      </c>
      <c r="B2207" s="5">
        <v>43547.4555173379</v>
      </c>
      <c r="C2207" s="6">
        <v>1.028</v>
      </c>
      <c r="D2207" s="6">
        <v>66.0</v>
      </c>
      <c r="E2207" s="7" t="s">
        <v>7</v>
      </c>
      <c r="F2207" s="7" t="s">
        <v>8</v>
      </c>
      <c r="G2207" s="8"/>
    </row>
    <row r="2208">
      <c r="A2208" s="4">
        <v>43547.174324085645</v>
      </c>
      <c r="B2208" s="5">
        <v>43547.465961655</v>
      </c>
      <c r="C2208" s="6">
        <v>1.028</v>
      </c>
      <c r="D2208" s="6">
        <v>66.0</v>
      </c>
      <c r="E2208" s="7" t="s">
        <v>7</v>
      </c>
      <c r="F2208" s="7" t="s">
        <v>8</v>
      </c>
      <c r="G2208" s="8"/>
    </row>
    <row r="2209">
      <c r="A2209" s="4">
        <v>43547.18474020834</v>
      </c>
      <c r="B2209" s="5">
        <v>43547.4763820949</v>
      </c>
      <c r="C2209" s="6">
        <v>1.028</v>
      </c>
      <c r="D2209" s="6">
        <v>66.0</v>
      </c>
      <c r="E2209" s="7" t="s">
        <v>7</v>
      </c>
      <c r="F2209" s="7" t="s">
        <v>8</v>
      </c>
      <c r="G2209" s="8"/>
    </row>
    <row r="2210">
      <c r="A2210" s="4">
        <v>43547.1951690625</v>
      </c>
      <c r="B2210" s="5">
        <v>43547.4868047106</v>
      </c>
      <c r="C2210" s="6">
        <v>1.028</v>
      </c>
      <c r="D2210" s="6">
        <v>66.0</v>
      </c>
      <c r="E2210" s="7" t="s">
        <v>7</v>
      </c>
      <c r="F2210" s="7" t="s">
        <v>8</v>
      </c>
      <c r="G2210" s="8"/>
    </row>
    <row r="2211">
      <c r="A2211" s="4">
        <v>43547.205622615744</v>
      </c>
      <c r="B2211" s="5">
        <v>43547.4972600926</v>
      </c>
      <c r="C2211" s="6">
        <v>1.028</v>
      </c>
      <c r="D2211" s="6">
        <v>66.0</v>
      </c>
      <c r="E2211" s="7" t="s">
        <v>7</v>
      </c>
      <c r="F2211" s="7" t="s">
        <v>8</v>
      </c>
      <c r="G2211" s="8"/>
    </row>
    <row r="2212">
      <c r="A2212" s="4">
        <v>43547.2160612963</v>
      </c>
      <c r="B2212" s="5">
        <v>43547.5076939236</v>
      </c>
      <c r="C2212" s="6">
        <v>1.028</v>
      </c>
      <c r="D2212" s="6">
        <v>66.0</v>
      </c>
      <c r="E2212" s="7" t="s">
        <v>7</v>
      </c>
      <c r="F2212" s="7" t="s">
        <v>8</v>
      </c>
      <c r="G2212" s="8"/>
    </row>
    <row r="2213">
      <c r="A2213" s="4">
        <v>43547.22648010417</v>
      </c>
      <c r="B2213" s="5">
        <v>43547.5181156365</v>
      </c>
      <c r="C2213" s="6">
        <v>1.028</v>
      </c>
      <c r="D2213" s="6">
        <v>66.0</v>
      </c>
      <c r="E2213" s="7" t="s">
        <v>7</v>
      </c>
      <c r="F2213" s="7" t="s">
        <v>8</v>
      </c>
      <c r="G2213" s="8"/>
    </row>
    <row r="2214">
      <c r="A2214" s="4">
        <v>43547.236906562495</v>
      </c>
      <c r="B2214" s="5">
        <v>43547.5285466666</v>
      </c>
      <c r="C2214" s="6">
        <v>1.028</v>
      </c>
      <c r="D2214" s="6">
        <v>66.0</v>
      </c>
      <c r="E2214" s="7" t="s">
        <v>7</v>
      </c>
      <c r="F2214" s="7" t="s">
        <v>8</v>
      </c>
      <c r="G2214" s="8"/>
    </row>
    <row r="2215">
      <c r="A2215" s="4">
        <v>43547.24733366898</v>
      </c>
      <c r="B2215" s="5">
        <v>43547.5389662268</v>
      </c>
      <c r="C2215" s="6">
        <v>1.028</v>
      </c>
      <c r="D2215" s="6">
        <v>66.0</v>
      </c>
      <c r="E2215" s="7" t="s">
        <v>7</v>
      </c>
      <c r="F2215" s="7" t="s">
        <v>8</v>
      </c>
      <c r="G2215" s="8"/>
    </row>
    <row r="2216">
      <c r="A2216" s="4">
        <v>43547.25775601852</v>
      </c>
      <c r="B2216" s="5">
        <v>43547.5493874305</v>
      </c>
      <c r="C2216" s="6">
        <v>1.028</v>
      </c>
      <c r="D2216" s="6">
        <v>66.0</v>
      </c>
      <c r="E2216" s="7" t="s">
        <v>7</v>
      </c>
      <c r="F2216" s="7" t="s">
        <v>8</v>
      </c>
      <c r="G2216" s="8"/>
    </row>
    <row r="2217">
      <c r="A2217" s="4">
        <v>43547.268175219906</v>
      </c>
      <c r="B2217" s="5">
        <v>43547.5598081481</v>
      </c>
      <c r="C2217" s="6">
        <v>1.028</v>
      </c>
      <c r="D2217" s="6">
        <v>66.0</v>
      </c>
      <c r="E2217" s="7" t="s">
        <v>7</v>
      </c>
      <c r="F2217" s="7" t="s">
        <v>8</v>
      </c>
      <c r="G2217" s="8"/>
    </row>
    <row r="2218">
      <c r="A2218" s="4">
        <v>43547.27858962963</v>
      </c>
      <c r="B2218" s="5">
        <v>43547.5702305902</v>
      </c>
      <c r="C2218" s="6">
        <v>1.028</v>
      </c>
      <c r="D2218" s="6">
        <v>66.0</v>
      </c>
      <c r="E2218" s="7" t="s">
        <v>7</v>
      </c>
      <c r="F2218" s="7" t="s">
        <v>8</v>
      </c>
      <c r="G2218" s="8"/>
    </row>
    <row r="2219">
      <c r="A2219" s="4">
        <v>43547.289017303236</v>
      </c>
      <c r="B2219" s="5">
        <v>43547.5806519328</v>
      </c>
      <c r="C2219" s="6">
        <v>1.028</v>
      </c>
      <c r="D2219" s="6">
        <v>66.0</v>
      </c>
      <c r="E2219" s="7" t="s">
        <v>7</v>
      </c>
      <c r="F2219" s="7" t="s">
        <v>8</v>
      </c>
      <c r="G2219" s="8"/>
    </row>
    <row r="2220">
      <c r="A2220" s="4">
        <v>43547.299475625</v>
      </c>
      <c r="B2220" s="5">
        <v>43547.5911078356</v>
      </c>
      <c r="C2220" s="6">
        <v>1.028</v>
      </c>
      <c r="D2220" s="6">
        <v>66.0</v>
      </c>
      <c r="E2220" s="7" t="s">
        <v>7</v>
      </c>
      <c r="F2220" s="7" t="s">
        <v>8</v>
      </c>
      <c r="G2220" s="8"/>
    </row>
    <row r="2221">
      <c r="A2221" s="4">
        <v>43547.30995109954</v>
      </c>
      <c r="B2221" s="5">
        <v>43547.601528206</v>
      </c>
      <c r="C2221" s="6">
        <v>1.028</v>
      </c>
      <c r="D2221" s="6">
        <v>66.0</v>
      </c>
      <c r="E2221" s="7" t="s">
        <v>7</v>
      </c>
      <c r="F2221" s="7" t="s">
        <v>8</v>
      </c>
      <c r="G2221" s="8"/>
    </row>
    <row r="2222">
      <c r="A2222" s="4">
        <v>43547.32032907408</v>
      </c>
      <c r="B2222" s="5">
        <v>43547.6119615277</v>
      </c>
      <c r="C2222" s="6">
        <v>1.028</v>
      </c>
      <c r="D2222" s="6">
        <v>66.0</v>
      </c>
      <c r="E2222" s="7" t="s">
        <v>7</v>
      </c>
      <c r="F2222" s="7" t="s">
        <v>8</v>
      </c>
      <c r="G2222" s="8"/>
    </row>
    <row r="2223">
      <c r="A2223" s="4">
        <v>43547.33074498843</v>
      </c>
      <c r="B2223" s="5">
        <v>43547.622383368</v>
      </c>
      <c r="C2223" s="6">
        <v>1.028</v>
      </c>
      <c r="D2223" s="6">
        <v>66.0</v>
      </c>
      <c r="E2223" s="7" t="s">
        <v>7</v>
      </c>
      <c r="F2223" s="7" t="s">
        <v>8</v>
      </c>
      <c r="G2223" s="8"/>
    </row>
    <row r="2224">
      <c r="A2224" s="4">
        <v>43547.34117271991</v>
      </c>
      <c r="B2224" s="5">
        <v>43547.6328058796</v>
      </c>
      <c r="C2224" s="6">
        <v>1.028</v>
      </c>
      <c r="D2224" s="6">
        <v>66.0</v>
      </c>
      <c r="E2224" s="7" t="s">
        <v>7</v>
      </c>
      <c r="F2224" s="7" t="s">
        <v>8</v>
      </c>
      <c r="G2224" s="8"/>
    </row>
    <row r="2225">
      <c r="A2225" s="4">
        <v>43547.35160012732</v>
      </c>
      <c r="B2225" s="5">
        <v>43547.6432390393</v>
      </c>
      <c r="C2225" s="6">
        <v>1.028</v>
      </c>
      <c r="D2225" s="6">
        <v>66.0</v>
      </c>
      <c r="E2225" s="7" t="s">
        <v>7</v>
      </c>
      <c r="F2225" s="7" t="s">
        <v>8</v>
      </c>
      <c r="G2225" s="8"/>
    </row>
    <row r="2226">
      <c r="A2226" s="4">
        <v>43547.36204449074</v>
      </c>
      <c r="B2226" s="5">
        <v>43547.6536720717</v>
      </c>
      <c r="C2226" s="6">
        <v>1.028</v>
      </c>
      <c r="D2226" s="6">
        <v>66.0</v>
      </c>
      <c r="E2226" s="7" t="s">
        <v>7</v>
      </c>
      <c r="F2226" s="7" t="s">
        <v>8</v>
      </c>
      <c r="G2226" s="8"/>
    </row>
    <row r="2227">
      <c r="A2227" s="4">
        <v>43547.37245962963</v>
      </c>
      <c r="B2227" s="5">
        <v>43547.6640934027</v>
      </c>
      <c r="C2227" s="6">
        <v>1.028</v>
      </c>
      <c r="D2227" s="6">
        <v>66.0</v>
      </c>
      <c r="E2227" s="7" t="s">
        <v>7</v>
      </c>
      <c r="F2227" s="7" t="s">
        <v>8</v>
      </c>
      <c r="G2227" s="8"/>
    </row>
    <row r="2228">
      <c r="A2228" s="4">
        <v>43547.382885196756</v>
      </c>
      <c r="B2228" s="5">
        <v>43547.6745144097</v>
      </c>
      <c r="C2228" s="6">
        <v>1.028</v>
      </c>
      <c r="D2228" s="6">
        <v>66.0</v>
      </c>
      <c r="E2228" s="7" t="s">
        <v>7</v>
      </c>
      <c r="F2228" s="7" t="s">
        <v>8</v>
      </c>
      <c r="G2228" s="8"/>
    </row>
    <row r="2229">
      <c r="A2229" s="4">
        <v>43547.39330564815</v>
      </c>
      <c r="B2229" s="5">
        <v>43547.6849450231</v>
      </c>
      <c r="C2229" s="6">
        <v>1.028</v>
      </c>
      <c r="D2229" s="6">
        <v>66.0</v>
      </c>
      <c r="E2229" s="7" t="s">
        <v>7</v>
      </c>
      <c r="F2229" s="7" t="s">
        <v>8</v>
      </c>
      <c r="G2229" s="8"/>
    </row>
    <row r="2230">
      <c r="A2230" s="4">
        <v>43547.40373605324</v>
      </c>
      <c r="B2230" s="5">
        <v>43547.6953667013</v>
      </c>
      <c r="C2230" s="6">
        <v>1.028</v>
      </c>
      <c r="D2230" s="6">
        <v>66.0</v>
      </c>
      <c r="E2230" s="7" t="s">
        <v>7</v>
      </c>
      <c r="F2230" s="7" t="s">
        <v>8</v>
      </c>
      <c r="G2230" s="8"/>
    </row>
    <row r="2231">
      <c r="A2231" s="4">
        <v>43547.41416962963</v>
      </c>
      <c r="B2231" s="5">
        <v>43547.7058001157</v>
      </c>
      <c r="C2231" s="6">
        <v>1.028</v>
      </c>
      <c r="D2231" s="6">
        <v>66.0</v>
      </c>
      <c r="E2231" s="7" t="s">
        <v>7</v>
      </c>
      <c r="F2231" s="7" t="s">
        <v>8</v>
      </c>
      <c r="G2231" s="8"/>
    </row>
    <row r="2232">
      <c r="A2232" s="4">
        <v>43547.42459108796</v>
      </c>
      <c r="B2232" s="5">
        <v>43547.7162196759</v>
      </c>
      <c r="C2232" s="6">
        <v>1.028</v>
      </c>
      <c r="D2232" s="6">
        <v>66.0</v>
      </c>
      <c r="E2232" s="7" t="s">
        <v>7</v>
      </c>
      <c r="F2232" s="7" t="s">
        <v>8</v>
      </c>
      <c r="G2232" s="8"/>
    </row>
    <row r="2233">
      <c r="A2233" s="4">
        <v>43547.43504012731</v>
      </c>
      <c r="B2233" s="5">
        <v>43547.726675324</v>
      </c>
      <c r="C2233" s="6">
        <v>1.028</v>
      </c>
      <c r="D2233" s="6">
        <v>66.0</v>
      </c>
      <c r="E2233" s="7" t="s">
        <v>7</v>
      </c>
      <c r="F2233" s="7" t="s">
        <v>8</v>
      </c>
      <c r="G2233" s="8"/>
    </row>
    <row r="2234">
      <c r="A2234" s="4">
        <v>43547.44547368056</v>
      </c>
      <c r="B2234" s="5">
        <v>43547.7371089699</v>
      </c>
      <c r="C2234" s="6">
        <v>1.028</v>
      </c>
      <c r="D2234" s="6">
        <v>66.0</v>
      </c>
      <c r="E2234" s="7" t="s">
        <v>7</v>
      </c>
      <c r="F2234" s="7" t="s">
        <v>8</v>
      </c>
      <c r="G2234" s="8"/>
    </row>
    <row r="2235">
      <c r="A2235" s="4">
        <v>43547.45589994213</v>
      </c>
      <c r="B2235" s="5">
        <v>43547.7475305092</v>
      </c>
      <c r="C2235" s="6">
        <v>1.028</v>
      </c>
      <c r="D2235" s="6">
        <v>66.0</v>
      </c>
      <c r="E2235" s="7" t="s">
        <v>7</v>
      </c>
      <c r="F2235" s="7" t="s">
        <v>8</v>
      </c>
      <c r="G2235" s="8"/>
    </row>
    <row r="2236">
      <c r="A2236" s="4">
        <v>43547.46633085648</v>
      </c>
      <c r="B2236" s="5">
        <v>43547.7579639236</v>
      </c>
      <c r="C2236" s="6">
        <v>1.028</v>
      </c>
      <c r="D2236" s="6">
        <v>66.0</v>
      </c>
      <c r="E2236" s="7" t="s">
        <v>7</v>
      </c>
      <c r="F2236" s="7" t="s">
        <v>8</v>
      </c>
      <c r="G2236" s="8"/>
    </row>
    <row r="2237">
      <c r="A2237" s="4">
        <v>43547.47679929398</v>
      </c>
      <c r="B2237" s="5">
        <v>43547.768419375</v>
      </c>
      <c r="C2237" s="6">
        <v>1.028</v>
      </c>
      <c r="D2237" s="6">
        <v>66.0</v>
      </c>
      <c r="E2237" s="7" t="s">
        <v>7</v>
      </c>
      <c r="F2237" s="7" t="s">
        <v>8</v>
      </c>
      <c r="G2237" s="8"/>
    </row>
    <row r="2238">
      <c r="A2238" s="4">
        <v>43547.487203425924</v>
      </c>
      <c r="B2238" s="5">
        <v>43547.7788415393</v>
      </c>
      <c r="C2238" s="6">
        <v>1.028</v>
      </c>
      <c r="D2238" s="6">
        <v>66.0</v>
      </c>
      <c r="E2238" s="7" t="s">
        <v>7</v>
      </c>
      <c r="F2238" s="7" t="s">
        <v>8</v>
      </c>
      <c r="G2238" s="8"/>
    </row>
    <row r="2239">
      <c r="A2239" s="4">
        <v>43547.497639375</v>
      </c>
      <c r="B2239" s="5">
        <v>43547.7892761921</v>
      </c>
      <c r="C2239" s="6">
        <v>1.028</v>
      </c>
      <c r="D2239" s="6">
        <v>66.0</v>
      </c>
      <c r="E2239" s="7" t="s">
        <v>7</v>
      </c>
      <c r="F2239" s="7" t="s">
        <v>8</v>
      </c>
      <c r="G2239" s="8"/>
    </row>
    <row r="2240">
      <c r="A2240" s="4">
        <v>43547.508076377315</v>
      </c>
      <c r="B2240" s="5">
        <v>43547.7997084027</v>
      </c>
      <c r="C2240" s="6">
        <v>1.028</v>
      </c>
      <c r="D2240" s="6">
        <v>66.0</v>
      </c>
      <c r="E2240" s="7" t="s">
        <v>7</v>
      </c>
      <c r="F2240" s="7" t="s">
        <v>8</v>
      </c>
      <c r="G2240" s="8"/>
    </row>
    <row r="2241">
      <c r="A2241" s="4">
        <v>43547.51852079861</v>
      </c>
      <c r="B2241" s="5">
        <v>43547.8101412963</v>
      </c>
      <c r="C2241" s="6">
        <v>1.028</v>
      </c>
      <c r="D2241" s="6">
        <v>66.0</v>
      </c>
      <c r="E2241" s="7" t="s">
        <v>7</v>
      </c>
      <c r="F2241" s="7" t="s">
        <v>8</v>
      </c>
      <c r="G2241" s="8"/>
    </row>
    <row r="2242">
      <c r="A2242" s="4">
        <v>43547.52893025463</v>
      </c>
      <c r="B2242" s="5">
        <v>43547.8205625463</v>
      </c>
      <c r="C2242" s="6">
        <v>1.028</v>
      </c>
      <c r="D2242" s="6">
        <v>66.0</v>
      </c>
      <c r="E2242" s="7" t="s">
        <v>7</v>
      </c>
      <c r="F2242" s="7" t="s">
        <v>8</v>
      </c>
      <c r="G2242" s="8"/>
    </row>
    <row r="2243">
      <c r="A2243" s="4">
        <v>43547.5393490625</v>
      </c>
      <c r="B2243" s="5">
        <v>43547.8309818981</v>
      </c>
      <c r="C2243" s="6">
        <v>1.028</v>
      </c>
      <c r="D2243" s="6">
        <v>66.0</v>
      </c>
      <c r="E2243" s="7" t="s">
        <v>7</v>
      </c>
      <c r="F2243" s="7" t="s">
        <v>8</v>
      </c>
      <c r="G2243" s="8"/>
    </row>
    <row r="2244">
      <c r="A2244" s="4">
        <v>43547.54977878473</v>
      </c>
      <c r="B2244" s="5">
        <v>43547.8414154166</v>
      </c>
      <c r="C2244" s="6">
        <v>1.028</v>
      </c>
      <c r="D2244" s="6">
        <v>66.0</v>
      </c>
      <c r="E2244" s="7" t="s">
        <v>7</v>
      </c>
      <c r="F2244" s="7" t="s">
        <v>8</v>
      </c>
      <c r="G2244" s="8"/>
    </row>
    <row r="2245">
      <c r="A2245" s="4">
        <v>43547.56020599537</v>
      </c>
      <c r="B2245" s="5">
        <v>43547.8518365162</v>
      </c>
      <c r="C2245" s="6">
        <v>1.028</v>
      </c>
      <c r="D2245" s="6">
        <v>66.0</v>
      </c>
      <c r="E2245" s="7" t="s">
        <v>7</v>
      </c>
      <c r="F2245" s="7" t="s">
        <v>8</v>
      </c>
      <c r="G2245" s="8"/>
    </row>
    <row r="2246">
      <c r="A2246" s="4">
        <v>43547.570618819445</v>
      </c>
      <c r="B2246" s="5">
        <v>43547.8622567245</v>
      </c>
      <c r="C2246" s="6">
        <v>1.028</v>
      </c>
      <c r="D2246" s="6">
        <v>66.0</v>
      </c>
      <c r="E2246" s="7" t="s">
        <v>7</v>
      </c>
      <c r="F2246" s="7" t="s">
        <v>8</v>
      </c>
      <c r="G2246" s="8"/>
    </row>
    <row r="2247">
      <c r="A2247" s="4">
        <v>43547.58104690972</v>
      </c>
      <c r="B2247" s="5">
        <v>43547.8726768287</v>
      </c>
      <c r="C2247" s="6">
        <v>1.028</v>
      </c>
      <c r="D2247" s="6">
        <v>66.0</v>
      </c>
      <c r="E2247" s="7" t="s">
        <v>7</v>
      </c>
      <c r="F2247" s="7" t="s">
        <v>8</v>
      </c>
      <c r="G2247" s="8"/>
    </row>
    <row r="2248">
      <c r="A2248" s="4">
        <v>43547.59146146991</v>
      </c>
      <c r="B2248" s="5">
        <v>43547.8830969212</v>
      </c>
      <c r="C2248" s="6">
        <v>1.028</v>
      </c>
      <c r="D2248" s="6">
        <v>66.0</v>
      </c>
      <c r="E2248" s="7" t="s">
        <v>7</v>
      </c>
      <c r="F2248" s="7" t="s">
        <v>8</v>
      </c>
      <c r="G2248" s="8"/>
    </row>
    <row r="2249">
      <c r="A2249" s="4">
        <v>43547.6018846875</v>
      </c>
      <c r="B2249" s="5">
        <v>43547.8935176504</v>
      </c>
      <c r="C2249" s="6">
        <v>1.028</v>
      </c>
      <c r="D2249" s="6">
        <v>66.0</v>
      </c>
      <c r="E2249" s="7" t="s">
        <v>7</v>
      </c>
      <c r="F2249" s="7" t="s">
        <v>8</v>
      </c>
      <c r="G2249" s="8"/>
    </row>
    <row r="2250">
      <c r="A2250" s="4">
        <v>43547.61230119213</v>
      </c>
      <c r="B2250" s="5">
        <v>43547.9039373495</v>
      </c>
      <c r="C2250" s="6">
        <v>1.028</v>
      </c>
      <c r="D2250" s="6">
        <v>66.0</v>
      </c>
      <c r="E2250" s="7" t="s">
        <v>7</v>
      </c>
      <c r="F2250" s="7" t="s">
        <v>8</v>
      </c>
      <c r="G2250" s="8"/>
    </row>
    <row r="2251">
      <c r="A2251" s="4">
        <v>43547.6227384375</v>
      </c>
      <c r="B2251" s="5">
        <v>43547.9143709027</v>
      </c>
      <c r="C2251" s="6">
        <v>1.028</v>
      </c>
      <c r="D2251" s="6">
        <v>66.0</v>
      </c>
      <c r="E2251" s="7" t="s">
        <v>7</v>
      </c>
      <c r="F2251" s="7" t="s">
        <v>8</v>
      </c>
      <c r="G2251" s="8"/>
    </row>
    <row r="2252">
      <c r="A2252" s="4">
        <v>43547.63315483797</v>
      </c>
      <c r="B2252" s="5">
        <v>43547.9247916435</v>
      </c>
      <c r="C2252" s="6">
        <v>1.028</v>
      </c>
      <c r="D2252" s="6">
        <v>66.0</v>
      </c>
      <c r="E2252" s="7" t="s">
        <v>7</v>
      </c>
      <c r="F2252" s="7" t="s">
        <v>8</v>
      </c>
      <c r="G2252" s="8"/>
    </row>
    <row r="2253">
      <c r="A2253" s="4">
        <v>43547.64357648148</v>
      </c>
      <c r="B2253" s="5">
        <v>43547.9352119791</v>
      </c>
      <c r="C2253" s="6">
        <v>1.028</v>
      </c>
      <c r="D2253" s="6">
        <v>66.0</v>
      </c>
      <c r="E2253" s="7" t="s">
        <v>7</v>
      </c>
      <c r="F2253" s="7" t="s">
        <v>8</v>
      </c>
      <c r="G2253" s="8"/>
    </row>
    <row r="2254">
      <c r="A2254" s="4">
        <v>43547.65400898148</v>
      </c>
      <c r="B2254" s="5">
        <v>43547.945643993</v>
      </c>
      <c r="C2254" s="6">
        <v>1.028</v>
      </c>
      <c r="D2254" s="6">
        <v>66.0</v>
      </c>
      <c r="E2254" s="7" t="s">
        <v>7</v>
      </c>
      <c r="F2254" s="7" t="s">
        <v>8</v>
      </c>
      <c r="G2254" s="8"/>
    </row>
    <row r="2255">
      <c r="A2255" s="4">
        <v>43547.66443005787</v>
      </c>
      <c r="B2255" s="5">
        <v>43547.9560644213</v>
      </c>
      <c r="C2255" s="6">
        <v>1.028</v>
      </c>
      <c r="D2255" s="6">
        <v>66.0</v>
      </c>
      <c r="E2255" s="7" t="s">
        <v>7</v>
      </c>
      <c r="F2255" s="7" t="s">
        <v>8</v>
      </c>
      <c r="G2255" s="8"/>
    </row>
    <row r="2256">
      <c r="A2256" s="4">
        <v>43547.674875439814</v>
      </c>
      <c r="B2256" s="5">
        <v>43547.9665093055</v>
      </c>
      <c r="C2256" s="6">
        <v>1.028</v>
      </c>
      <c r="D2256" s="6">
        <v>66.0</v>
      </c>
      <c r="E2256" s="7" t="s">
        <v>7</v>
      </c>
      <c r="F2256" s="7" t="s">
        <v>8</v>
      </c>
      <c r="G2256" s="8"/>
    </row>
    <row r="2257">
      <c r="A2257" s="4">
        <v>43547.685351631946</v>
      </c>
      <c r="B2257" s="5">
        <v>43547.9769302314</v>
      </c>
      <c r="C2257" s="6">
        <v>1.028</v>
      </c>
      <c r="D2257" s="6">
        <v>66.0</v>
      </c>
      <c r="E2257" s="7" t="s">
        <v>7</v>
      </c>
      <c r="F2257" s="7" t="s">
        <v>8</v>
      </c>
      <c r="G2257" s="8"/>
    </row>
    <row r="2258">
      <c r="A2258" s="4">
        <v>43547.69571372685</v>
      </c>
      <c r="B2258" s="5">
        <v>43547.9873496527</v>
      </c>
      <c r="C2258" s="6">
        <v>1.027</v>
      </c>
      <c r="D2258" s="6">
        <v>66.0</v>
      </c>
      <c r="E2258" s="7" t="s">
        <v>7</v>
      </c>
      <c r="F2258" s="7" t="s">
        <v>8</v>
      </c>
      <c r="G2258" s="8"/>
    </row>
    <row r="2259">
      <c r="A2259" s="4">
        <v>43547.70614350695</v>
      </c>
      <c r="B2259" s="5">
        <v>43547.99778125</v>
      </c>
      <c r="C2259" s="6">
        <v>1.027</v>
      </c>
      <c r="D2259" s="6">
        <v>66.0</v>
      </c>
      <c r="E2259" s="7" t="s">
        <v>7</v>
      </c>
      <c r="F2259" s="7" t="s">
        <v>8</v>
      </c>
      <c r="G2259" s="8"/>
    </row>
    <row r="2260">
      <c r="A2260" s="4">
        <v>43547.71656903935</v>
      </c>
      <c r="B2260" s="5">
        <v>43548.0082030787</v>
      </c>
      <c r="C2260" s="6">
        <v>1.027</v>
      </c>
      <c r="D2260" s="6">
        <v>66.0</v>
      </c>
      <c r="E2260" s="7" t="s">
        <v>7</v>
      </c>
      <c r="F2260" s="7" t="s">
        <v>8</v>
      </c>
      <c r="G2260" s="8"/>
    </row>
    <row r="2261">
      <c r="A2261" s="4">
        <v>43547.72704947917</v>
      </c>
      <c r="B2261" s="5">
        <v>43548.0186823032</v>
      </c>
      <c r="C2261" s="6">
        <v>1.027</v>
      </c>
      <c r="D2261" s="6">
        <v>66.0</v>
      </c>
      <c r="E2261" s="7" t="s">
        <v>7</v>
      </c>
      <c r="F2261" s="7" t="s">
        <v>8</v>
      </c>
      <c r="G2261" s="8"/>
    </row>
    <row r="2262">
      <c r="A2262" s="4">
        <v>43547.73746334491</v>
      </c>
      <c r="B2262" s="5">
        <v>43548.0291015046</v>
      </c>
      <c r="C2262" s="6">
        <v>1.027</v>
      </c>
      <c r="D2262" s="6">
        <v>66.0</v>
      </c>
      <c r="E2262" s="7" t="s">
        <v>7</v>
      </c>
      <c r="F2262" s="7" t="s">
        <v>8</v>
      </c>
      <c r="G2262" s="8"/>
    </row>
    <row r="2263">
      <c r="A2263" s="4">
        <v>43547.747905578704</v>
      </c>
      <c r="B2263" s="5">
        <v>43548.0395362152</v>
      </c>
      <c r="C2263" s="6">
        <v>1.028</v>
      </c>
      <c r="D2263" s="6">
        <v>66.0</v>
      </c>
      <c r="E2263" s="7" t="s">
        <v>7</v>
      </c>
      <c r="F2263" s="7" t="s">
        <v>8</v>
      </c>
      <c r="G2263" s="8"/>
    </row>
    <row r="2264">
      <c r="A2264" s="4">
        <v>43547.75832987268</v>
      </c>
      <c r="B2264" s="5">
        <v>43548.0499676504</v>
      </c>
      <c r="C2264" s="6">
        <v>1.027</v>
      </c>
      <c r="D2264" s="6">
        <v>66.0</v>
      </c>
      <c r="E2264" s="7" t="s">
        <v>7</v>
      </c>
      <c r="F2264" s="7" t="s">
        <v>8</v>
      </c>
      <c r="G2264" s="8"/>
    </row>
    <row r="2265">
      <c r="A2265" s="4">
        <v>43547.76875315972</v>
      </c>
      <c r="B2265" s="5">
        <v>43548.0603871875</v>
      </c>
      <c r="C2265" s="6">
        <v>1.027</v>
      </c>
      <c r="D2265" s="6">
        <v>66.0</v>
      </c>
      <c r="E2265" s="7" t="s">
        <v>7</v>
      </c>
      <c r="F2265" s="7" t="s">
        <v>8</v>
      </c>
      <c r="G2265" s="8"/>
    </row>
    <row r="2266">
      <c r="A2266" s="4">
        <v>43547.77928689815</v>
      </c>
      <c r="B2266" s="5">
        <v>43548.0708648032</v>
      </c>
      <c r="C2266" s="6">
        <v>1.028</v>
      </c>
      <c r="D2266" s="6">
        <v>66.0</v>
      </c>
      <c r="E2266" s="7" t="s">
        <v>7</v>
      </c>
      <c r="F2266" s="7" t="s">
        <v>8</v>
      </c>
      <c r="G2266" s="8"/>
    </row>
    <row r="2267">
      <c r="A2267" s="4">
        <v>43547.78965230324</v>
      </c>
      <c r="B2267" s="5">
        <v>43548.0812847453</v>
      </c>
      <c r="C2267" s="6">
        <v>1.027</v>
      </c>
      <c r="D2267" s="6">
        <v>66.0</v>
      </c>
      <c r="E2267" s="7" t="s">
        <v>7</v>
      </c>
      <c r="F2267" s="7" t="s">
        <v>8</v>
      </c>
      <c r="G2267" s="8"/>
    </row>
    <row r="2268">
      <c r="A2268" s="4">
        <v>43547.80014975695</v>
      </c>
      <c r="B2268" s="5">
        <v>43548.0917162847</v>
      </c>
      <c r="C2268" s="6">
        <v>1.028</v>
      </c>
      <c r="D2268" s="6">
        <v>66.0</v>
      </c>
      <c r="E2268" s="7" t="s">
        <v>7</v>
      </c>
      <c r="F2268" s="7" t="s">
        <v>8</v>
      </c>
      <c r="G2268" s="8"/>
    </row>
    <row r="2269">
      <c r="A2269" s="4">
        <v>43547.81049726852</v>
      </c>
      <c r="B2269" s="5">
        <v>43548.1021376851</v>
      </c>
      <c r="C2269" s="6">
        <v>1.028</v>
      </c>
      <c r="D2269" s="6">
        <v>66.0</v>
      </c>
      <c r="E2269" s="7" t="s">
        <v>7</v>
      </c>
      <c r="F2269" s="7" t="s">
        <v>8</v>
      </c>
      <c r="G2269" s="8"/>
    </row>
    <row r="2270">
      <c r="A2270" s="4">
        <v>43547.82093033565</v>
      </c>
      <c r="B2270" s="5">
        <v>43548.112558449</v>
      </c>
      <c r="C2270" s="6">
        <v>1.027</v>
      </c>
      <c r="D2270" s="6">
        <v>66.0</v>
      </c>
      <c r="E2270" s="7" t="s">
        <v>7</v>
      </c>
      <c r="F2270" s="7" t="s">
        <v>8</v>
      </c>
      <c r="G2270" s="8"/>
    </row>
    <row r="2271">
      <c r="A2271" s="4">
        <v>43547.831406296296</v>
      </c>
      <c r="B2271" s="5">
        <v>43548.1230475694</v>
      </c>
      <c r="C2271" s="6">
        <v>1.028</v>
      </c>
      <c r="D2271" s="6">
        <v>66.0</v>
      </c>
      <c r="E2271" s="7" t="s">
        <v>7</v>
      </c>
      <c r="F2271" s="7" t="s">
        <v>8</v>
      </c>
      <c r="G2271" s="8"/>
    </row>
    <row r="2272">
      <c r="A2272" s="4">
        <v>43547.84185168982</v>
      </c>
      <c r="B2272" s="5">
        <v>43548.1334910879</v>
      </c>
      <c r="C2272" s="6">
        <v>1.028</v>
      </c>
      <c r="D2272" s="6">
        <v>66.0</v>
      </c>
      <c r="E2272" s="7" t="s">
        <v>7</v>
      </c>
      <c r="F2272" s="7" t="s">
        <v>8</v>
      </c>
      <c r="G2272" s="8"/>
    </row>
    <row r="2273">
      <c r="A2273" s="4">
        <v>43547.852301770836</v>
      </c>
      <c r="B2273" s="5">
        <v>43548.1439351736</v>
      </c>
      <c r="C2273" s="6">
        <v>1.027</v>
      </c>
      <c r="D2273" s="6">
        <v>66.0</v>
      </c>
      <c r="E2273" s="7" t="s">
        <v>7</v>
      </c>
      <c r="F2273" s="7" t="s">
        <v>8</v>
      </c>
      <c r="G2273" s="8"/>
    </row>
    <row r="2274">
      <c r="A2274" s="4">
        <v>43547.86272023148</v>
      </c>
      <c r="B2274" s="5">
        <v>43548.154356875</v>
      </c>
      <c r="C2274" s="6">
        <v>1.028</v>
      </c>
      <c r="D2274" s="6">
        <v>66.0</v>
      </c>
      <c r="E2274" s="7" t="s">
        <v>7</v>
      </c>
      <c r="F2274" s="7" t="s">
        <v>8</v>
      </c>
      <c r="G2274" s="8"/>
    </row>
    <row r="2275">
      <c r="A2275" s="4">
        <v>43547.873153900466</v>
      </c>
      <c r="B2275" s="5">
        <v>43548.1647892013</v>
      </c>
      <c r="C2275" s="6">
        <v>1.028</v>
      </c>
      <c r="D2275" s="6">
        <v>66.0</v>
      </c>
      <c r="E2275" s="7" t="s">
        <v>7</v>
      </c>
      <c r="F2275" s="7" t="s">
        <v>8</v>
      </c>
      <c r="G2275" s="8"/>
    </row>
    <row r="2276">
      <c r="A2276" s="4">
        <v>43547.88357475694</v>
      </c>
      <c r="B2276" s="5">
        <v>43548.1752110648</v>
      </c>
      <c r="C2276" s="6">
        <v>1.028</v>
      </c>
      <c r="D2276" s="6">
        <v>66.0</v>
      </c>
      <c r="E2276" s="7" t="s">
        <v>7</v>
      </c>
      <c r="F2276" s="7" t="s">
        <v>8</v>
      </c>
      <c r="G2276" s="8"/>
    </row>
    <row r="2277">
      <c r="A2277" s="4">
        <v>43547.89403814815</v>
      </c>
      <c r="B2277" s="5">
        <v>43548.1856657407</v>
      </c>
      <c r="C2277" s="6">
        <v>1.027</v>
      </c>
      <c r="D2277" s="6">
        <v>66.0</v>
      </c>
      <c r="E2277" s="7" t="s">
        <v>7</v>
      </c>
      <c r="F2277" s="7" t="s">
        <v>8</v>
      </c>
      <c r="G2277" s="8"/>
    </row>
    <row r="2278">
      <c r="A2278" s="4">
        <v>43547.904453877316</v>
      </c>
      <c r="B2278" s="5">
        <v>43548.1960859143</v>
      </c>
      <c r="C2278" s="6">
        <v>1.027</v>
      </c>
      <c r="D2278" s="6">
        <v>66.0</v>
      </c>
      <c r="E2278" s="7" t="s">
        <v>7</v>
      </c>
      <c r="F2278" s="7" t="s">
        <v>8</v>
      </c>
      <c r="G2278" s="8"/>
    </row>
    <row r="2279">
      <c r="A2279" s="4">
        <v>43547.91487217593</v>
      </c>
      <c r="B2279" s="5">
        <v>43548.2065067708</v>
      </c>
      <c r="C2279" s="6">
        <v>1.027</v>
      </c>
      <c r="D2279" s="6">
        <v>66.0</v>
      </c>
      <c r="E2279" s="7" t="s">
        <v>7</v>
      </c>
      <c r="F2279" s="7" t="s">
        <v>8</v>
      </c>
      <c r="G2279" s="8"/>
    </row>
    <row r="2280">
      <c r="A2280" s="4">
        <v>43547.92531934028</v>
      </c>
      <c r="B2280" s="5">
        <v>43548.2169513194</v>
      </c>
      <c r="C2280" s="6">
        <v>1.027</v>
      </c>
      <c r="D2280" s="6">
        <v>66.0</v>
      </c>
      <c r="E2280" s="7" t="s">
        <v>7</v>
      </c>
      <c r="F2280" s="7" t="s">
        <v>8</v>
      </c>
      <c r="G2280" s="8"/>
    </row>
    <row r="2281">
      <c r="A2281" s="4">
        <v>43547.9357353125</v>
      </c>
      <c r="B2281" s="5">
        <v>43548.2273705902</v>
      </c>
      <c r="C2281" s="6">
        <v>1.027</v>
      </c>
      <c r="D2281" s="6">
        <v>66.0</v>
      </c>
      <c r="E2281" s="7" t="s">
        <v>7</v>
      </c>
      <c r="F2281" s="7" t="s">
        <v>8</v>
      </c>
      <c r="G2281" s="8"/>
    </row>
    <row r="2282">
      <c r="A2282" s="4">
        <v>43547.94618697917</v>
      </c>
      <c r="B2282" s="5">
        <v>43548.2378158101</v>
      </c>
      <c r="C2282" s="6">
        <v>1.027</v>
      </c>
      <c r="D2282" s="6">
        <v>66.0</v>
      </c>
      <c r="E2282" s="7" t="s">
        <v>7</v>
      </c>
      <c r="F2282" s="7" t="s">
        <v>8</v>
      </c>
      <c r="G2282" s="8"/>
    </row>
    <row r="2283">
      <c r="A2283" s="4">
        <v>43547.956619675926</v>
      </c>
      <c r="B2283" s="5">
        <v>43548.2482479282</v>
      </c>
      <c r="C2283" s="6">
        <v>1.027</v>
      </c>
      <c r="D2283" s="6">
        <v>66.0</v>
      </c>
      <c r="E2283" s="7" t="s">
        <v>7</v>
      </c>
      <c r="F2283" s="7" t="s">
        <v>8</v>
      </c>
      <c r="G2283" s="8"/>
    </row>
    <row r="2284">
      <c r="A2284" s="4">
        <v>43547.96703375</v>
      </c>
      <c r="B2284" s="5">
        <v>43548.2586688425</v>
      </c>
      <c r="C2284" s="6">
        <v>1.028</v>
      </c>
      <c r="D2284" s="6">
        <v>66.0</v>
      </c>
      <c r="E2284" s="7" t="s">
        <v>7</v>
      </c>
      <c r="F2284" s="7" t="s">
        <v>8</v>
      </c>
      <c r="G2284" s="8"/>
    </row>
    <row r="2285">
      <c r="A2285" s="4">
        <v>43547.97747082176</v>
      </c>
      <c r="B2285" s="5">
        <v>43548.2691023263</v>
      </c>
      <c r="C2285" s="6">
        <v>1.027</v>
      </c>
      <c r="D2285" s="6">
        <v>66.0</v>
      </c>
      <c r="E2285" s="7" t="s">
        <v>7</v>
      </c>
      <c r="F2285" s="7" t="s">
        <v>8</v>
      </c>
      <c r="G2285" s="8"/>
    </row>
    <row r="2286">
      <c r="A2286" s="4">
        <v>43547.98792413194</v>
      </c>
      <c r="B2286" s="5">
        <v>43548.2795591666</v>
      </c>
      <c r="C2286" s="6">
        <v>1.027</v>
      </c>
      <c r="D2286" s="6">
        <v>66.0</v>
      </c>
      <c r="E2286" s="7" t="s">
        <v>7</v>
      </c>
      <c r="F2286" s="7" t="s">
        <v>8</v>
      </c>
      <c r="G2286" s="8"/>
    </row>
    <row r="2287">
      <c r="A2287" s="4">
        <v>43547.998357557866</v>
      </c>
      <c r="B2287" s="5">
        <v>43548.2899912847</v>
      </c>
      <c r="C2287" s="6">
        <v>1.028</v>
      </c>
      <c r="D2287" s="6">
        <v>66.0</v>
      </c>
      <c r="E2287" s="7" t="s">
        <v>7</v>
      </c>
      <c r="F2287" s="7" t="s">
        <v>8</v>
      </c>
      <c r="G2287" s="8"/>
    </row>
    <row r="2288">
      <c r="A2288" s="4">
        <v>43548.00879940973</v>
      </c>
      <c r="B2288" s="5">
        <v>43548.3004261226</v>
      </c>
      <c r="C2288" s="6">
        <v>1.027</v>
      </c>
      <c r="D2288" s="6">
        <v>66.0</v>
      </c>
      <c r="E2288" s="7" t="s">
        <v>7</v>
      </c>
      <c r="F2288" s="7" t="s">
        <v>8</v>
      </c>
      <c r="G2288" s="8"/>
    </row>
    <row r="2289">
      <c r="A2289" s="4">
        <v>43548.019249791665</v>
      </c>
      <c r="B2289" s="5">
        <v>43548.3108835532</v>
      </c>
      <c r="C2289" s="6">
        <v>1.028</v>
      </c>
      <c r="D2289" s="6">
        <v>66.0</v>
      </c>
      <c r="E2289" s="7" t="s">
        <v>7</v>
      </c>
      <c r="F2289" s="7" t="s">
        <v>8</v>
      </c>
      <c r="G2289" s="8"/>
    </row>
    <row r="2290">
      <c r="A2290" s="4">
        <v>43548.02968175926</v>
      </c>
      <c r="B2290" s="5">
        <v>43548.3213174768</v>
      </c>
      <c r="C2290" s="6">
        <v>1.027</v>
      </c>
      <c r="D2290" s="6">
        <v>66.0</v>
      </c>
      <c r="E2290" s="7" t="s">
        <v>7</v>
      </c>
      <c r="F2290" s="7" t="s">
        <v>8</v>
      </c>
      <c r="G2290" s="8"/>
    </row>
    <row r="2291">
      <c r="A2291" s="4">
        <v>43548.04010372685</v>
      </c>
      <c r="B2291" s="5">
        <v>43548.3317368287</v>
      </c>
      <c r="C2291" s="6">
        <v>1.027</v>
      </c>
      <c r="D2291" s="6">
        <v>66.0</v>
      </c>
      <c r="E2291" s="7" t="s">
        <v>7</v>
      </c>
      <c r="F2291" s="7" t="s">
        <v>8</v>
      </c>
      <c r="G2291" s="8"/>
    </row>
    <row r="2292">
      <c r="A2292" s="4">
        <v>43548.05052402778</v>
      </c>
      <c r="B2292" s="5">
        <v>43548.342157581</v>
      </c>
      <c r="C2292" s="6">
        <v>1.027</v>
      </c>
      <c r="D2292" s="6">
        <v>66.0</v>
      </c>
      <c r="E2292" s="7" t="s">
        <v>7</v>
      </c>
      <c r="F2292" s="7" t="s">
        <v>8</v>
      </c>
      <c r="G2292" s="8"/>
    </row>
    <row r="2293">
      <c r="A2293" s="4">
        <v>43548.06094696759</v>
      </c>
      <c r="B2293" s="5">
        <v>43548.3525790972</v>
      </c>
      <c r="C2293" s="6">
        <v>1.027</v>
      </c>
      <c r="D2293" s="6">
        <v>66.0</v>
      </c>
      <c r="E2293" s="7" t="s">
        <v>7</v>
      </c>
      <c r="F2293" s="7" t="s">
        <v>8</v>
      </c>
      <c r="G2293" s="8"/>
    </row>
    <row r="2294">
      <c r="A2294" s="4">
        <v>43548.07138513889</v>
      </c>
      <c r="B2294" s="5">
        <v>43548.3630131944</v>
      </c>
      <c r="C2294" s="6">
        <v>1.027</v>
      </c>
      <c r="D2294" s="6">
        <v>66.0</v>
      </c>
      <c r="E2294" s="7" t="s">
        <v>7</v>
      </c>
      <c r="F2294" s="7" t="s">
        <v>8</v>
      </c>
      <c r="G2294" s="8"/>
    </row>
    <row r="2295">
      <c r="A2295" s="4">
        <v>43548.081800162036</v>
      </c>
      <c r="B2295" s="5">
        <v>43548.3734340046</v>
      </c>
      <c r="C2295" s="6">
        <v>1.027</v>
      </c>
      <c r="D2295" s="6">
        <v>66.0</v>
      </c>
      <c r="E2295" s="7" t="s">
        <v>7</v>
      </c>
      <c r="F2295" s="7" t="s">
        <v>8</v>
      </c>
      <c r="G2295" s="8"/>
    </row>
    <row r="2296">
      <c r="A2296" s="4">
        <v>43548.09228547454</v>
      </c>
      <c r="B2296" s="5">
        <v>43548.3839126157</v>
      </c>
      <c r="C2296" s="6">
        <v>1.027</v>
      </c>
      <c r="D2296" s="6">
        <v>66.0</v>
      </c>
      <c r="E2296" s="7" t="s">
        <v>7</v>
      </c>
      <c r="F2296" s="7" t="s">
        <v>8</v>
      </c>
      <c r="G2296" s="8"/>
    </row>
    <row r="2297">
      <c r="A2297" s="4">
        <v>43548.10270898148</v>
      </c>
      <c r="B2297" s="5">
        <v>43548.3943455787</v>
      </c>
      <c r="C2297" s="6">
        <v>1.027</v>
      </c>
      <c r="D2297" s="6">
        <v>66.0</v>
      </c>
      <c r="E2297" s="7" t="s">
        <v>7</v>
      </c>
      <c r="F2297" s="7" t="s">
        <v>8</v>
      </c>
      <c r="G2297" s="8"/>
    </row>
    <row r="2298">
      <c r="A2298" s="4">
        <v>43548.11313145833</v>
      </c>
      <c r="B2298" s="5">
        <v>43548.4047654513</v>
      </c>
      <c r="C2298" s="6">
        <v>1.027</v>
      </c>
      <c r="D2298" s="6">
        <v>66.0</v>
      </c>
      <c r="E2298" s="7" t="s">
        <v>7</v>
      </c>
      <c r="F2298" s="7" t="s">
        <v>8</v>
      </c>
      <c r="G2298" s="8"/>
    </row>
    <row r="2299">
      <c r="A2299" s="4">
        <v>43548.123557824074</v>
      </c>
      <c r="B2299" s="5">
        <v>43548.4151873379</v>
      </c>
      <c r="C2299" s="6">
        <v>1.027</v>
      </c>
      <c r="D2299" s="6">
        <v>66.0</v>
      </c>
      <c r="E2299" s="7" t="s">
        <v>7</v>
      </c>
      <c r="F2299" s="7" t="s">
        <v>8</v>
      </c>
      <c r="G2299" s="8"/>
    </row>
    <row r="2300">
      <c r="A2300" s="4">
        <v>43548.13397768518</v>
      </c>
      <c r="B2300" s="5">
        <v>43548.4256078819</v>
      </c>
      <c r="C2300" s="6">
        <v>1.027</v>
      </c>
      <c r="D2300" s="6">
        <v>66.0</v>
      </c>
      <c r="E2300" s="7" t="s">
        <v>7</v>
      </c>
      <c r="F2300" s="7" t="s">
        <v>8</v>
      </c>
      <c r="G2300" s="8"/>
    </row>
    <row r="2301">
      <c r="A2301" s="4">
        <v>43548.14438737268</v>
      </c>
      <c r="B2301" s="5">
        <v>43548.4360294791</v>
      </c>
      <c r="C2301" s="6">
        <v>1.027</v>
      </c>
      <c r="D2301" s="6">
        <v>66.0</v>
      </c>
      <c r="E2301" s="7" t="s">
        <v>7</v>
      </c>
      <c r="F2301" s="7" t="s">
        <v>8</v>
      </c>
      <c r="G2301" s="8"/>
    </row>
    <row r="2302">
      <c r="A2302" s="4">
        <v>43548.15483177084</v>
      </c>
      <c r="B2302" s="5">
        <v>43548.4464611805</v>
      </c>
      <c r="C2302" s="6">
        <v>1.027</v>
      </c>
      <c r="D2302" s="6">
        <v>66.0</v>
      </c>
      <c r="E2302" s="7" t="s">
        <v>7</v>
      </c>
      <c r="F2302" s="7" t="s">
        <v>8</v>
      </c>
      <c r="G2302" s="8"/>
    </row>
    <row r="2303">
      <c r="A2303" s="4">
        <v>43548.165288703705</v>
      </c>
      <c r="B2303" s="5">
        <v>43548.4569168055</v>
      </c>
      <c r="C2303" s="6">
        <v>1.027</v>
      </c>
      <c r="D2303" s="6">
        <v>66.0</v>
      </c>
      <c r="E2303" s="7" t="s">
        <v>7</v>
      </c>
      <c r="F2303" s="7" t="s">
        <v>8</v>
      </c>
      <c r="G2303" s="8"/>
    </row>
    <row r="2304">
      <c r="A2304" s="4">
        <v>43548.17571618056</v>
      </c>
      <c r="B2304" s="5">
        <v>43548.4673493981</v>
      </c>
      <c r="C2304" s="6">
        <v>1.027</v>
      </c>
      <c r="D2304" s="6">
        <v>66.0</v>
      </c>
      <c r="E2304" s="7" t="s">
        <v>7</v>
      </c>
      <c r="F2304" s="7" t="s">
        <v>8</v>
      </c>
      <c r="G2304" s="8"/>
    </row>
    <row r="2305">
      <c r="A2305" s="4">
        <v>43548.18613097222</v>
      </c>
      <c r="B2305" s="5">
        <v>43548.4777692129</v>
      </c>
      <c r="C2305" s="6">
        <v>1.027</v>
      </c>
      <c r="D2305" s="6">
        <v>66.0</v>
      </c>
      <c r="E2305" s="7" t="s">
        <v>7</v>
      </c>
      <c r="F2305" s="7" t="s">
        <v>8</v>
      </c>
      <c r="G2305" s="8"/>
    </row>
    <row r="2306">
      <c r="A2306" s="4">
        <v>43548.19655658565</v>
      </c>
      <c r="B2306" s="5">
        <v>43548.4881886921</v>
      </c>
      <c r="C2306" s="6">
        <v>1.027</v>
      </c>
      <c r="D2306" s="6">
        <v>66.0</v>
      </c>
      <c r="E2306" s="7" t="s">
        <v>7</v>
      </c>
      <c r="F2306" s="7" t="s">
        <v>8</v>
      </c>
      <c r="G2306" s="8"/>
    </row>
    <row r="2307">
      <c r="A2307" s="4">
        <v>43548.20698375</v>
      </c>
      <c r="B2307" s="5">
        <v>43548.4986216666</v>
      </c>
      <c r="C2307" s="6">
        <v>1.027</v>
      </c>
      <c r="D2307" s="6">
        <v>66.0</v>
      </c>
      <c r="E2307" s="7" t="s">
        <v>7</v>
      </c>
      <c r="F2307" s="7" t="s">
        <v>8</v>
      </c>
      <c r="G2307" s="8"/>
    </row>
    <row r="2308">
      <c r="A2308" s="4">
        <v>43548.2174033912</v>
      </c>
      <c r="B2308" s="5">
        <v>43548.5090422569</v>
      </c>
      <c r="C2308" s="6">
        <v>1.027</v>
      </c>
      <c r="D2308" s="6">
        <v>66.0</v>
      </c>
      <c r="E2308" s="7" t="s">
        <v>7</v>
      </c>
      <c r="F2308" s="7" t="s">
        <v>8</v>
      </c>
      <c r="G2308" s="8"/>
    </row>
    <row r="2309">
      <c r="A2309" s="4">
        <v>43548.22783222223</v>
      </c>
      <c r="B2309" s="5">
        <v>43548.5194638541</v>
      </c>
      <c r="C2309" s="6">
        <v>1.027</v>
      </c>
      <c r="D2309" s="6">
        <v>66.0</v>
      </c>
      <c r="E2309" s="7" t="s">
        <v>7</v>
      </c>
      <c r="F2309" s="7" t="s">
        <v>8</v>
      </c>
      <c r="G2309" s="8"/>
    </row>
    <row r="2310">
      <c r="A2310" s="4">
        <v>43548.23824856481</v>
      </c>
      <c r="B2310" s="5">
        <v>43548.5298830439</v>
      </c>
      <c r="C2310" s="6">
        <v>1.027</v>
      </c>
      <c r="D2310" s="6">
        <v>66.0</v>
      </c>
      <c r="E2310" s="7" t="s">
        <v>7</v>
      </c>
      <c r="F2310" s="7" t="s">
        <v>8</v>
      </c>
      <c r="G2310" s="8"/>
    </row>
    <row r="2311">
      <c r="A2311" s="4">
        <v>43548.24872726852</v>
      </c>
      <c r="B2311" s="5">
        <v>43548.54030353</v>
      </c>
      <c r="C2311" s="6">
        <v>1.027</v>
      </c>
      <c r="D2311" s="6">
        <v>66.0</v>
      </c>
      <c r="E2311" s="7" t="s">
        <v>7</v>
      </c>
      <c r="F2311" s="7" t="s">
        <v>8</v>
      </c>
      <c r="G2311" s="8"/>
    </row>
    <row r="2312">
      <c r="A2312" s="4">
        <v>43548.25909082176</v>
      </c>
      <c r="B2312" s="5">
        <v>43548.5507250578</v>
      </c>
      <c r="C2312" s="6">
        <v>1.027</v>
      </c>
      <c r="D2312" s="6">
        <v>66.0</v>
      </c>
      <c r="E2312" s="7" t="s">
        <v>7</v>
      </c>
      <c r="F2312" s="7" t="s">
        <v>8</v>
      </c>
      <c r="G2312" s="8"/>
    </row>
    <row r="2313">
      <c r="A2313" s="4">
        <v>43548.269517685185</v>
      </c>
      <c r="B2313" s="5">
        <v>43548.5611567013</v>
      </c>
      <c r="C2313" s="6">
        <v>1.027</v>
      </c>
      <c r="D2313" s="6">
        <v>66.0</v>
      </c>
      <c r="E2313" s="7" t="s">
        <v>7</v>
      </c>
      <c r="F2313" s="7" t="s">
        <v>8</v>
      </c>
      <c r="G2313" s="8"/>
    </row>
    <row r="2314">
      <c r="A2314" s="4">
        <v>43548.279938761574</v>
      </c>
      <c r="B2314" s="5">
        <v>43548.5715765277</v>
      </c>
      <c r="C2314" s="6">
        <v>1.027</v>
      </c>
      <c r="D2314" s="6">
        <v>66.0</v>
      </c>
      <c r="E2314" s="7" t="s">
        <v>7</v>
      </c>
      <c r="F2314" s="7" t="s">
        <v>8</v>
      </c>
      <c r="G2314" s="8"/>
    </row>
    <row r="2315">
      <c r="A2315" s="4">
        <v>43548.29036061342</v>
      </c>
      <c r="B2315" s="5">
        <v>43548.5819968055</v>
      </c>
      <c r="C2315" s="6">
        <v>1.027</v>
      </c>
      <c r="D2315" s="6">
        <v>66.0</v>
      </c>
      <c r="E2315" s="7" t="s">
        <v>7</v>
      </c>
      <c r="F2315" s="7" t="s">
        <v>8</v>
      </c>
      <c r="G2315" s="8"/>
    </row>
    <row r="2316">
      <c r="A2316" s="4">
        <v>43548.30077526621</v>
      </c>
      <c r="B2316" s="5">
        <v>43548.5924171874</v>
      </c>
      <c r="C2316" s="6">
        <v>1.027</v>
      </c>
      <c r="D2316" s="6">
        <v>66.0</v>
      </c>
      <c r="E2316" s="7" t="s">
        <v>7</v>
      </c>
      <c r="F2316" s="7" t="s">
        <v>8</v>
      </c>
      <c r="G2316" s="8"/>
    </row>
    <row r="2317">
      <c r="A2317" s="4">
        <v>43548.31120435185</v>
      </c>
      <c r="B2317" s="5">
        <v>43548.602839375</v>
      </c>
      <c r="C2317" s="6">
        <v>1.027</v>
      </c>
      <c r="D2317" s="6">
        <v>66.0</v>
      </c>
      <c r="E2317" s="7" t="s">
        <v>7</v>
      </c>
      <c r="F2317" s="7" t="s">
        <v>8</v>
      </c>
      <c r="G2317" s="8"/>
    </row>
    <row r="2318">
      <c r="A2318" s="4">
        <v>43548.32163293981</v>
      </c>
      <c r="B2318" s="5">
        <v>43548.6132717013</v>
      </c>
      <c r="C2318" s="6">
        <v>1.027</v>
      </c>
      <c r="D2318" s="6">
        <v>66.0</v>
      </c>
      <c r="E2318" s="7" t="s">
        <v>7</v>
      </c>
      <c r="F2318" s="7" t="s">
        <v>8</v>
      </c>
      <c r="G2318" s="8"/>
    </row>
    <row r="2319">
      <c r="A2319" s="4">
        <v>43548.33206885417</v>
      </c>
      <c r="B2319" s="5">
        <v>43548.6237044791</v>
      </c>
      <c r="C2319" s="6">
        <v>1.027</v>
      </c>
      <c r="D2319" s="6">
        <v>66.0</v>
      </c>
      <c r="E2319" s="7" t="s">
        <v>7</v>
      </c>
      <c r="F2319" s="7" t="s">
        <v>8</v>
      </c>
      <c r="G2319" s="8"/>
    </row>
    <row r="2320">
      <c r="A2320" s="4">
        <v>43548.34252780092</v>
      </c>
      <c r="B2320" s="5">
        <v>43548.6341609143</v>
      </c>
      <c r="C2320" s="6">
        <v>1.027</v>
      </c>
      <c r="D2320" s="6">
        <v>66.0</v>
      </c>
      <c r="E2320" s="7" t="s">
        <v>7</v>
      </c>
      <c r="F2320" s="7" t="s">
        <v>8</v>
      </c>
      <c r="G2320" s="8"/>
    </row>
    <row r="2321">
      <c r="A2321" s="4">
        <v>43548.35294297454</v>
      </c>
      <c r="B2321" s="5">
        <v>43548.6445820138</v>
      </c>
      <c r="C2321" s="6">
        <v>1.027</v>
      </c>
      <c r="D2321" s="6">
        <v>66.0</v>
      </c>
      <c r="E2321" s="7" t="s">
        <v>7</v>
      </c>
      <c r="F2321" s="7" t="s">
        <v>8</v>
      </c>
      <c r="G2321" s="8"/>
    </row>
    <row r="2322">
      <c r="A2322" s="4">
        <v>43548.363377534726</v>
      </c>
      <c r="B2322" s="5">
        <v>43548.6550135532</v>
      </c>
      <c r="C2322" s="6">
        <v>1.027</v>
      </c>
      <c r="D2322" s="6">
        <v>66.0</v>
      </c>
      <c r="E2322" s="7" t="s">
        <v>7</v>
      </c>
      <c r="F2322" s="7" t="s">
        <v>8</v>
      </c>
      <c r="G2322" s="8"/>
    </row>
    <row r="2323">
      <c r="A2323" s="4">
        <v>43548.373795057865</v>
      </c>
      <c r="B2323" s="5">
        <v>43548.6654339004</v>
      </c>
      <c r="C2323" s="6">
        <v>1.027</v>
      </c>
      <c r="D2323" s="6">
        <v>66.0</v>
      </c>
      <c r="E2323" s="7" t="s">
        <v>7</v>
      </c>
      <c r="F2323" s="7" t="s">
        <v>8</v>
      </c>
      <c r="G2323" s="8"/>
    </row>
    <row r="2324">
      <c r="A2324" s="4">
        <v>43548.38422277778</v>
      </c>
      <c r="B2324" s="5">
        <v>43548.6758553588</v>
      </c>
      <c r="C2324" s="6">
        <v>1.027</v>
      </c>
      <c r="D2324" s="6">
        <v>66.0</v>
      </c>
      <c r="E2324" s="7" t="s">
        <v>7</v>
      </c>
      <c r="F2324" s="7" t="s">
        <v>8</v>
      </c>
      <c r="G2324" s="8"/>
    </row>
    <row r="2325">
      <c r="A2325" s="4">
        <v>43548.39464614583</v>
      </c>
      <c r="B2325" s="5">
        <v>43548.6862766782</v>
      </c>
      <c r="C2325" s="6">
        <v>1.027</v>
      </c>
      <c r="D2325" s="6">
        <v>66.0</v>
      </c>
      <c r="E2325" s="7" t="s">
        <v>7</v>
      </c>
      <c r="F2325" s="7" t="s">
        <v>8</v>
      </c>
      <c r="G2325" s="8"/>
    </row>
    <row r="2326">
      <c r="A2326" s="4">
        <v>43548.405057407406</v>
      </c>
      <c r="B2326" s="5">
        <v>43548.6966977777</v>
      </c>
      <c r="C2326" s="6">
        <v>1.027</v>
      </c>
      <c r="D2326" s="6">
        <v>66.0</v>
      </c>
      <c r="E2326" s="7" t="s">
        <v>7</v>
      </c>
      <c r="F2326" s="7" t="s">
        <v>8</v>
      </c>
      <c r="G2326" s="8"/>
    </row>
    <row r="2327">
      <c r="A2327" s="4">
        <v>43548.415487418984</v>
      </c>
      <c r="B2327" s="5">
        <v>43548.7071199074</v>
      </c>
      <c r="C2327" s="6">
        <v>1.027</v>
      </c>
      <c r="D2327" s="6">
        <v>66.0</v>
      </c>
      <c r="E2327" s="7" t="s">
        <v>7</v>
      </c>
      <c r="F2327" s="7" t="s">
        <v>8</v>
      </c>
      <c r="G2327" s="8"/>
    </row>
    <row r="2328">
      <c r="A2328" s="4">
        <v>43548.42597116898</v>
      </c>
      <c r="B2328" s="5">
        <v>43548.7175996527</v>
      </c>
      <c r="C2328" s="6">
        <v>1.027</v>
      </c>
      <c r="D2328" s="6">
        <v>66.0</v>
      </c>
      <c r="E2328" s="7" t="s">
        <v>7</v>
      </c>
      <c r="F2328" s="7" t="s">
        <v>8</v>
      </c>
      <c r="G2328" s="8"/>
    </row>
    <row r="2329">
      <c r="A2329" s="4">
        <v>43548.43640850694</v>
      </c>
      <c r="B2329" s="5">
        <v>43548.7280449768</v>
      </c>
      <c r="C2329" s="6">
        <v>1.027</v>
      </c>
      <c r="D2329" s="6">
        <v>66.0</v>
      </c>
      <c r="E2329" s="7" t="s">
        <v>7</v>
      </c>
      <c r="F2329" s="7" t="s">
        <v>8</v>
      </c>
      <c r="G2329" s="8"/>
    </row>
    <row r="2330">
      <c r="A2330" s="4">
        <v>43548.44683855324</v>
      </c>
      <c r="B2330" s="5">
        <v>43548.7384672222</v>
      </c>
      <c r="C2330" s="6">
        <v>1.027</v>
      </c>
      <c r="D2330" s="6">
        <v>66.0</v>
      </c>
      <c r="E2330" s="7" t="s">
        <v>7</v>
      </c>
      <c r="F2330" s="7" t="s">
        <v>8</v>
      </c>
      <c r="G2330" s="8"/>
    </row>
    <row r="2331">
      <c r="A2331" s="4">
        <v>43548.45725017361</v>
      </c>
      <c r="B2331" s="5">
        <v>43548.7488892824</v>
      </c>
      <c r="C2331" s="6">
        <v>1.027</v>
      </c>
      <c r="D2331" s="6">
        <v>66.0</v>
      </c>
      <c r="E2331" s="7" t="s">
        <v>7</v>
      </c>
      <c r="F2331" s="7" t="s">
        <v>8</v>
      </c>
      <c r="G2331" s="8"/>
    </row>
    <row r="2332">
      <c r="A2332" s="4">
        <v>43548.46767400463</v>
      </c>
      <c r="B2332" s="5">
        <v>43548.7593099305</v>
      </c>
      <c r="C2332" s="6">
        <v>1.027</v>
      </c>
      <c r="D2332" s="6">
        <v>66.0</v>
      </c>
      <c r="E2332" s="7" t="s">
        <v>7</v>
      </c>
      <c r="F2332" s="7" t="s">
        <v>8</v>
      </c>
      <c r="G2332" s="8"/>
    </row>
    <row r="2333">
      <c r="A2333" s="4">
        <v>43548.47810064815</v>
      </c>
      <c r="B2333" s="5">
        <v>43548.7697314699</v>
      </c>
      <c r="C2333" s="6">
        <v>1.027</v>
      </c>
      <c r="D2333" s="6">
        <v>66.0</v>
      </c>
      <c r="E2333" s="7" t="s">
        <v>7</v>
      </c>
      <c r="F2333" s="7" t="s">
        <v>8</v>
      </c>
      <c r="G2333" s="8"/>
    </row>
    <row r="2334">
      <c r="A2334" s="4">
        <v>43548.48852211806</v>
      </c>
      <c r="B2334" s="5">
        <v>43548.7801546759</v>
      </c>
      <c r="C2334" s="6">
        <v>1.027</v>
      </c>
      <c r="D2334" s="6">
        <v>67.0</v>
      </c>
      <c r="E2334" s="7" t="s">
        <v>7</v>
      </c>
      <c r="F2334" s="7" t="s">
        <v>8</v>
      </c>
      <c r="G2334" s="8"/>
    </row>
    <row r="2335">
      <c r="A2335" s="4">
        <v>43548.498939212965</v>
      </c>
      <c r="B2335" s="5">
        <v>43548.7905762384</v>
      </c>
      <c r="C2335" s="6">
        <v>1.027</v>
      </c>
      <c r="D2335" s="6">
        <v>67.0</v>
      </c>
      <c r="E2335" s="7" t="s">
        <v>7</v>
      </c>
      <c r="F2335" s="7" t="s">
        <v>8</v>
      </c>
      <c r="G2335" s="8"/>
    </row>
    <row r="2336">
      <c r="A2336" s="4">
        <v>43548.5093772338</v>
      </c>
      <c r="B2336" s="5">
        <v>43548.8009962037</v>
      </c>
      <c r="C2336" s="6">
        <v>1.027</v>
      </c>
      <c r="D2336" s="6">
        <v>67.0</v>
      </c>
      <c r="E2336" s="7" t="s">
        <v>7</v>
      </c>
      <c r="F2336" s="7" t="s">
        <v>8</v>
      </c>
      <c r="G2336" s="8"/>
    </row>
    <row r="2337">
      <c r="A2337" s="4">
        <v>43548.519799120375</v>
      </c>
      <c r="B2337" s="5">
        <v>43548.8114176504</v>
      </c>
      <c r="C2337" s="6">
        <v>1.027</v>
      </c>
      <c r="D2337" s="6">
        <v>67.0</v>
      </c>
      <c r="E2337" s="7" t="s">
        <v>7</v>
      </c>
      <c r="F2337" s="7" t="s">
        <v>8</v>
      </c>
      <c r="G2337" s="8"/>
    </row>
    <row r="2338">
      <c r="A2338" s="4">
        <v>43548.530204849536</v>
      </c>
      <c r="B2338" s="5">
        <v>43548.8218377662</v>
      </c>
      <c r="C2338" s="6">
        <v>1.027</v>
      </c>
      <c r="D2338" s="6">
        <v>67.0</v>
      </c>
      <c r="E2338" s="7" t="s">
        <v>7</v>
      </c>
      <c r="F2338" s="7" t="s">
        <v>8</v>
      </c>
      <c r="G2338" s="8"/>
    </row>
    <row r="2339">
      <c r="A2339" s="4">
        <v>43548.54062212963</v>
      </c>
      <c r="B2339" s="5">
        <v>43548.8322582407</v>
      </c>
      <c r="C2339" s="6">
        <v>1.027</v>
      </c>
      <c r="D2339" s="6">
        <v>67.0</v>
      </c>
      <c r="E2339" s="7" t="s">
        <v>7</v>
      </c>
      <c r="F2339" s="7" t="s">
        <v>8</v>
      </c>
      <c r="G2339" s="8"/>
    </row>
    <row r="2340">
      <c r="A2340" s="4">
        <v>43548.551043009254</v>
      </c>
      <c r="B2340" s="5">
        <v>43548.8426795138</v>
      </c>
      <c r="C2340" s="6">
        <v>1.027</v>
      </c>
      <c r="D2340" s="6">
        <v>67.0</v>
      </c>
      <c r="E2340" s="7" t="s">
        <v>7</v>
      </c>
      <c r="F2340" s="7" t="s">
        <v>8</v>
      </c>
      <c r="G2340" s="8"/>
    </row>
    <row r="2341">
      <c r="A2341" s="4">
        <v>43548.56146780093</v>
      </c>
      <c r="B2341" s="5">
        <v>43548.8531012731</v>
      </c>
      <c r="C2341" s="6">
        <v>1.027</v>
      </c>
      <c r="D2341" s="6">
        <v>67.0</v>
      </c>
      <c r="E2341" s="7" t="s">
        <v>7</v>
      </c>
      <c r="F2341" s="7" t="s">
        <v>8</v>
      </c>
      <c r="G2341" s="8"/>
    </row>
    <row r="2342">
      <c r="A2342" s="4">
        <v>43548.57191190972</v>
      </c>
      <c r="B2342" s="5">
        <v>43548.8635456597</v>
      </c>
      <c r="C2342" s="6">
        <v>1.027</v>
      </c>
      <c r="D2342" s="6">
        <v>67.0</v>
      </c>
      <c r="E2342" s="7" t="s">
        <v>7</v>
      </c>
      <c r="F2342" s="7" t="s">
        <v>8</v>
      </c>
      <c r="G2342" s="8"/>
    </row>
    <row r="2343">
      <c r="A2343" s="4">
        <v>43548.58233497685</v>
      </c>
      <c r="B2343" s="5">
        <v>43548.8739686921</v>
      </c>
      <c r="C2343" s="6">
        <v>1.027</v>
      </c>
      <c r="D2343" s="6">
        <v>67.0</v>
      </c>
      <c r="E2343" s="7" t="s">
        <v>7</v>
      </c>
      <c r="F2343" s="7" t="s">
        <v>8</v>
      </c>
      <c r="G2343" s="8"/>
    </row>
    <row r="2344">
      <c r="A2344" s="4">
        <v>43548.592763043984</v>
      </c>
      <c r="B2344" s="5">
        <v>43548.8844018749</v>
      </c>
      <c r="C2344" s="6">
        <v>1.026</v>
      </c>
      <c r="D2344" s="6">
        <v>67.0</v>
      </c>
      <c r="E2344" s="7" t="s">
        <v>7</v>
      </c>
      <c r="F2344" s="7" t="s">
        <v>8</v>
      </c>
      <c r="G2344" s="8"/>
    </row>
    <row r="2345">
      <c r="A2345" s="4">
        <v>43548.6031837037</v>
      </c>
      <c r="B2345" s="5">
        <v>43548.8948231944</v>
      </c>
      <c r="C2345" s="6">
        <v>1.027</v>
      </c>
      <c r="D2345" s="6">
        <v>67.0</v>
      </c>
      <c r="E2345" s="7" t="s">
        <v>7</v>
      </c>
      <c r="F2345" s="7" t="s">
        <v>8</v>
      </c>
      <c r="G2345" s="8"/>
    </row>
    <row r="2346">
      <c r="A2346" s="4">
        <v>43548.613607928244</v>
      </c>
      <c r="B2346" s="5">
        <v>43548.9052451388</v>
      </c>
      <c r="C2346" s="6">
        <v>1.027</v>
      </c>
      <c r="D2346" s="6">
        <v>67.0</v>
      </c>
      <c r="E2346" s="7" t="s">
        <v>7</v>
      </c>
      <c r="F2346" s="7" t="s">
        <v>8</v>
      </c>
      <c r="G2346" s="8"/>
    </row>
    <row r="2347">
      <c r="A2347" s="4">
        <v>43548.624045833334</v>
      </c>
      <c r="B2347" s="5">
        <v>43548.915678368</v>
      </c>
      <c r="C2347" s="6">
        <v>1.027</v>
      </c>
      <c r="D2347" s="6">
        <v>67.0</v>
      </c>
      <c r="E2347" s="7" t="s">
        <v>7</v>
      </c>
      <c r="F2347" s="7" t="s">
        <v>8</v>
      </c>
      <c r="G2347" s="8"/>
    </row>
    <row r="2348">
      <c r="A2348" s="4">
        <v>43548.634464097224</v>
      </c>
      <c r="B2348" s="5">
        <v>43548.9261001851</v>
      </c>
      <c r="C2348" s="6">
        <v>1.027</v>
      </c>
      <c r="D2348" s="6">
        <v>67.0</v>
      </c>
      <c r="E2348" s="7" t="s">
        <v>7</v>
      </c>
      <c r="F2348" s="7" t="s">
        <v>8</v>
      </c>
      <c r="G2348" s="8"/>
    </row>
    <row r="2349">
      <c r="A2349" s="4">
        <v>43548.64488798611</v>
      </c>
      <c r="B2349" s="5">
        <v>43548.9365201736</v>
      </c>
      <c r="C2349" s="6">
        <v>1.027</v>
      </c>
      <c r="D2349" s="6">
        <v>67.0</v>
      </c>
      <c r="E2349" s="7" t="s">
        <v>7</v>
      </c>
      <c r="F2349" s="7" t="s">
        <v>8</v>
      </c>
      <c r="G2349" s="8"/>
    </row>
    <row r="2350">
      <c r="A2350" s="4">
        <v>43548.655358993055</v>
      </c>
      <c r="B2350" s="5">
        <v>43548.9469411342</v>
      </c>
      <c r="C2350" s="6">
        <v>1.027</v>
      </c>
      <c r="D2350" s="6">
        <v>67.0</v>
      </c>
      <c r="E2350" s="7" t="s">
        <v>7</v>
      </c>
      <c r="F2350" s="7" t="s">
        <v>8</v>
      </c>
      <c r="G2350" s="8"/>
    </row>
    <row r="2351">
      <c r="A2351" s="4">
        <v>43548.66572601852</v>
      </c>
      <c r="B2351" s="5">
        <v>43548.9573604629</v>
      </c>
      <c r="C2351" s="6">
        <v>1.027</v>
      </c>
      <c r="D2351" s="6">
        <v>67.0</v>
      </c>
      <c r="E2351" s="7" t="s">
        <v>7</v>
      </c>
      <c r="F2351" s="7" t="s">
        <v>8</v>
      </c>
      <c r="G2351" s="8"/>
    </row>
    <row r="2352">
      <c r="A2352" s="4">
        <v>43548.676153252316</v>
      </c>
      <c r="B2352" s="5">
        <v>43548.9677824652</v>
      </c>
      <c r="C2352" s="6">
        <v>1.027</v>
      </c>
      <c r="D2352" s="6">
        <v>67.0</v>
      </c>
      <c r="E2352" s="7" t="s">
        <v>7</v>
      </c>
      <c r="F2352" s="7" t="s">
        <v>8</v>
      </c>
      <c r="G2352" s="8"/>
    </row>
    <row r="2353">
      <c r="A2353" s="4">
        <v>43548.68656611111</v>
      </c>
      <c r="B2353" s="5">
        <v>43548.9782017245</v>
      </c>
      <c r="C2353" s="6">
        <v>1.027</v>
      </c>
      <c r="D2353" s="6">
        <v>67.0</v>
      </c>
      <c r="E2353" s="7" t="s">
        <v>7</v>
      </c>
      <c r="F2353" s="7" t="s">
        <v>8</v>
      </c>
      <c r="G2353" s="8"/>
    </row>
    <row r="2354">
      <c r="A2354" s="4">
        <v>43548.696988553245</v>
      </c>
      <c r="B2354" s="5">
        <v>43548.9886241319</v>
      </c>
      <c r="C2354" s="6">
        <v>1.027</v>
      </c>
      <c r="D2354" s="6">
        <v>67.0</v>
      </c>
      <c r="E2354" s="7" t="s">
        <v>7</v>
      </c>
      <c r="F2354" s="7" t="s">
        <v>8</v>
      </c>
      <c r="G2354" s="8"/>
    </row>
    <row r="2355">
      <c r="A2355" s="4">
        <v>43548.707565324075</v>
      </c>
      <c r="B2355" s="5">
        <v>43548.9990697453</v>
      </c>
      <c r="C2355" s="6">
        <v>1.027</v>
      </c>
      <c r="D2355" s="6">
        <v>67.0</v>
      </c>
      <c r="E2355" s="7" t="s">
        <v>7</v>
      </c>
      <c r="F2355" s="7" t="s">
        <v>8</v>
      </c>
      <c r="G2355" s="8"/>
    </row>
    <row r="2356">
      <c r="A2356" s="4">
        <v>43548.71786453704</v>
      </c>
      <c r="B2356" s="5">
        <v>43549.0094921643</v>
      </c>
      <c r="C2356" s="6">
        <v>1.027</v>
      </c>
      <c r="D2356" s="6">
        <v>67.0</v>
      </c>
      <c r="E2356" s="7" t="s">
        <v>7</v>
      </c>
      <c r="F2356" s="7" t="s">
        <v>8</v>
      </c>
      <c r="G2356" s="8"/>
    </row>
    <row r="2357">
      <c r="A2357" s="4">
        <v>43548.728290300925</v>
      </c>
      <c r="B2357" s="5">
        <v>43549.0199254282</v>
      </c>
      <c r="C2357" s="6">
        <v>1.027</v>
      </c>
      <c r="D2357" s="6">
        <v>67.0</v>
      </c>
      <c r="E2357" s="7" t="s">
        <v>7</v>
      </c>
      <c r="F2357" s="7" t="s">
        <v>8</v>
      </c>
      <c r="G2357" s="8"/>
    </row>
    <row r="2358">
      <c r="A2358" s="4">
        <v>43548.73874210648</v>
      </c>
      <c r="B2358" s="5">
        <v>43549.0303716666</v>
      </c>
      <c r="C2358" s="6">
        <v>1.027</v>
      </c>
      <c r="D2358" s="6">
        <v>67.0</v>
      </c>
      <c r="E2358" s="7" t="s">
        <v>7</v>
      </c>
      <c r="F2358" s="7" t="s">
        <v>8</v>
      </c>
      <c r="G2358" s="8"/>
    </row>
    <row r="2359">
      <c r="A2359" s="4">
        <v>43548.7491734375</v>
      </c>
      <c r="B2359" s="5">
        <v>43549.040804699</v>
      </c>
      <c r="C2359" s="6">
        <v>1.026</v>
      </c>
      <c r="D2359" s="6">
        <v>67.0</v>
      </c>
      <c r="E2359" s="7" t="s">
        <v>7</v>
      </c>
      <c r="F2359" s="7" t="s">
        <v>8</v>
      </c>
      <c r="G2359" s="8"/>
    </row>
    <row r="2360">
      <c r="A2360" s="4">
        <v>43548.75959696759</v>
      </c>
      <c r="B2360" s="5">
        <v>43549.0512260069</v>
      </c>
      <c r="C2360" s="6">
        <v>1.026</v>
      </c>
      <c r="D2360" s="6">
        <v>67.0</v>
      </c>
      <c r="E2360" s="7" t="s">
        <v>7</v>
      </c>
      <c r="F2360" s="7" t="s">
        <v>8</v>
      </c>
      <c r="G2360" s="8"/>
    </row>
    <row r="2361">
      <c r="A2361" s="4">
        <v>43548.77000599537</v>
      </c>
      <c r="B2361" s="5">
        <v>43549.0616461574</v>
      </c>
      <c r="C2361" s="6">
        <v>1.026</v>
      </c>
      <c r="D2361" s="6">
        <v>67.0</v>
      </c>
      <c r="E2361" s="7" t="s">
        <v>7</v>
      </c>
      <c r="F2361" s="7" t="s">
        <v>8</v>
      </c>
      <c r="G2361" s="8"/>
    </row>
    <row r="2362">
      <c r="A2362" s="4">
        <v>43548.78042613426</v>
      </c>
      <c r="B2362" s="5">
        <v>43549.0720664351</v>
      </c>
      <c r="C2362" s="6">
        <v>1.026</v>
      </c>
      <c r="D2362" s="6">
        <v>67.0</v>
      </c>
      <c r="E2362" s="7" t="s">
        <v>7</v>
      </c>
      <c r="F2362" s="7" t="s">
        <v>8</v>
      </c>
      <c r="G2362" s="8"/>
    </row>
    <row r="2363">
      <c r="A2363" s="4">
        <v>43548.79085787037</v>
      </c>
      <c r="B2363" s="5">
        <v>43549.0824884953</v>
      </c>
      <c r="C2363" s="6">
        <v>1.027</v>
      </c>
      <c r="D2363" s="6">
        <v>67.0</v>
      </c>
      <c r="E2363" s="7" t="s">
        <v>7</v>
      </c>
      <c r="F2363" s="7" t="s">
        <v>8</v>
      </c>
      <c r="G2363" s="8"/>
    </row>
    <row r="2364">
      <c r="A2364" s="4">
        <v>43548.80127829861</v>
      </c>
      <c r="B2364" s="5">
        <v>43549.0929109027</v>
      </c>
      <c r="C2364" s="6">
        <v>1.027</v>
      </c>
      <c r="D2364" s="6">
        <v>67.0</v>
      </c>
      <c r="E2364" s="7" t="s">
        <v>7</v>
      </c>
      <c r="F2364" s="7" t="s">
        <v>8</v>
      </c>
      <c r="G2364" s="8"/>
    </row>
    <row r="2365">
      <c r="A2365" s="4">
        <v>43548.8117153125</v>
      </c>
      <c r="B2365" s="5">
        <v>43549.103330081</v>
      </c>
      <c r="C2365" s="6">
        <v>1.027</v>
      </c>
      <c r="D2365" s="6">
        <v>67.0</v>
      </c>
      <c r="E2365" s="7" t="s">
        <v>7</v>
      </c>
      <c r="F2365" s="7" t="s">
        <v>8</v>
      </c>
      <c r="G2365" s="8"/>
    </row>
    <row r="2366">
      <c r="A2366" s="4">
        <v>43548.822117337964</v>
      </c>
      <c r="B2366" s="5">
        <v>43549.1137530208</v>
      </c>
      <c r="C2366" s="6">
        <v>1.027</v>
      </c>
      <c r="D2366" s="6">
        <v>67.0</v>
      </c>
      <c r="E2366" s="7" t="s">
        <v>7</v>
      </c>
      <c r="F2366" s="7" t="s">
        <v>8</v>
      </c>
      <c r="G2366" s="8"/>
    </row>
    <row r="2367">
      <c r="A2367" s="4">
        <v>43548.832547673606</v>
      </c>
      <c r="B2367" s="5">
        <v>43549.1241759259</v>
      </c>
      <c r="C2367" s="6">
        <v>1.027</v>
      </c>
      <c r="D2367" s="6">
        <v>67.0</v>
      </c>
      <c r="E2367" s="7" t="s">
        <v>7</v>
      </c>
      <c r="F2367" s="7" t="s">
        <v>8</v>
      </c>
      <c r="G2367" s="8"/>
    </row>
    <row r="2368">
      <c r="A2368" s="4">
        <v>43548.84297196759</v>
      </c>
      <c r="B2368" s="5">
        <v>43549.1345991087</v>
      </c>
      <c r="C2368" s="6">
        <v>1.027</v>
      </c>
      <c r="D2368" s="6">
        <v>67.0</v>
      </c>
      <c r="E2368" s="7" t="s">
        <v>7</v>
      </c>
      <c r="F2368" s="7" t="s">
        <v>8</v>
      </c>
      <c r="G2368" s="8"/>
    </row>
    <row r="2369">
      <c r="A2369" s="4">
        <v>43548.85339773148</v>
      </c>
      <c r="B2369" s="5">
        <v>43549.1450313425</v>
      </c>
      <c r="C2369" s="6">
        <v>1.026</v>
      </c>
      <c r="D2369" s="6">
        <v>67.0</v>
      </c>
      <c r="E2369" s="7" t="s">
        <v>7</v>
      </c>
      <c r="F2369" s="7" t="s">
        <v>8</v>
      </c>
      <c r="G2369" s="8"/>
    </row>
    <row r="2370">
      <c r="A2370" s="4">
        <v>43548.86381891204</v>
      </c>
      <c r="B2370" s="5">
        <v>43549.1554519212</v>
      </c>
      <c r="C2370" s="6">
        <v>1.027</v>
      </c>
      <c r="D2370" s="6">
        <v>67.0</v>
      </c>
      <c r="E2370" s="7" t="s">
        <v>7</v>
      </c>
      <c r="F2370" s="7" t="s">
        <v>8</v>
      </c>
      <c r="G2370" s="8"/>
    </row>
    <row r="2371">
      <c r="A2371" s="4">
        <v>43548.874231504626</v>
      </c>
      <c r="B2371" s="5">
        <v>43549.1658711805</v>
      </c>
      <c r="C2371" s="6">
        <v>1.027</v>
      </c>
      <c r="D2371" s="6">
        <v>67.0</v>
      </c>
      <c r="E2371" s="7" t="s">
        <v>7</v>
      </c>
      <c r="F2371" s="7" t="s">
        <v>8</v>
      </c>
      <c r="G2371" s="8"/>
    </row>
    <row r="2372">
      <c r="A2372" s="4">
        <v>43548.88467457176</v>
      </c>
      <c r="B2372" s="5">
        <v>43549.1763058564</v>
      </c>
      <c r="C2372" s="6">
        <v>1.027</v>
      </c>
      <c r="D2372" s="6">
        <v>67.0</v>
      </c>
      <c r="E2372" s="7" t="s">
        <v>7</v>
      </c>
      <c r="F2372" s="7" t="s">
        <v>8</v>
      </c>
      <c r="G2372" s="8"/>
    </row>
    <row r="2373">
      <c r="A2373" s="4">
        <v>43548.89509438658</v>
      </c>
      <c r="B2373" s="5">
        <v>43549.1867280208</v>
      </c>
      <c r="C2373" s="6">
        <v>1.026</v>
      </c>
      <c r="D2373" s="6">
        <v>67.0</v>
      </c>
      <c r="E2373" s="7" t="s">
        <v>7</v>
      </c>
      <c r="F2373" s="7" t="s">
        <v>8</v>
      </c>
      <c r="G2373" s="8"/>
    </row>
    <row r="2374">
      <c r="A2374" s="4">
        <v>43548.905588946756</v>
      </c>
      <c r="B2374" s="5">
        <v>43549.1971606944</v>
      </c>
      <c r="C2374" s="6">
        <v>1.027</v>
      </c>
      <c r="D2374" s="6">
        <v>67.0</v>
      </c>
      <c r="E2374" s="7" t="s">
        <v>7</v>
      </c>
      <c r="F2374" s="7" t="s">
        <v>8</v>
      </c>
      <c r="G2374" s="8"/>
    </row>
    <row r="2375">
      <c r="A2375" s="4">
        <v>43548.915953703705</v>
      </c>
      <c r="B2375" s="5">
        <v>43549.2075818518</v>
      </c>
      <c r="C2375" s="6">
        <v>1.027</v>
      </c>
      <c r="D2375" s="6">
        <v>67.0</v>
      </c>
      <c r="E2375" s="7" t="s">
        <v>7</v>
      </c>
      <c r="F2375" s="7" t="s">
        <v>8</v>
      </c>
      <c r="G2375" s="8"/>
    </row>
    <row r="2376">
      <c r="A2376" s="4">
        <v>43548.92637263889</v>
      </c>
      <c r="B2376" s="5">
        <v>43549.2180029513</v>
      </c>
      <c r="C2376" s="6">
        <v>1.027</v>
      </c>
      <c r="D2376" s="6">
        <v>67.0</v>
      </c>
      <c r="E2376" s="7" t="s">
        <v>7</v>
      </c>
      <c r="F2376" s="7" t="s">
        <v>8</v>
      </c>
      <c r="G2376" s="8"/>
    </row>
    <row r="2377">
      <c r="A2377" s="4">
        <v>43548.93681151621</v>
      </c>
      <c r="B2377" s="5">
        <v>43549.2284461226</v>
      </c>
      <c r="C2377" s="6">
        <v>1.026</v>
      </c>
      <c r="D2377" s="6">
        <v>67.0</v>
      </c>
      <c r="E2377" s="7" t="s">
        <v>7</v>
      </c>
      <c r="F2377" s="7" t="s">
        <v>8</v>
      </c>
      <c r="G2377" s="8"/>
    </row>
    <row r="2378">
      <c r="A2378" s="4">
        <v>43548.947235995365</v>
      </c>
      <c r="B2378" s="5">
        <v>43549.2388674305</v>
      </c>
      <c r="C2378" s="6">
        <v>1.026</v>
      </c>
      <c r="D2378" s="6">
        <v>67.0</v>
      </c>
      <c r="E2378" s="7" t="s">
        <v>7</v>
      </c>
      <c r="F2378" s="7" t="s">
        <v>8</v>
      </c>
      <c r="G2378" s="8"/>
    </row>
    <row r="2379">
      <c r="A2379" s="4">
        <v>43548.957675694444</v>
      </c>
      <c r="B2379" s="5">
        <v>43549.2493012384</v>
      </c>
      <c r="C2379" s="6">
        <v>1.027</v>
      </c>
      <c r="D2379" s="6">
        <v>67.0</v>
      </c>
      <c r="E2379" s="7" t="s">
        <v>7</v>
      </c>
      <c r="F2379" s="7" t="s">
        <v>8</v>
      </c>
      <c r="G2379" s="8"/>
    </row>
    <row r="2380">
      <c r="A2380" s="4">
        <v>43548.96811640046</v>
      </c>
      <c r="B2380" s="5">
        <v>43549.2597552314</v>
      </c>
      <c r="C2380" s="6">
        <v>1.026</v>
      </c>
      <c r="D2380" s="6">
        <v>67.0</v>
      </c>
      <c r="E2380" s="7" t="s">
        <v>7</v>
      </c>
      <c r="F2380" s="7" t="s">
        <v>8</v>
      </c>
      <c r="G2380" s="8"/>
    </row>
    <row r="2381">
      <c r="A2381" s="4">
        <v>43548.978556435184</v>
      </c>
      <c r="B2381" s="5">
        <v>43549.2701886574</v>
      </c>
      <c r="C2381" s="6">
        <v>1.026</v>
      </c>
      <c r="D2381" s="6">
        <v>67.0</v>
      </c>
      <c r="E2381" s="7" t="s">
        <v>7</v>
      </c>
      <c r="F2381" s="7" t="s">
        <v>8</v>
      </c>
      <c r="G2381" s="8"/>
    </row>
    <row r="2382">
      <c r="A2382" s="4">
        <v>43548.98898030093</v>
      </c>
      <c r="B2382" s="5">
        <v>43549.2806105787</v>
      </c>
      <c r="C2382" s="6">
        <v>1.026</v>
      </c>
      <c r="D2382" s="6">
        <v>67.0</v>
      </c>
      <c r="E2382" s="7" t="s">
        <v>7</v>
      </c>
      <c r="F2382" s="7" t="s">
        <v>8</v>
      </c>
      <c r="G2382" s="8"/>
    </row>
    <row r="2383">
      <c r="A2383" s="4">
        <v>43548.999423877314</v>
      </c>
      <c r="B2383" s="5">
        <v>43549.2910411921</v>
      </c>
      <c r="C2383" s="6">
        <v>1.026</v>
      </c>
      <c r="D2383" s="6">
        <v>67.0</v>
      </c>
      <c r="E2383" s="7" t="s">
        <v>7</v>
      </c>
      <c r="F2383" s="7" t="s">
        <v>8</v>
      </c>
      <c r="G2383" s="8"/>
    </row>
    <row r="2384">
      <c r="A2384" s="4">
        <v>43549.009891168986</v>
      </c>
      <c r="B2384" s="5">
        <v>43549.3014607754</v>
      </c>
      <c r="C2384" s="6">
        <v>1.026</v>
      </c>
      <c r="D2384" s="6">
        <v>67.0</v>
      </c>
      <c r="E2384" s="7" t="s">
        <v>7</v>
      </c>
      <c r="F2384" s="7" t="s">
        <v>8</v>
      </c>
      <c r="G2384" s="8"/>
    </row>
    <row r="2385">
      <c r="A2385" s="4">
        <v>43549.020246597225</v>
      </c>
      <c r="B2385" s="5">
        <v>43549.3118841088</v>
      </c>
      <c r="C2385" s="6">
        <v>1.026</v>
      </c>
      <c r="D2385" s="6">
        <v>66.0</v>
      </c>
      <c r="E2385" s="7" t="s">
        <v>7</v>
      </c>
      <c r="F2385" s="7" t="s">
        <v>8</v>
      </c>
      <c r="G2385" s="8"/>
    </row>
    <row r="2386">
      <c r="A2386" s="4">
        <v>43549.03070880787</v>
      </c>
      <c r="B2386" s="5">
        <v>43549.3223403935</v>
      </c>
      <c r="C2386" s="6">
        <v>1.026</v>
      </c>
      <c r="D2386" s="6">
        <v>66.0</v>
      </c>
      <c r="E2386" s="7" t="s">
        <v>7</v>
      </c>
      <c r="F2386" s="7" t="s">
        <v>8</v>
      </c>
      <c r="G2386" s="8"/>
    </row>
    <row r="2387">
      <c r="A2387" s="4">
        <v>43549.04112221065</v>
      </c>
      <c r="B2387" s="5">
        <v>43549.3327613425</v>
      </c>
      <c r="C2387" s="6">
        <v>1.026</v>
      </c>
      <c r="D2387" s="6">
        <v>66.0</v>
      </c>
      <c r="E2387" s="7" t="s">
        <v>7</v>
      </c>
      <c r="F2387" s="7" t="s">
        <v>8</v>
      </c>
      <c r="G2387" s="8"/>
    </row>
    <row r="2388">
      <c r="A2388" s="4">
        <v>43549.05154876158</v>
      </c>
      <c r="B2388" s="5">
        <v>43549.3431819097</v>
      </c>
      <c r="C2388" s="6">
        <v>1.026</v>
      </c>
      <c r="D2388" s="6">
        <v>66.0</v>
      </c>
      <c r="E2388" s="7" t="s">
        <v>7</v>
      </c>
      <c r="F2388" s="7" t="s">
        <v>8</v>
      </c>
      <c r="G2388" s="8"/>
    </row>
    <row r="2389">
      <c r="A2389" s="4">
        <v>43549.06197841435</v>
      </c>
      <c r="B2389" s="5">
        <v>43549.3536023726</v>
      </c>
      <c r="C2389" s="6">
        <v>1.026</v>
      </c>
      <c r="D2389" s="6">
        <v>66.0</v>
      </c>
      <c r="E2389" s="7" t="s">
        <v>7</v>
      </c>
      <c r="F2389" s="7" t="s">
        <v>8</v>
      </c>
      <c r="G2389" s="8"/>
    </row>
    <row r="2390">
      <c r="A2390" s="4">
        <v>43549.072396689815</v>
      </c>
      <c r="B2390" s="5">
        <v>43549.3640340509</v>
      </c>
      <c r="C2390" s="6">
        <v>1.026</v>
      </c>
      <c r="D2390" s="6">
        <v>66.0</v>
      </c>
      <c r="E2390" s="7" t="s">
        <v>7</v>
      </c>
      <c r="F2390" s="7" t="s">
        <v>8</v>
      </c>
      <c r="G2390" s="8"/>
    </row>
    <row r="2391">
      <c r="A2391" s="4">
        <v>43549.082822743054</v>
      </c>
      <c r="B2391" s="5">
        <v>43549.3744552777</v>
      </c>
      <c r="C2391" s="6">
        <v>1.026</v>
      </c>
      <c r="D2391" s="6">
        <v>66.0</v>
      </c>
      <c r="E2391" s="7" t="s">
        <v>7</v>
      </c>
      <c r="F2391" s="7" t="s">
        <v>8</v>
      </c>
      <c r="G2391" s="8"/>
    </row>
    <row r="2392">
      <c r="A2392" s="4">
        <v>43549.09328291667</v>
      </c>
      <c r="B2392" s="5">
        <v>43549.3849095023</v>
      </c>
      <c r="C2392" s="6">
        <v>1.026</v>
      </c>
      <c r="D2392" s="6">
        <v>66.0</v>
      </c>
      <c r="E2392" s="7" t="s">
        <v>7</v>
      </c>
      <c r="F2392" s="7" t="s">
        <v>8</v>
      </c>
      <c r="G2392" s="8"/>
    </row>
    <row r="2393">
      <c r="A2393" s="4">
        <v>43549.103701817134</v>
      </c>
      <c r="B2393" s="5">
        <v>43549.395331412</v>
      </c>
      <c r="C2393" s="6">
        <v>1.026</v>
      </c>
      <c r="D2393" s="6">
        <v>66.0</v>
      </c>
      <c r="E2393" s="7" t="s">
        <v>7</v>
      </c>
      <c r="F2393" s="7" t="s">
        <v>8</v>
      </c>
      <c r="G2393" s="8"/>
    </row>
    <row r="2394">
      <c r="A2394" s="4">
        <v>43549.114121516206</v>
      </c>
      <c r="B2394" s="5">
        <v>43549.4057534837</v>
      </c>
      <c r="C2394" s="6">
        <v>1.026</v>
      </c>
      <c r="D2394" s="6">
        <v>66.0</v>
      </c>
      <c r="E2394" s="7" t="s">
        <v>7</v>
      </c>
      <c r="F2394" s="7" t="s">
        <v>8</v>
      </c>
      <c r="G2394" s="8"/>
    </row>
    <row r="2395">
      <c r="A2395" s="4">
        <v>43549.124544328704</v>
      </c>
      <c r="B2395" s="5">
        <v>43549.416174618</v>
      </c>
      <c r="C2395" s="6">
        <v>1.026</v>
      </c>
      <c r="D2395" s="6">
        <v>66.0</v>
      </c>
      <c r="E2395" s="7" t="s">
        <v>7</v>
      </c>
      <c r="F2395" s="7" t="s">
        <v>8</v>
      </c>
      <c r="G2395" s="8"/>
    </row>
    <row r="2396">
      <c r="A2396" s="4">
        <v>43549.13497190972</v>
      </c>
      <c r="B2396" s="5">
        <v>43549.4265954976</v>
      </c>
      <c r="C2396" s="6">
        <v>1.026</v>
      </c>
      <c r="D2396" s="6">
        <v>66.0</v>
      </c>
      <c r="E2396" s="7" t="s">
        <v>7</v>
      </c>
      <c r="F2396" s="7" t="s">
        <v>8</v>
      </c>
      <c r="G2396" s="8"/>
    </row>
    <row r="2397">
      <c r="A2397" s="4">
        <v>43549.1453865625</v>
      </c>
      <c r="B2397" s="5">
        <v>43549.4370195949</v>
      </c>
      <c r="C2397" s="6">
        <v>1.026</v>
      </c>
      <c r="D2397" s="6">
        <v>66.0</v>
      </c>
      <c r="E2397" s="7" t="s">
        <v>7</v>
      </c>
      <c r="F2397" s="7" t="s">
        <v>8</v>
      </c>
      <c r="G2397" s="8"/>
    </row>
    <row r="2398">
      <c r="A2398" s="4">
        <v>43549.15581028935</v>
      </c>
      <c r="B2398" s="5">
        <v>43549.4474407523</v>
      </c>
      <c r="C2398" s="6">
        <v>1.026</v>
      </c>
      <c r="D2398" s="6">
        <v>66.0</v>
      </c>
      <c r="E2398" s="7" t="s">
        <v>7</v>
      </c>
      <c r="F2398" s="7" t="s">
        <v>8</v>
      </c>
      <c r="G2398" s="8"/>
    </row>
    <row r="2399">
      <c r="A2399" s="4">
        <v>43549.16622778935</v>
      </c>
      <c r="B2399" s="5">
        <v>43549.4578612731</v>
      </c>
      <c r="C2399" s="6">
        <v>1.026</v>
      </c>
      <c r="D2399" s="6">
        <v>66.0</v>
      </c>
      <c r="E2399" s="7" t="s">
        <v>7</v>
      </c>
      <c r="F2399" s="7" t="s">
        <v>8</v>
      </c>
      <c r="G2399" s="8"/>
    </row>
    <row r="2400">
      <c r="A2400" s="4">
        <v>43549.17666256944</v>
      </c>
      <c r="B2400" s="5">
        <v>43549.4682949074</v>
      </c>
      <c r="C2400" s="6">
        <v>1.026</v>
      </c>
      <c r="D2400" s="6">
        <v>66.0</v>
      </c>
      <c r="E2400" s="7" t="s">
        <v>7</v>
      </c>
      <c r="F2400" s="7" t="s">
        <v>8</v>
      </c>
      <c r="G2400" s="8"/>
    </row>
    <row r="2401">
      <c r="A2401" s="4">
        <v>43549.187084502315</v>
      </c>
      <c r="B2401" s="5">
        <v>43549.4787158217</v>
      </c>
      <c r="C2401" s="6">
        <v>1.026</v>
      </c>
      <c r="D2401" s="6">
        <v>66.0</v>
      </c>
      <c r="E2401" s="7" t="s">
        <v>7</v>
      </c>
      <c r="F2401" s="7" t="s">
        <v>8</v>
      </c>
      <c r="G2401" s="8"/>
    </row>
    <row r="2402">
      <c r="A2402" s="4">
        <v>43549.19749622685</v>
      </c>
      <c r="B2402" s="5">
        <v>43549.4891375694</v>
      </c>
      <c r="C2402" s="6">
        <v>1.026</v>
      </c>
      <c r="D2402" s="6">
        <v>66.0</v>
      </c>
      <c r="E2402" s="7" t="s">
        <v>7</v>
      </c>
      <c r="F2402" s="7" t="s">
        <v>8</v>
      </c>
      <c r="G2402" s="8"/>
    </row>
    <row r="2403">
      <c r="A2403" s="4">
        <v>43549.207928275464</v>
      </c>
      <c r="B2403" s="5">
        <v>43549.4995571527</v>
      </c>
      <c r="C2403" s="6">
        <v>1.026</v>
      </c>
      <c r="D2403" s="6">
        <v>66.0</v>
      </c>
      <c r="E2403" s="7" t="s">
        <v>7</v>
      </c>
      <c r="F2403" s="7" t="s">
        <v>8</v>
      </c>
      <c r="G2403" s="8"/>
    </row>
    <row r="2404">
      <c r="A2404" s="4">
        <v>43549.21836677083</v>
      </c>
      <c r="B2404" s="5">
        <v>43549.5099999189</v>
      </c>
      <c r="C2404" s="6">
        <v>1.026</v>
      </c>
      <c r="D2404" s="6">
        <v>66.0</v>
      </c>
      <c r="E2404" s="7" t="s">
        <v>7</v>
      </c>
      <c r="F2404" s="7" t="s">
        <v>8</v>
      </c>
      <c r="G2404" s="8"/>
    </row>
    <row r="2405">
      <c r="A2405" s="4">
        <v>43549.22879378472</v>
      </c>
      <c r="B2405" s="5">
        <v>43549.5204332638</v>
      </c>
      <c r="C2405" s="6">
        <v>1.026</v>
      </c>
      <c r="D2405" s="6">
        <v>66.0</v>
      </c>
      <c r="E2405" s="7" t="s">
        <v>7</v>
      </c>
      <c r="F2405" s="7" t="s">
        <v>8</v>
      </c>
      <c r="G2405" s="8"/>
    </row>
    <row r="2406">
      <c r="A2406" s="4">
        <v>43549.23923846065</v>
      </c>
      <c r="B2406" s="5">
        <v>43549.5308557175</v>
      </c>
      <c r="C2406" s="6">
        <v>1.026</v>
      </c>
      <c r="D2406" s="6">
        <v>66.0</v>
      </c>
      <c r="E2406" s="7" t="s">
        <v>7</v>
      </c>
      <c r="F2406" s="7" t="s">
        <v>8</v>
      </c>
      <c r="G2406" s="8"/>
    </row>
    <row r="2407">
      <c r="A2407" s="4">
        <v>43549.24966707176</v>
      </c>
      <c r="B2407" s="5">
        <v>43549.5412897106</v>
      </c>
      <c r="C2407" s="6">
        <v>1.026</v>
      </c>
      <c r="D2407" s="6">
        <v>66.0</v>
      </c>
      <c r="E2407" s="7" t="s">
        <v>7</v>
      </c>
      <c r="F2407" s="7" t="s">
        <v>8</v>
      </c>
      <c r="G2407" s="8"/>
    </row>
    <row r="2408">
      <c r="A2408" s="4">
        <v>43549.26010746528</v>
      </c>
      <c r="B2408" s="5">
        <v>43549.5517104629</v>
      </c>
      <c r="C2408" s="6">
        <v>1.026</v>
      </c>
      <c r="D2408" s="6">
        <v>67.0</v>
      </c>
      <c r="E2408" s="7" t="s">
        <v>7</v>
      </c>
      <c r="F2408" s="7" t="s">
        <v>8</v>
      </c>
      <c r="G2408" s="8"/>
    </row>
    <row r="2409">
      <c r="A2409" s="4">
        <v>43549.27050782407</v>
      </c>
      <c r="B2409" s="5">
        <v>43549.5621304282</v>
      </c>
      <c r="C2409" s="6">
        <v>1.026</v>
      </c>
      <c r="D2409" s="6">
        <v>67.0</v>
      </c>
      <c r="E2409" s="7" t="s">
        <v>7</v>
      </c>
      <c r="F2409" s="7" t="s">
        <v>8</v>
      </c>
      <c r="G2409" s="8"/>
    </row>
    <row r="2410">
      <c r="A2410" s="4">
        <v>43549.28092994213</v>
      </c>
      <c r="B2410" s="5">
        <v>43549.572563368</v>
      </c>
      <c r="C2410" s="6">
        <v>1.026</v>
      </c>
      <c r="D2410" s="6">
        <v>66.0</v>
      </c>
      <c r="E2410" s="7" t="s">
        <v>7</v>
      </c>
      <c r="F2410" s="7" t="s">
        <v>8</v>
      </c>
      <c r="G2410" s="8"/>
    </row>
    <row r="2411">
      <c r="A2411" s="4">
        <v>43549.29136344907</v>
      </c>
      <c r="B2411" s="5">
        <v>43549.5829958333</v>
      </c>
      <c r="C2411" s="6">
        <v>1.026</v>
      </c>
      <c r="D2411" s="6">
        <v>67.0</v>
      </c>
      <c r="E2411" s="7" t="s">
        <v>7</v>
      </c>
      <c r="F2411" s="7" t="s">
        <v>8</v>
      </c>
      <c r="G2411" s="8"/>
    </row>
    <row r="2412">
      <c r="A2412" s="4">
        <v>43549.301786192125</v>
      </c>
      <c r="B2412" s="5">
        <v>43549.5934164236</v>
      </c>
      <c r="C2412" s="6">
        <v>1.026</v>
      </c>
      <c r="D2412" s="6">
        <v>66.0</v>
      </c>
      <c r="E2412" s="7" t="s">
        <v>7</v>
      </c>
      <c r="F2412" s="7" t="s">
        <v>8</v>
      </c>
      <c r="G2412" s="8"/>
    </row>
    <row r="2413">
      <c r="A2413" s="4">
        <v>43549.312231689815</v>
      </c>
      <c r="B2413" s="5">
        <v>43549.6038382407</v>
      </c>
      <c r="C2413" s="6">
        <v>1.026</v>
      </c>
      <c r="D2413" s="6">
        <v>66.0</v>
      </c>
      <c r="E2413" s="7" t="s">
        <v>7</v>
      </c>
      <c r="F2413" s="7" t="s">
        <v>8</v>
      </c>
      <c r="G2413" s="8"/>
    </row>
    <row r="2414">
      <c r="A2414" s="4">
        <v>43549.32263091435</v>
      </c>
      <c r="B2414" s="5">
        <v>43549.6142609027</v>
      </c>
      <c r="C2414" s="6">
        <v>1.026</v>
      </c>
      <c r="D2414" s="6">
        <v>66.0</v>
      </c>
      <c r="E2414" s="7" t="s">
        <v>7</v>
      </c>
      <c r="F2414" s="7" t="s">
        <v>8</v>
      </c>
      <c r="G2414" s="8"/>
    </row>
    <row r="2415">
      <c r="A2415" s="4">
        <v>43549.33306925926</v>
      </c>
      <c r="B2415" s="5">
        <v>43549.6246818634</v>
      </c>
      <c r="C2415" s="6">
        <v>1.026</v>
      </c>
      <c r="D2415" s="6">
        <v>66.0</v>
      </c>
      <c r="E2415" s="7" t="s">
        <v>7</v>
      </c>
      <c r="F2415" s="7" t="s">
        <v>8</v>
      </c>
      <c r="G2415" s="8"/>
    </row>
    <row r="2416">
      <c r="A2416" s="4">
        <v>43549.34379668982</v>
      </c>
      <c r="B2416" s="5">
        <v>43549.6351379398</v>
      </c>
      <c r="C2416" s="6">
        <v>1.026</v>
      </c>
      <c r="D2416" s="6">
        <v>66.0</v>
      </c>
      <c r="E2416" s="7" t="s">
        <v>7</v>
      </c>
      <c r="F2416" s="7" t="s">
        <v>8</v>
      </c>
      <c r="G2416" s="8"/>
    </row>
    <row r="2417">
      <c r="A2417" s="4">
        <v>43549.354013738426</v>
      </c>
      <c r="B2417" s="5">
        <v>43549.6456048842</v>
      </c>
      <c r="C2417" s="6">
        <v>1.026</v>
      </c>
      <c r="D2417" s="6">
        <v>66.0</v>
      </c>
      <c r="E2417" s="7" t="s">
        <v>7</v>
      </c>
      <c r="F2417" s="7" t="s">
        <v>8</v>
      </c>
      <c r="G2417" s="8"/>
    </row>
    <row r="2418">
      <c r="A2418" s="4">
        <v>43549.36442832176</v>
      </c>
      <c r="B2418" s="5">
        <v>43549.6560361458</v>
      </c>
      <c r="C2418" s="6">
        <v>1.026</v>
      </c>
      <c r="D2418" s="6">
        <v>66.0</v>
      </c>
      <c r="E2418" s="7" t="s">
        <v>7</v>
      </c>
      <c r="F2418" s="7" t="s">
        <v>8</v>
      </c>
      <c r="G2418" s="8"/>
    </row>
    <row r="2419">
      <c r="A2419" s="4">
        <v>43549.374867743056</v>
      </c>
      <c r="B2419" s="5">
        <v>43549.6664572916</v>
      </c>
      <c r="C2419" s="6">
        <v>1.026</v>
      </c>
      <c r="D2419" s="6">
        <v>66.0</v>
      </c>
      <c r="E2419" s="7" t="s">
        <v>7</v>
      </c>
      <c r="F2419" s="7" t="s">
        <v>8</v>
      </c>
      <c r="G2419" s="8"/>
    </row>
    <row r="2420">
      <c r="A2420" s="4">
        <v>43549.385282557865</v>
      </c>
      <c r="B2420" s="5">
        <v>43549.6768785416</v>
      </c>
      <c r="C2420" s="6">
        <v>1.026</v>
      </c>
      <c r="D2420" s="6">
        <v>66.0</v>
      </c>
      <c r="E2420" s="7" t="s">
        <v>7</v>
      </c>
      <c r="F2420" s="7" t="s">
        <v>8</v>
      </c>
      <c r="G2420" s="8"/>
    </row>
    <row r="2421">
      <c r="A2421" s="4">
        <v>43549.395706006944</v>
      </c>
      <c r="B2421" s="5">
        <v>43549.6872997685</v>
      </c>
      <c r="C2421" s="6">
        <v>1.026</v>
      </c>
      <c r="D2421" s="6">
        <v>66.0</v>
      </c>
      <c r="E2421" s="7" t="s">
        <v>7</v>
      </c>
      <c r="F2421" s="7" t="s">
        <v>8</v>
      </c>
      <c r="G2421" s="8"/>
    </row>
    <row r="2422">
      <c r="A2422" s="4">
        <v>43549.406154027776</v>
      </c>
      <c r="B2422" s="5">
        <v>43549.6977446527</v>
      </c>
      <c r="C2422" s="6">
        <v>1.026</v>
      </c>
      <c r="D2422" s="6">
        <v>66.0</v>
      </c>
      <c r="E2422" s="7" t="s">
        <v>7</v>
      </c>
      <c r="F2422" s="7" t="s">
        <v>8</v>
      </c>
      <c r="G2422" s="8"/>
    </row>
    <row r="2423">
      <c r="A2423" s="4">
        <v>43549.41654505787</v>
      </c>
      <c r="B2423" s="5">
        <v>43549.7081656944</v>
      </c>
      <c r="C2423" s="6">
        <v>1.026</v>
      </c>
      <c r="D2423" s="6">
        <v>66.0</v>
      </c>
      <c r="E2423" s="7" t="s">
        <v>7</v>
      </c>
      <c r="F2423" s="7" t="s">
        <v>8</v>
      </c>
      <c r="G2423" s="8"/>
    </row>
    <row r="2424">
      <c r="A2424" s="4">
        <v>43549.426991712964</v>
      </c>
      <c r="B2424" s="5">
        <v>43549.718620868</v>
      </c>
      <c r="C2424" s="6">
        <v>1.026</v>
      </c>
      <c r="D2424" s="6">
        <v>66.0</v>
      </c>
      <c r="E2424" s="7" t="s">
        <v>7</v>
      </c>
      <c r="F2424" s="7" t="s">
        <v>8</v>
      </c>
      <c r="G2424" s="8"/>
    </row>
    <row r="2425">
      <c r="A2425" s="4">
        <v>43549.43744130787</v>
      </c>
      <c r="B2425" s="5">
        <v>43549.7290549305</v>
      </c>
      <c r="C2425" s="6">
        <v>1.026</v>
      </c>
      <c r="D2425" s="6">
        <v>66.0</v>
      </c>
      <c r="E2425" s="7" t="s">
        <v>7</v>
      </c>
      <c r="F2425" s="7" t="s">
        <v>8</v>
      </c>
      <c r="G2425" s="8"/>
    </row>
    <row r="2426">
      <c r="A2426" s="4">
        <v>43549.447848194446</v>
      </c>
      <c r="B2426" s="5">
        <v>43549.739476655</v>
      </c>
      <c r="C2426" s="6">
        <v>1.026</v>
      </c>
      <c r="D2426" s="6">
        <v>66.0</v>
      </c>
      <c r="E2426" s="7" t="s">
        <v>7</v>
      </c>
      <c r="F2426" s="7" t="s">
        <v>8</v>
      </c>
      <c r="G2426" s="8"/>
    </row>
    <row r="2427">
      <c r="A2427" s="4">
        <v>43549.458266435184</v>
      </c>
      <c r="B2427" s="5">
        <v>43549.7498988888</v>
      </c>
      <c r="C2427" s="6">
        <v>1.026</v>
      </c>
      <c r="D2427" s="6">
        <v>66.0</v>
      </c>
      <c r="E2427" s="7" t="s">
        <v>7</v>
      </c>
      <c r="F2427" s="7" t="s">
        <v>8</v>
      </c>
      <c r="G2427" s="8"/>
    </row>
    <row r="2428">
      <c r="A2428" s="4">
        <v>43549.46869864583</v>
      </c>
      <c r="B2428" s="5">
        <v>43549.7603192013</v>
      </c>
      <c r="C2428" s="6">
        <v>1.026</v>
      </c>
      <c r="D2428" s="6">
        <v>66.0</v>
      </c>
      <c r="E2428" s="7" t="s">
        <v>7</v>
      </c>
      <c r="F2428" s="7" t="s">
        <v>8</v>
      </c>
      <c r="G2428" s="8"/>
    </row>
    <row r="2429">
      <c r="A2429" s="4">
        <v>43549.47914045139</v>
      </c>
      <c r="B2429" s="5">
        <v>43549.77075353</v>
      </c>
      <c r="C2429" s="6">
        <v>1.026</v>
      </c>
      <c r="D2429" s="6">
        <v>66.0</v>
      </c>
      <c r="E2429" s="7" t="s">
        <v>7</v>
      </c>
      <c r="F2429" s="7" t="s">
        <v>8</v>
      </c>
      <c r="G2429" s="8"/>
    </row>
    <row r="2430">
      <c r="A2430" s="4">
        <v>43549.489557141205</v>
      </c>
      <c r="B2430" s="5">
        <v>43549.7811845138</v>
      </c>
      <c r="C2430" s="6">
        <v>1.026</v>
      </c>
      <c r="D2430" s="6">
        <v>66.0</v>
      </c>
      <c r="E2430" s="7" t="s">
        <v>7</v>
      </c>
      <c r="F2430" s="7" t="s">
        <v>8</v>
      </c>
      <c r="G2430" s="8"/>
    </row>
    <row r="2431">
      <c r="A2431" s="4">
        <v>43549.49998670139</v>
      </c>
      <c r="B2431" s="5">
        <v>43549.7916066087</v>
      </c>
      <c r="C2431" s="6">
        <v>1.026</v>
      </c>
      <c r="D2431" s="6">
        <v>66.0</v>
      </c>
      <c r="E2431" s="7" t="s">
        <v>7</v>
      </c>
      <c r="F2431" s="7" t="s">
        <v>8</v>
      </c>
      <c r="G2431" s="8"/>
    </row>
    <row r="2432">
      <c r="A2432" s="4">
        <v>43549.51040112269</v>
      </c>
      <c r="B2432" s="5">
        <v>43549.8020284722</v>
      </c>
      <c r="C2432" s="6">
        <v>1.026</v>
      </c>
      <c r="D2432" s="6">
        <v>66.0</v>
      </c>
      <c r="E2432" s="7" t="s">
        <v>7</v>
      </c>
      <c r="F2432" s="7" t="s">
        <v>8</v>
      </c>
      <c r="G2432" s="8"/>
    </row>
    <row r="2433">
      <c r="A2433" s="4">
        <v>43549.52082081018</v>
      </c>
      <c r="B2433" s="5">
        <v>43549.8124504629</v>
      </c>
      <c r="C2433" s="6">
        <v>1.026</v>
      </c>
      <c r="D2433" s="6">
        <v>66.0</v>
      </c>
      <c r="E2433" s="7" t="s">
        <v>7</v>
      </c>
      <c r="F2433" s="7" t="s">
        <v>8</v>
      </c>
      <c r="G2433" s="8"/>
    </row>
    <row r="2434">
      <c r="A2434" s="4">
        <v>43549.53125032407</v>
      </c>
      <c r="B2434" s="5">
        <v>43549.8228827662</v>
      </c>
      <c r="C2434" s="6">
        <v>1.026</v>
      </c>
      <c r="D2434" s="6">
        <v>66.0</v>
      </c>
      <c r="E2434" s="7" t="s">
        <v>7</v>
      </c>
      <c r="F2434" s="7" t="s">
        <v>8</v>
      </c>
      <c r="G2434" s="8"/>
    </row>
    <row r="2435">
      <c r="A2435" s="4">
        <v>43549.5416787037</v>
      </c>
      <c r="B2435" s="5">
        <v>43549.8333048842</v>
      </c>
      <c r="C2435" s="6">
        <v>1.026</v>
      </c>
      <c r="D2435" s="6">
        <v>66.0</v>
      </c>
      <c r="E2435" s="7" t="s">
        <v>7</v>
      </c>
      <c r="F2435" s="7" t="s">
        <v>8</v>
      </c>
      <c r="G2435" s="8"/>
    </row>
    <row r="2436">
      <c r="A2436" s="4">
        <v>43549.55215891203</v>
      </c>
      <c r="B2436" s="5">
        <v>43549.8437395833</v>
      </c>
      <c r="C2436" s="6">
        <v>1.026</v>
      </c>
      <c r="D2436" s="6">
        <v>66.0</v>
      </c>
      <c r="E2436" s="7" t="s">
        <v>7</v>
      </c>
      <c r="F2436" s="7" t="s">
        <v>8</v>
      </c>
      <c r="G2436" s="8"/>
    </row>
    <row r="2437">
      <c r="A2437" s="4">
        <v>43549.562535833335</v>
      </c>
      <c r="B2437" s="5">
        <v>43549.8541595601</v>
      </c>
      <c r="C2437" s="6">
        <v>1.026</v>
      </c>
      <c r="D2437" s="6">
        <v>66.0</v>
      </c>
      <c r="E2437" s="7" t="s">
        <v>7</v>
      </c>
      <c r="F2437" s="7" t="s">
        <v>8</v>
      </c>
      <c r="G2437" s="8"/>
    </row>
    <row r="2438">
      <c r="A2438" s="4">
        <v>43549.572942997685</v>
      </c>
      <c r="B2438" s="5">
        <v>43549.8645796643</v>
      </c>
      <c r="C2438" s="6">
        <v>1.026</v>
      </c>
      <c r="D2438" s="6">
        <v>66.0</v>
      </c>
      <c r="E2438" s="7" t="s">
        <v>7</v>
      </c>
      <c r="F2438" s="7" t="s">
        <v>8</v>
      </c>
      <c r="G2438" s="8"/>
    </row>
    <row r="2439">
      <c r="A2439" s="4">
        <v>43549.58338195602</v>
      </c>
      <c r="B2439" s="5">
        <v>43549.8750012384</v>
      </c>
      <c r="C2439" s="6">
        <v>1.026</v>
      </c>
      <c r="D2439" s="6">
        <v>66.0</v>
      </c>
      <c r="E2439" s="7" t="s">
        <v>7</v>
      </c>
      <c r="F2439" s="7" t="s">
        <v>8</v>
      </c>
      <c r="G2439" s="8"/>
    </row>
    <row r="2440">
      <c r="A2440" s="4">
        <v>43549.59379788194</v>
      </c>
      <c r="B2440" s="5">
        <v>43549.885432743</v>
      </c>
      <c r="C2440" s="6">
        <v>1.026</v>
      </c>
      <c r="D2440" s="6">
        <v>66.0</v>
      </c>
      <c r="E2440" s="7" t="s">
        <v>7</v>
      </c>
      <c r="F2440" s="7" t="s">
        <v>8</v>
      </c>
      <c r="G2440" s="8"/>
    </row>
    <row r="2441">
      <c r="A2441" s="4">
        <v>43549.60425582176</v>
      </c>
      <c r="B2441" s="5">
        <v>43549.8958670717</v>
      </c>
      <c r="C2441" s="6">
        <v>1.026</v>
      </c>
      <c r="D2441" s="6">
        <v>66.0</v>
      </c>
      <c r="E2441" s="7" t="s">
        <v>7</v>
      </c>
      <c r="F2441" s="7" t="s">
        <v>8</v>
      </c>
      <c r="G2441" s="8"/>
    </row>
    <row r="2442">
      <c r="A2442" s="4">
        <v>43549.614727141205</v>
      </c>
      <c r="B2442" s="5">
        <v>43549.9062885532</v>
      </c>
      <c r="C2442" s="6">
        <v>1.026</v>
      </c>
      <c r="D2442" s="6">
        <v>66.0</v>
      </c>
      <c r="E2442" s="7" t="s">
        <v>7</v>
      </c>
      <c r="F2442" s="7" t="s">
        <v>8</v>
      </c>
      <c r="G2442" s="8"/>
    </row>
    <row r="2443">
      <c r="A2443" s="4">
        <v>43549.62509001157</v>
      </c>
      <c r="B2443" s="5">
        <v>43549.916710405</v>
      </c>
      <c r="C2443" s="6">
        <v>1.026</v>
      </c>
      <c r="D2443" s="6">
        <v>66.0</v>
      </c>
      <c r="E2443" s="7" t="s">
        <v>7</v>
      </c>
      <c r="F2443" s="7" t="s">
        <v>8</v>
      </c>
      <c r="G2443" s="8"/>
    </row>
    <row r="2444">
      <c r="A2444" s="4">
        <v>43549.63550371528</v>
      </c>
      <c r="B2444" s="5">
        <v>43549.9271313541</v>
      </c>
      <c r="C2444" s="6">
        <v>1.026</v>
      </c>
      <c r="D2444" s="6">
        <v>66.0</v>
      </c>
      <c r="E2444" s="7" t="s">
        <v>7</v>
      </c>
      <c r="F2444" s="7" t="s">
        <v>8</v>
      </c>
      <c r="G2444" s="8"/>
    </row>
    <row r="2445">
      <c r="A2445" s="4">
        <v>43549.64592689815</v>
      </c>
      <c r="B2445" s="5">
        <v>43549.9375645949</v>
      </c>
      <c r="C2445" s="6">
        <v>1.026</v>
      </c>
      <c r="D2445" s="6">
        <v>66.0</v>
      </c>
      <c r="E2445" s="7" t="s">
        <v>7</v>
      </c>
      <c r="F2445" s="7" t="s">
        <v>8</v>
      </c>
      <c r="G2445" s="8"/>
    </row>
    <row r="2446">
      <c r="A2446" s="4">
        <v>43549.65637158565</v>
      </c>
      <c r="B2446" s="5">
        <v>43549.9479968402</v>
      </c>
      <c r="C2446" s="6">
        <v>1.026</v>
      </c>
      <c r="D2446" s="6">
        <v>66.0</v>
      </c>
      <c r="E2446" s="7" t="s">
        <v>7</v>
      </c>
      <c r="F2446" s="7" t="s">
        <v>8</v>
      </c>
      <c r="G2446" s="8"/>
    </row>
    <row r="2447">
      <c r="A2447" s="4">
        <v>43549.66679363426</v>
      </c>
      <c r="B2447" s="5">
        <v>43549.9584285185</v>
      </c>
      <c r="C2447" s="6">
        <v>1.026</v>
      </c>
      <c r="D2447" s="6">
        <v>66.0</v>
      </c>
      <c r="E2447" s="7" t="s">
        <v>7</v>
      </c>
      <c r="F2447" s="7" t="s">
        <v>8</v>
      </c>
      <c r="G2447" s="8"/>
    </row>
    <row r="2448">
      <c r="A2448" s="4">
        <v>43549.67722946759</v>
      </c>
      <c r="B2448" s="5">
        <v>43549.9688630324</v>
      </c>
      <c r="C2448" s="6">
        <v>1.026</v>
      </c>
      <c r="D2448" s="6">
        <v>66.0</v>
      </c>
      <c r="E2448" s="7" t="s">
        <v>7</v>
      </c>
      <c r="F2448" s="7" t="s">
        <v>8</v>
      </c>
      <c r="G2448" s="8"/>
    </row>
    <row r="2449">
      <c r="A2449" s="4">
        <v>43549.68765961805</v>
      </c>
      <c r="B2449" s="5">
        <v>43549.9792957638</v>
      </c>
      <c r="C2449" s="6">
        <v>1.026</v>
      </c>
      <c r="D2449" s="6">
        <v>66.0</v>
      </c>
      <c r="E2449" s="7" t="s">
        <v>7</v>
      </c>
      <c r="F2449" s="7" t="s">
        <v>8</v>
      </c>
      <c r="G2449" s="8"/>
    </row>
    <row r="2450">
      <c r="A2450" s="4">
        <v>43549.69807648148</v>
      </c>
      <c r="B2450" s="5">
        <v>43549.9897167708</v>
      </c>
      <c r="C2450" s="6">
        <v>1.026</v>
      </c>
      <c r="D2450" s="6">
        <v>66.0</v>
      </c>
      <c r="E2450" s="7" t="s">
        <v>7</v>
      </c>
      <c r="F2450" s="7" t="s">
        <v>8</v>
      </c>
      <c r="G2450" s="8"/>
    </row>
    <row r="2451">
      <c r="A2451" s="4">
        <v>43549.70851835648</v>
      </c>
      <c r="B2451" s="5">
        <v>43550.0001501504</v>
      </c>
      <c r="C2451" s="6">
        <v>1.026</v>
      </c>
      <c r="D2451" s="6">
        <v>66.0</v>
      </c>
      <c r="E2451" s="7" t="s">
        <v>7</v>
      </c>
      <c r="F2451" s="7" t="s">
        <v>8</v>
      </c>
      <c r="G2451" s="8"/>
    </row>
    <row r="2452">
      <c r="A2452" s="4">
        <v>43549.71893869213</v>
      </c>
      <c r="B2452" s="5">
        <v>43550.0105714351</v>
      </c>
      <c r="C2452" s="6">
        <v>1.026</v>
      </c>
      <c r="D2452" s="6">
        <v>66.0</v>
      </c>
      <c r="E2452" s="7" t="s">
        <v>7</v>
      </c>
      <c r="F2452" s="7" t="s">
        <v>8</v>
      </c>
      <c r="G2452" s="8"/>
    </row>
    <row r="2453">
      <c r="A2453" s="4">
        <v>43549.72936837963</v>
      </c>
      <c r="B2453" s="5">
        <v>43550.0209928935</v>
      </c>
      <c r="C2453" s="6">
        <v>1.026</v>
      </c>
      <c r="D2453" s="6">
        <v>66.0</v>
      </c>
      <c r="E2453" s="7" t="s">
        <v>7</v>
      </c>
      <c r="F2453" s="7" t="s">
        <v>8</v>
      </c>
      <c r="G2453" s="8"/>
    </row>
    <row r="2454">
      <c r="A2454" s="4">
        <v>43549.73979502315</v>
      </c>
      <c r="B2454" s="5">
        <v>43550.0314256944</v>
      </c>
      <c r="C2454" s="6">
        <v>1.026</v>
      </c>
      <c r="D2454" s="6">
        <v>66.0</v>
      </c>
      <c r="E2454" s="7" t="s">
        <v>7</v>
      </c>
      <c r="F2454" s="7" t="s">
        <v>8</v>
      </c>
      <c r="G2454" s="8"/>
    </row>
    <row r="2455">
      <c r="A2455" s="4">
        <v>43549.75021366898</v>
      </c>
      <c r="B2455" s="5">
        <v>43550.0418455671</v>
      </c>
      <c r="C2455" s="6">
        <v>1.026</v>
      </c>
      <c r="D2455" s="6">
        <v>67.0</v>
      </c>
      <c r="E2455" s="7" t="s">
        <v>7</v>
      </c>
      <c r="F2455" s="7" t="s">
        <v>8</v>
      </c>
      <c r="G2455" s="8"/>
    </row>
    <row r="2456">
      <c r="A2456" s="4">
        <v>43549.76065273148</v>
      </c>
      <c r="B2456" s="5">
        <v>43550.0522760532</v>
      </c>
      <c r="C2456" s="6">
        <v>1.026</v>
      </c>
      <c r="D2456" s="6">
        <v>67.0</v>
      </c>
      <c r="E2456" s="7" t="s">
        <v>7</v>
      </c>
      <c r="F2456" s="7" t="s">
        <v>8</v>
      </c>
      <c r="G2456" s="8"/>
    </row>
    <row r="2457">
      <c r="A2457" s="4">
        <v>43549.77108173611</v>
      </c>
      <c r="B2457" s="5">
        <v>43550.0627088194</v>
      </c>
      <c r="C2457" s="6">
        <v>1.026</v>
      </c>
      <c r="D2457" s="6">
        <v>67.0</v>
      </c>
      <c r="E2457" s="7" t="s">
        <v>7</v>
      </c>
      <c r="F2457" s="7" t="s">
        <v>8</v>
      </c>
      <c r="G2457" s="8"/>
    </row>
    <row r="2458">
      <c r="A2458" s="4">
        <v>43549.781491574075</v>
      </c>
      <c r="B2458" s="5">
        <v>43550.0731309027</v>
      </c>
      <c r="C2458" s="6">
        <v>1.026</v>
      </c>
      <c r="D2458" s="6">
        <v>67.0</v>
      </c>
      <c r="E2458" s="7" t="s">
        <v>7</v>
      </c>
      <c r="F2458" s="7" t="s">
        <v>8</v>
      </c>
      <c r="G2458" s="8"/>
    </row>
    <row r="2459">
      <c r="A2459" s="4">
        <v>43549.79191494213</v>
      </c>
      <c r="B2459" s="5">
        <v>43550.0835525231</v>
      </c>
      <c r="C2459" s="6">
        <v>1.026</v>
      </c>
      <c r="D2459" s="6">
        <v>67.0</v>
      </c>
      <c r="E2459" s="7" t="s">
        <v>7</v>
      </c>
      <c r="F2459" s="7" t="s">
        <v>8</v>
      </c>
      <c r="G2459" s="8"/>
    </row>
    <row r="2460">
      <c r="A2460" s="4">
        <v>43549.802349328704</v>
      </c>
      <c r="B2460" s="5">
        <v>43550.0939755439</v>
      </c>
      <c r="C2460" s="6">
        <v>1.026</v>
      </c>
      <c r="D2460" s="6">
        <v>67.0</v>
      </c>
      <c r="E2460" s="7" t="s">
        <v>7</v>
      </c>
      <c r="F2460" s="7" t="s">
        <v>8</v>
      </c>
      <c r="G2460" s="8"/>
    </row>
    <row r="2461">
      <c r="A2461" s="4">
        <v>43549.812784525464</v>
      </c>
      <c r="B2461" s="5">
        <v>43550.1044064814</v>
      </c>
      <c r="C2461" s="6">
        <v>1.026</v>
      </c>
      <c r="D2461" s="6">
        <v>67.0</v>
      </c>
      <c r="E2461" s="7" t="s">
        <v>7</v>
      </c>
      <c r="F2461" s="7" t="s">
        <v>8</v>
      </c>
      <c r="G2461" s="8"/>
    </row>
    <row r="2462">
      <c r="A2462" s="4">
        <v>43549.82326950232</v>
      </c>
      <c r="B2462" s="5">
        <v>43550.114864699</v>
      </c>
      <c r="C2462" s="6">
        <v>1.026</v>
      </c>
      <c r="D2462" s="6">
        <v>67.0</v>
      </c>
      <c r="E2462" s="7" t="s">
        <v>7</v>
      </c>
      <c r="F2462" s="7" t="s">
        <v>8</v>
      </c>
      <c r="G2462" s="8"/>
    </row>
    <row r="2463">
      <c r="A2463" s="4">
        <v>43549.83366974537</v>
      </c>
      <c r="B2463" s="5">
        <v>43550.1252979629</v>
      </c>
      <c r="C2463" s="6">
        <v>1.026</v>
      </c>
      <c r="D2463" s="6">
        <v>67.0</v>
      </c>
      <c r="E2463" s="7" t="s">
        <v>7</v>
      </c>
      <c r="F2463" s="7" t="s">
        <v>8</v>
      </c>
      <c r="G2463" s="8"/>
    </row>
    <row r="2464">
      <c r="A2464" s="4">
        <v>43549.844110034726</v>
      </c>
      <c r="B2464" s="5">
        <v>43550.135717118</v>
      </c>
      <c r="C2464" s="6">
        <v>1.026</v>
      </c>
      <c r="D2464" s="6">
        <v>67.0</v>
      </c>
      <c r="E2464" s="7" t="s">
        <v>7</v>
      </c>
      <c r="F2464" s="7" t="s">
        <v>8</v>
      </c>
      <c r="G2464" s="8"/>
    </row>
    <row r="2465">
      <c r="A2465" s="4">
        <v>43549.85453013889</v>
      </c>
      <c r="B2465" s="5">
        <v>43550.1461383217</v>
      </c>
      <c r="C2465" s="6">
        <v>1.026</v>
      </c>
      <c r="D2465" s="6">
        <v>67.0</v>
      </c>
      <c r="E2465" s="7" t="s">
        <v>7</v>
      </c>
      <c r="F2465" s="7" t="s">
        <v>8</v>
      </c>
      <c r="G2465" s="8"/>
    </row>
    <row r="2466">
      <c r="A2466" s="4">
        <v>43549.86495534722</v>
      </c>
      <c r="B2466" s="5">
        <v>43550.156594618</v>
      </c>
      <c r="C2466" s="6">
        <v>1.026</v>
      </c>
      <c r="D2466" s="6">
        <v>67.0</v>
      </c>
      <c r="E2466" s="7" t="s">
        <v>7</v>
      </c>
      <c r="F2466" s="7" t="s">
        <v>8</v>
      </c>
      <c r="G2466" s="8"/>
    </row>
    <row r="2467">
      <c r="A2467" s="4">
        <v>43549.87540671296</v>
      </c>
      <c r="B2467" s="5">
        <v>43550.1670277546</v>
      </c>
      <c r="C2467" s="6">
        <v>1.026</v>
      </c>
      <c r="D2467" s="6">
        <v>67.0</v>
      </c>
      <c r="E2467" s="7" t="s">
        <v>7</v>
      </c>
      <c r="F2467" s="7" t="s">
        <v>8</v>
      </c>
      <c r="G2467" s="8"/>
    </row>
    <row r="2468">
      <c r="A2468" s="4">
        <v>43549.88590961805</v>
      </c>
      <c r="B2468" s="5">
        <v>43550.1775192476</v>
      </c>
      <c r="C2468" s="6">
        <v>1.026</v>
      </c>
      <c r="D2468" s="6">
        <v>67.0</v>
      </c>
      <c r="E2468" s="7" t="s">
        <v>7</v>
      </c>
      <c r="F2468" s="7" t="s">
        <v>8</v>
      </c>
      <c r="G2468" s="8"/>
    </row>
    <row r="2469">
      <c r="A2469" s="4">
        <v>43549.89631743055</v>
      </c>
      <c r="B2469" s="5">
        <v>43550.1879398726</v>
      </c>
      <c r="C2469" s="6">
        <v>1.026</v>
      </c>
      <c r="D2469" s="6">
        <v>67.0</v>
      </c>
      <c r="E2469" s="7" t="s">
        <v>7</v>
      </c>
      <c r="F2469" s="7" t="s">
        <v>8</v>
      </c>
      <c r="G2469" s="8"/>
    </row>
    <row r="2470">
      <c r="A2470" s="4">
        <v>43549.90672708333</v>
      </c>
      <c r="B2470" s="5">
        <v>43550.1983610185</v>
      </c>
      <c r="C2470" s="6">
        <v>1.026</v>
      </c>
      <c r="D2470" s="6">
        <v>67.0</v>
      </c>
      <c r="E2470" s="7" t="s">
        <v>7</v>
      </c>
      <c r="F2470" s="7" t="s">
        <v>8</v>
      </c>
      <c r="G2470" s="8"/>
    </row>
    <row r="2471">
      <c r="A2471" s="4">
        <v>43549.917206620376</v>
      </c>
      <c r="B2471" s="5">
        <v>43550.2087940625</v>
      </c>
      <c r="C2471" s="6">
        <v>1.026</v>
      </c>
      <c r="D2471" s="6">
        <v>67.0</v>
      </c>
      <c r="E2471" s="7" t="s">
        <v>7</v>
      </c>
      <c r="F2471" s="7" t="s">
        <v>8</v>
      </c>
      <c r="G2471" s="8"/>
    </row>
    <row r="2472">
      <c r="A2472" s="4">
        <v>43549.92759644676</v>
      </c>
      <c r="B2472" s="5">
        <v>43550.2192265046</v>
      </c>
      <c r="C2472" s="6">
        <v>1.026</v>
      </c>
      <c r="D2472" s="6">
        <v>67.0</v>
      </c>
      <c r="E2472" s="7" t="s">
        <v>7</v>
      </c>
      <c r="F2472" s="7" t="s">
        <v>8</v>
      </c>
      <c r="G2472" s="8"/>
    </row>
    <row r="2473">
      <c r="A2473" s="4">
        <v>43549.93800623843</v>
      </c>
      <c r="B2473" s="5">
        <v>43550.2296490046</v>
      </c>
      <c r="C2473" s="6">
        <v>1.026</v>
      </c>
      <c r="D2473" s="6">
        <v>67.0</v>
      </c>
      <c r="E2473" s="7" t="s">
        <v>7</v>
      </c>
      <c r="F2473" s="7" t="s">
        <v>8</v>
      </c>
      <c r="G2473" s="8"/>
    </row>
    <row r="2474">
      <c r="A2474" s="4">
        <v>43549.94842746528</v>
      </c>
      <c r="B2474" s="5">
        <v>43550.2400696527</v>
      </c>
      <c r="C2474" s="6">
        <v>1.026</v>
      </c>
      <c r="D2474" s="6">
        <v>67.0</v>
      </c>
      <c r="E2474" s="7" t="s">
        <v>7</v>
      </c>
      <c r="F2474" s="7" t="s">
        <v>8</v>
      </c>
      <c r="G2474" s="8"/>
    </row>
    <row r="2475">
      <c r="A2475" s="4">
        <v>43549.95887634259</v>
      </c>
      <c r="B2475" s="5">
        <v>43550.2505016666</v>
      </c>
      <c r="C2475" s="6">
        <v>1.026</v>
      </c>
      <c r="D2475" s="6">
        <v>67.0</v>
      </c>
      <c r="E2475" s="7" t="s">
        <v>7</v>
      </c>
      <c r="F2475" s="7" t="s">
        <v>8</v>
      </c>
      <c r="G2475" s="8"/>
    </row>
    <row r="2476">
      <c r="A2476" s="4">
        <v>43549.96931189815</v>
      </c>
      <c r="B2476" s="5">
        <v>43550.2609466782</v>
      </c>
      <c r="C2476" s="6">
        <v>1.025</v>
      </c>
      <c r="D2476" s="6">
        <v>67.0</v>
      </c>
      <c r="E2476" s="7" t="s">
        <v>7</v>
      </c>
      <c r="F2476" s="7" t="s">
        <v>8</v>
      </c>
      <c r="G2476" s="8"/>
    </row>
    <row r="2477">
      <c r="A2477" s="4">
        <v>43549.979757928246</v>
      </c>
      <c r="B2477" s="5">
        <v>43550.2713804745</v>
      </c>
      <c r="C2477" s="6">
        <v>1.026</v>
      </c>
      <c r="D2477" s="6">
        <v>66.0</v>
      </c>
      <c r="E2477" s="7" t="s">
        <v>7</v>
      </c>
      <c r="F2477" s="7" t="s">
        <v>8</v>
      </c>
      <c r="G2477" s="8"/>
    </row>
    <row r="2478">
      <c r="A2478" s="4">
        <v>43549.990178796295</v>
      </c>
      <c r="B2478" s="5">
        <v>43550.2818006365</v>
      </c>
      <c r="C2478" s="6">
        <v>1.026</v>
      </c>
      <c r="D2478" s="6">
        <v>66.0</v>
      </c>
      <c r="E2478" s="7" t="s">
        <v>7</v>
      </c>
      <c r="F2478" s="7" t="s">
        <v>8</v>
      </c>
      <c r="G2478" s="8"/>
    </row>
    <row r="2479">
      <c r="A2479" s="4">
        <v>43550.00061973379</v>
      </c>
      <c r="B2479" s="5">
        <v>43550.2922331481</v>
      </c>
      <c r="C2479" s="6">
        <v>1.026</v>
      </c>
      <c r="D2479" s="6">
        <v>66.0</v>
      </c>
      <c r="E2479" s="7" t="s">
        <v>7</v>
      </c>
      <c r="F2479" s="7" t="s">
        <v>8</v>
      </c>
      <c r="G2479" s="8"/>
    </row>
    <row r="2480">
      <c r="A2480" s="4">
        <v>43550.011043252314</v>
      </c>
      <c r="B2480" s="5">
        <v>43550.3026676157</v>
      </c>
      <c r="C2480" s="6">
        <v>1.026</v>
      </c>
      <c r="D2480" s="6">
        <v>66.0</v>
      </c>
      <c r="E2480" s="7" t="s">
        <v>7</v>
      </c>
      <c r="F2480" s="7" t="s">
        <v>8</v>
      </c>
      <c r="G2480" s="8"/>
    </row>
    <row r="2481">
      <c r="A2481" s="4">
        <v>43550.021467592596</v>
      </c>
      <c r="B2481" s="5">
        <v>43550.3130882407</v>
      </c>
      <c r="C2481" s="6">
        <v>1.026</v>
      </c>
      <c r="D2481" s="6">
        <v>66.0</v>
      </c>
      <c r="E2481" s="7" t="s">
        <v>7</v>
      </c>
      <c r="F2481" s="7" t="s">
        <v>8</v>
      </c>
      <c r="G2481" s="8"/>
    </row>
    <row r="2482">
      <c r="A2482" s="4">
        <v>43550.03188163195</v>
      </c>
      <c r="B2482" s="5">
        <v>43550.3235218055</v>
      </c>
      <c r="C2482" s="6">
        <v>1.026</v>
      </c>
      <c r="D2482" s="6">
        <v>66.0</v>
      </c>
      <c r="E2482" s="7" t="s">
        <v>7</v>
      </c>
      <c r="F2482" s="7" t="s">
        <v>8</v>
      </c>
      <c r="G2482" s="8"/>
    </row>
    <row r="2483">
      <c r="A2483" s="4">
        <v>43550.042363622684</v>
      </c>
      <c r="B2483" s="5">
        <v>43550.3339916666</v>
      </c>
      <c r="C2483" s="6">
        <v>1.025</v>
      </c>
      <c r="D2483" s="6">
        <v>66.0</v>
      </c>
      <c r="E2483" s="7" t="s">
        <v>7</v>
      </c>
      <c r="F2483" s="7" t="s">
        <v>8</v>
      </c>
      <c r="G2483" s="8"/>
    </row>
    <row r="2484">
      <c r="A2484" s="4">
        <v>43550.05278641204</v>
      </c>
      <c r="B2484" s="5">
        <v>43550.3444135416</v>
      </c>
      <c r="C2484" s="6">
        <v>1.026</v>
      </c>
      <c r="D2484" s="6">
        <v>66.0</v>
      </c>
      <c r="E2484" s="7" t="s">
        <v>7</v>
      </c>
      <c r="F2484" s="7" t="s">
        <v>8</v>
      </c>
      <c r="G2484" s="8"/>
    </row>
    <row r="2485">
      <c r="A2485" s="4">
        <v>43550.06323893518</v>
      </c>
      <c r="B2485" s="5">
        <v>43550.3548571064</v>
      </c>
      <c r="C2485" s="6">
        <v>1.026</v>
      </c>
      <c r="D2485" s="6">
        <v>66.0</v>
      </c>
      <c r="E2485" s="7" t="s">
        <v>7</v>
      </c>
      <c r="F2485" s="7" t="s">
        <v>8</v>
      </c>
      <c r="G2485" s="8"/>
    </row>
    <row r="2486">
      <c r="A2486" s="4">
        <v>43550.0736515625</v>
      </c>
      <c r="B2486" s="5">
        <v>43550.3652794675</v>
      </c>
      <c r="C2486" s="6">
        <v>1.026</v>
      </c>
      <c r="D2486" s="6">
        <v>66.0</v>
      </c>
      <c r="E2486" s="7" t="s">
        <v>7</v>
      </c>
      <c r="F2486" s="7" t="s">
        <v>8</v>
      </c>
      <c r="G2486" s="8"/>
    </row>
    <row r="2487">
      <c r="A2487" s="4">
        <v>43550.084122858796</v>
      </c>
      <c r="B2487" s="5">
        <v>43550.3757015277</v>
      </c>
      <c r="C2487" s="6">
        <v>1.025</v>
      </c>
      <c r="D2487" s="6">
        <v>66.0</v>
      </c>
      <c r="E2487" s="7" t="s">
        <v>7</v>
      </c>
      <c r="F2487" s="7" t="s">
        <v>8</v>
      </c>
      <c r="G2487" s="8"/>
    </row>
    <row r="2488">
      <c r="A2488" s="4">
        <v>43550.09450248843</v>
      </c>
      <c r="B2488" s="5">
        <v>43550.386134699</v>
      </c>
      <c r="C2488" s="6">
        <v>1.026</v>
      </c>
      <c r="D2488" s="6">
        <v>66.0</v>
      </c>
      <c r="E2488" s="7" t="s">
        <v>7</v>
      </c>
      <c r="F2488" s="7" t="s">
        <v>8</v>
      </c>
      <c r="G2488" s="8"/>
    </row>
    <row r="2489">
      <c r="A2489" s="4">
        <v>43550.10491976852</v>
      </c>
      <c r="B2489" s="5">
        <v>43550.3965564467</v>
      </c>
      <c r="C2489" s="6">
        <v>1.026</v>
      </c>
      <c r="D2489" s="6">
        <v>66.0</v>
      </c>
      <c r="E2489" s="7" t="s">
        <v>7</v>
      </c>
      <c r="F2489" s="7" t="s">
        <v>8</v>
      </c>
      <c r="G2489" s="8"/>
    </row>
    <row r="2490">
      <c r="A2490" s="4">
        <v>43550.11539851852</v>
      </c>
      <c r="B2490" s="5">
        <v>43550.4070005555</v>
      </c>
      <c r="C2490" s="6">
        <v>1.026</v>
      </c>
      <c r="D2490" s="6">
        <v>66.0</v>
      </c>
      <c r="E2490" s="7" t="s">
        <v>7</v>
      </c>
      <c r="F2490" s="7" t="s">
        <v>8</v>
      </c>
      <c r="G2490" s="8"/>
    </row>
    <row r="2491">
      <c r="A2491" s="4">
        <v>43550.12579533565</v>
      </c>
      <c r="B2491" s="5">
        <v>43550.4174223842</v>
      </c>
      <c r="C2491" s="6">
        <v>1.025</v>
      </c>
      <c r="D2491" s="6">
        <v>66.0</v>
      </c>
      <c r="E2491" s="7" t="s">
        <v>7</v>
      </c>
      <c r="F2491" s="7" t="s">
        <v>8</v>
      </c>
      <c r="G2491" s="8"/>
    </row>
    <row r="2492">
      <c r="A2492" s="4">
        <v>43550.13621956018</v>
      </c>
      <c r="B2492" s="5">
        <v>43550.4278550231</v>
      </c>
      <c r="C2492" s="6">
        <v>1.026</v>
      </c>
      <c r="D2492" s="6">
        <v>66.0</v>
      </c>
      <c r="E2492" s="7" t="s">
        <v>7</v>
      </c>
      <c r="F2492" s="7" t="s">
        <v>8</v>
      </c>
      <c r="G2492" s="8"/>
    </row>
    <row r="2493">
      <c r="A2493" s="4">
        <v>43550.14665542824</v>
      </c>
      <c r="B2493" s="5">
        <v>43550.4382864004</v>
      </c>
      <c r="C2493" s="6">
        <v>1.026</v>
      </c>
      <c r="D2493" s="6">
        <v>66.0</v>
      </c>
      <c r="E2493" s="7" t="s">
        <v>7</v>
      </c>
      <c r="F2493" s="7" t="s">
        <v>8</v>
      </c>
      <c r="G2493" s="8"/>
    </row>
    <row r="2494">
      <c r="A2494" s="4">
        <v>43550.15707997685</v>
      </c>
      <c r="B2494" s="5">
        <v>43550.4487076388</v>
      </c>
      <c r="C2494" s="6">
        <v>1.025</v>
      </c>
      <c r="D2494" s="6">
        <v>66.0</v>
      </c>
      <c r="E2494" s="7" t="s">
        <v>7</v>
      </c>
      <c r="F2494" s="7" t="s">
        <v>8</v>
      </c>
      <c r="G2494" s="8"/>
    </row>
    <row r="2495">
      <c r="A2495" s="4">
        <v>43550.167505081015</v>
      </c>
      <c r="B2495" s="5">
        <v>43550.4591400231</v>
      </c>
      <c r="C2495" s="6">
        <v>1.025</v>
      </c>
      <c r="D2495" s="6">
        <v>66.0</v>
      </c>
      <c r="E2495" s="7" t="s">
        <v>7</v>
      </c>
      <c r="F2495" s="7" t="s">
        <v>8</v>
      </c>
      <c r="G2495" s="8"/>
    </row>
    <row r="2496">
      <c r="A2496" s="4">
        <v>43550.177956886575</v>
      </c>
      <c r="B2496" s="5">
        <v>43550.4695853009</v>
      </c>
      <c r="C2496" s="6">
        <v>1.025</v>
      </c>
      <c r="D2496" s="6">
        <v>66.0</v>
      </c>
      <c r="E2496" s="7" t="s">
        <v>7</v>
      </c>
      <c r="F2496" s="7" t="s">
        <v>8</v>
      </c>
      <c r="G2496" s="8"/>
    </row>
    <row r="2497">
      <c r="A2497" s="4">
        <v>43550.188386180555</v>
      </c>
      <c r="B2497" s="5">
        <v>43550.4800189699</v>
      </c>
      <c r="C2497" s="6">
        <v>1.025</v>
      </c>
      <c r="D2497" s="6">
        <v>66.0</v>
      </c>
      <c r="E2497" s="7" t="s">
        <v>7</v>
      </c>
      <c r="F2497" s="7" t="s">
        <v>8</v>
      </c>
      <c r="G2497" s="8"/>
    </row>
    <row r="2498">
      <c r="A2498" s="4">
        <v>43550.198813634255</v>
      </c>
      <c r="B2498" s="5">
        <v>43550.4904399537</v>
      </c>
      <c r="C2498" s="6">
        <v>1.025</v>
      </c>
      <c r="D2498" s="6">
        <v>66.0</v>
      </c>
      <c r="E2498" s="7" t="s">
        <v>7</v>
      </c>
      <c r="F2498" s="7" t="s">
        <v>8</v>
      </c>
      <c r="G2498" s="8"/>
    </row>
    <row r="2499">
      <c r="A2499" s="4">
        <v>43550.209241018514</v>
      </c>
      <c r="B2499" s="5">
        <v>43550.5008731828</v>
      </c>
      <c r="C2499" s="6">
        <v>1.026</v>
      </c>
      <c r="D2499" s="6">
        <v>66.0</v>
      </c>
      <c r="E2499" s="7" t="s">
        <v>7</v>
      </c>
      <c r="F2499" s="7" t="s">
        <v>8</v>
      </c>
      <c r="G2499" s="8"/>
    </row>
    <row r="2500">
      <c r="A2500" s="4">
        <v>43550.21966833333</v>
      </c>
      <c r="B2500" s="5">
        <v>43550.5113046527</v>
      </c>
      <c r="C2500" s="6">
        <v>1.025</v>
      </c>
      <c r="D2500" s="6">
        <v>66.0</v>
      </c>
      <c r="E2500" s="7" t="s">
        <v>7</v>
      </c>
      <c r="F2500" s="7" t="s">
        <v>8</v>
      </c>
      <c r="G2500" s="8"/>
    </row>
    <row r="2501">
      <c r="A2501" s="4">
        <v>43550.230105254625</v>
      </c>
      <c r="B2501" s="5">
        <v>43550.52173853</v>
      </c>
      <c r="C2501" s="6">
        <v>1.025</v>
      </c>
      <c r="D2501" s="6">
        <v>66.0</v>
      </c>
      <c r="E2501" s="7" t="s">
        <v>7</v>
      </c>
      <c r="F2501" s="7" t="s">
        <v>8</v>
      </c>
      <c r="G2501" s="8"/>
    </row>
    <row r="2502">
      <c r="A2502" s="4">
        <v>43550.240548761576</v>
      </c>
      <c r="B2502" s="5">
        <v>43550.5321609953</v>
      </c>
      <c r="C2502" s="6">
        <v>1.025</v>
      </c>
      <c r="D2502" s="6">
        <v>66.0</v>
      </c>
      <c r="E2502" s="7" t="s">
        <v>7</v>
      </c>
      <c r="F2502" s="7" t="s">
        <v>8</v>
      </c>
      <c r="G2502" s="8"/>
    </row>
    <row r="2503">
      <c r="A2503" s="4">
        <v>43550.250946597225</v>
      </c>
      <c r="B2503" s="5">
        <v>43550.5425819213</v>
      </c>
      <c r="C2503" s="6">
        <v>1.025</v>
      </c>
      <c r="D2503" s="6">
        <v>66.0</v>
      </c>
      <c r="E2503" s="7" t="s">
        <v>7</v>
      </c>
      <c r="F2503" s="7" t="s">
        <v>8</v>
      </c>
      <c r="G2503" s="8"/>
    </row>
    <row r="2504">
      <c r="A2504" s="4">
        <v>43550.26137881944</v>
      </c>
      <c r="B2504" s="5">
        <v>43550.5530023148</v>
      </c>
      <c r="C2504" s="6">
        <v>1.025</v>
      </c>
      <c r="D2504" s="6">
        <v>66.0</v>
      </c>
      <c r="E2504" s="7" t="s">
        <v>7</v>
      </c>
      <c r="F2504" s="7" t="s">
        <v>8</v>
      </c>
      <c r="G2504" s="8"/>
    </row>
    <row r="2505">
      <c r="A2505" s="4">
        <v>43550.271788067126</v>
      </c>
      <c r="B2505" s="5">
        <v>43550.5634228125</v>
      </c>
      <c r="C2505" s="6">
        <v>1.025</v>
      </c>
      <c r="D2505" s="6">
        <v>66.0</v>
      </c>
      <c r="E2505" s="7" t="s">
        <v>7</v>
      </c>
      <c r="F2505" s="7" t="s">
        <v>8</v>
      </c>
      <c r="G2505" s="8"/>
    </row>
    <row r="2506">
      <c r="A2506" s="4">
        <v>43550.28221979167</v>
      </c>
      <c r="B2506" s="5">
        <v>43550.5738462615</v>
      </c>
      <c r="C2506" s="6">
        <v>1.025</v>
      </c>
      <c r="D2506" s="6">
        <v>66.0</v>
      </c>
      <c r="E2506" s="7" t="s">
        <v>7</v>
      </c>
      <c r="F2506" s="7" t="s">
        <v>8</v>
      </c>
      <c r="G2506" s="8"/>
    </row>
    <row r="2507">
      <c r="A2507" s="4">
        <v>43550.29263627315</v>
      </c>
      <c r="B2507" s="5">
        <v>43550.5842676736</v>
      </c>
      <c r="C2507" s="6">
        <v>1.025</v>
      </c>
      <c r="D2507" s="6">
        <v>66.0</v>
      </c>
      <c r="E2507" s="7" t="s">
        <v>7</v>
      </c>
      <c r="F2507" s="7" t="s">
        <v>8</v>
      </c>
      <c r="G2507" s="8"/>
    </row>
    <row r="2508">
      <c r="A2508" s="4">
        <v>43550.30305886574</v>
      </c>
      <c r="B2508" s="5">
        <v>43550.5946906712</v>
      </c>
      <c r="C2508" s="6">
        <v>1.025</v>
      </c>
      <c r="D2508" s="6">
        <v>66.0</v>
      </c>
      <c r="E2508" s="7" t="s">
        <v>7</v>
      </c>
      <c r="F2508" s="7" t="s">
        <v>8</v>
      </c>
      <c r="G2508" s="8"/>
    </row>
    <row r="2509">
      <c r="A2509" s="4">
        <v>43550.31348725695</v>
      </c>
      <c r="B2509" s="5">
        <v>43550.6051114467</v>
      </c>
      <c r="C2509" s="6">
        <v>1.025</v>
      </c>
      <c r="D2509" s="6">
        <v>66.0</v>
      </c>
      <c r="E2509" s="7" t="s">
        <v>7</v>
      </c>
      <c r="F2509" s="7" t="s">
        <v>8</v>
      </c>
      <c r="G2509" s="8"/>
    </row>
    <row r="2510">
      <c r="A2510" s="4">
        <v>43550.32391826389</v>
      </c>
      <c r="B2510" s="5">
        <v>43550.6155443055</v>
      </c>
      <c r="C2510" s="6">
        <v>1.025</v>
      </c>
      <c r="D2510" s="6">
        <v>66.0</v>
      </c>
      <c r="E2510" s="7" t="s">
        <v>7</v>
      </c>
      <c r="F2510" s="7" t="s">
        <v>8</v>
      </c>
      <c r="G2510" s="8"/>
    </row>
    <row r="2511">
      <c r="A2511" s="4">
        <v>43550.33434590278</v>
      </c>
      <c r="B2511" s="5">
        <v>43550.6259656597</v>
      </c>
      <c r="C2511" s="6">
        <v>1.025</v>
      </c>
      <c r="D2511" s="6">
        <v>66.0</v>
      </c>
      <c r="E2511" s="7" t="s">
        <v>7</v>
      </c>
      <c r="F2511" s="7" t="s">
        <v>8</v>
      </c>
      <c r="G2511" s="8"/>
    </row>
    <row r="2512">
      <c r="A2512" s="4">
        <v>43550.344763587964</v>
      </c>
      <c r="B2512" s="5">
        <v>43550.6363986226</v>
      </c>
      <c r="C2512" s="6">
        <v>1.025</v>
      </c>
      <c r="D2512" s="6">
        <v>66.0</v>
      </c>
      <c r="E2512" s="7" t="s">
        <v>7</v>
      </c>
      <c r="F2512" s="7" t="s">
        <v>8</v>
      </c>
      <c r="G2512" s="8"/>
    </row>
    <row r="2513">
      <c r="A2513" s="4">
        <v>43550.355211030095</v>
      </c>
      <c r="B2513" s="5">
        <v>43550.6468447685</v>
      </c>
      <c r="C2513" s="6">
        <v>1.025</v>
      </c>
      <c r="D2513" s="6">
        <v>66.0</v>
      </c>
      <c r="E2513" s="7" t="s">
        <v>7</v>
      </c>
      <c r="F2513" s="7" t="s">
        <v>8</v>
      </c>
      <c r="G2513" s="8"/>
    </row>
    <row r="2514">
      <c r="A2514" s="4">
        <v>43550.365638958334</v>
      </c>
      <c r="B2514" s="5">
        <v>43550.6572669328</v>
      </c>
      <c r="C2514" s="6">
        <v>1.025</v>
      </c>
      <c r="D2514" s="6">
        <v>66.0</v>
      </c>
      <c r="E2514" s="7" t="s">
        <v>7</v>
      </c>
      <c r="F2514" s="7" t="s">
        <v>8</v>
      </c>
      <c r="G2514" s="8"/>
    </row>
    <row r="2515">
      <c r="A2515" s="4">
        <v>43550.376056354165</v>
      </c>
      <c r="B2515" s="5">
        <v>43550.6676899421</v>
      </c>
      <c r="C2515" s="6">
        <v>1.025</v>
      </c>
      <c r="D2515" s="6">
        <v>66.0</v>
      </c>
      <c r="E2515" s="7" t="s">
        <v>7</v>
      </c>
      <c r="F2515" s="7" t="s">
        <v>8</v>
      </c>
      <c r="G2515" s="8"/>
    </row>
    <row r="2516">
      <c r="A2516" s="4">
        <v>43550.38649204861</v>
      </c>
      <c r="B2516" s="5">
        <v>43550.6781220023</v>
      </c>
      <c r="C2516" s="6">
        <v>1.025</v>
      </c>
      <c r="D2516" s="6">
        <v>66.0</v>
      </c>
      <c r="E2516" s="7" t="s">
        <v>7</v>
      </c>
      <c r="F2516" s="7" t="s">
        <v>8</v>
      </c>
      <c r="G2516" s="8"/>
    </row>
    <row r="2517">
      <c r="A2517" s="4">
        <v>43550.396913958335</v>
      </c>
      <c r="B2517" s="5">
        <v>43550.6885418518</v>
      </c>
      <c r="C2517" s="6">
        <v>1.025</v>
      </c>
      <c r="D2517" s="6">
        <v>66.0</v>
      </c>
      <c r="E2517" s="7" t="s">
        <v>7</v>
      </c>
      <c r="F2517" s="7" t="s">
        <v>8</v>
      </c>
      <c r="G2517" s="8"/>
    </row>
    <row r="2518">
      <c r="A2518" s="4">
        <v>43550.407343391205</v>
      </c>
      <c r="B2518" s="5">
        <v>43550.698975324</v>
      </c>
      <c r="C2518" s="6">
        <v>1.025</v>
      </c>
      <c r="D2518" s="6">
        <v>66.0</v>
      </c>
      <c r="E2518" s="7" t="s">
        <v>7</v>
      </c>
      <c r="F2518" s="7" t="s">
        <v>8</v>
      </c>
      <c r="G2518" s="8"/>
    </row>
    <row r="2519">
      <c r="A2519" s="4">
        <v>43550.41776195602</v>
      </c>
      <c r="B2519" s="5">
        <v>43550.7093959027</v>
      </c>
      <c r="C2519" s="6">
        <v>1.025</v>
      </c>
      <c r="D2519" s="6">
        <v>66.0</v>
      </c>
      <c r="E2519" s="7" t="s">
        <v>7</v>
      </c>
      <c r="F2519" s="7" t="s">
        <v>8</v>
      </c>
      <c r="G2519" s="8"/>
    </row>
    <row r="2520">
      <c r="A2520" s="4">
        <v>43550.42820637731</v>
      </c>
      <c r="B2520" s="5">
        <v>43550.7198273495</v>
      </c>
      <c r="C2520" s="6">
        <v>1.025</v>
      </c>
      <c r="D2520" s="6">
        <v>66.0</v>
      </c>
      <c r="E2520" s="7" t="s">
        <v>7</v>
      </c>
      <c r="F2520" s="7" t="s">
        <v>8</v>
      </c>
      <c r="G2520" s="8"/>
    </row>
    <row r="2521">
      <c r="A2521" s="4">
        <v>43550.43863898148</v>
      </c>
      <c r="B2521" s="5">
        <v>43550.7302712384</v>
      </c>
      <c r="C2521" s="6">
        <v>1.025</v>
      </c>
      <c r="D2521" s="6">
        <v>66.0</v>
      </c>
      <c r="E2521" s="7" t="s">
        <v>7</v>
      </c>
      <c r="F2521" s="7" t="s">
        <v>8</v>
      </c>
      <c r="G2521" s="8"/>
    </row>
    <row r="2522">
      <c r="A2522" s="4">
        <v>43550.44907863426</v>
      </c>
      <c r="B2522" s="5">
        <v>43550.740704699</v>
      </c>
      <c r="C2522" s="6">
        <v>1.025</v>
      </c>
      <c r="D2522" s="6">
        <v>66.0</v>
      </c>
      <c r="E2522" s="7" t="s">
        <v>7</v>
      </c>
      <c r="F2522" s="7" t="s">
        <v>8</v>
      </c>
      <c r="G2522" s="8"/>
    </row>
    <row r="2523">
      <c r="A2523" s="4">
        <v>43550.4594937037</v>
      </c>
      <c r="B2523" s="5">
        <v>43550.7511255787</v>
      </c>
      <c r="C2523" s="6">
        <v>1.025</v>
      </c>
      <c r="D2523" s="6">
        <v>66.0</v>
      </c>
      <c r="E2523" s="7" t="s">
        <v>7</v>
      </c>
      <c r="F2523" s="7" t="s">
        <v>8</v>
      </c>
      <c r="G2523" s="8"/>
    </row>
    <row r="2524">
      <c r="A2524" s="4">
        <v>43550.46991435185</v>
      </c>
      <c r="B2524" s="5">
        <v>43550.7615476388</v>
      </c>
      <c r="C2524" s="6">
        <v>1.025</v>
      </c>
      <c r="D2524" s="6">
        <v>66.0</v>
      </c>
      <c r="E2524" s="7" t="s">
        <v>7</v>
      </c>
      <c r="F2524" s="7" t="s">
        <v>8</v>
      </c>
      <c r="G2524" s="8"/>
    </row>
    <row r="2525">
      <c r="A2525" s="4">
        <v>43550.48033863426</v>
      </c>
      <c r="B2525" s="5">
        <v>43550.7719682523</v>
      </c>
      <c r="C2525" s="6">
        <v>1.025</v>
      </c>
      <c r="D2525" s="6">
        <v>66.0</v>
      </c>
      <c r="E2525" s="7" t="s">
        <v>7</v>
      </c>
      <c r="F2525" s="7" t="s">
        <v>8</v>
      </c>
      <c r="G2525" s="8"/>
    </row>
    <row r="2526">
      <c r="A2526" s="4">
        <v>43550.49078030093</v>
      </c>
      <c r="B2526" s="5">
        <v>43550.782399618</v>
      </c>
      <c r="C2526" s="6">
        <v>1.025</v>
      </c>
      <c r="D2526" s="6">
        <v>66.0</v>
      </c>
      <c r="E2526" s="7" t="s">
        <v>7</v>
      </c>
      <c r="F2526" s="7" t="s">
        <v>8</v>
      </c>
      <c r="G2526" s="8"/>
    </row>
    <row r="2527">
      <c r="A2527" s="4">
        <v>43550.501195590274</v>
      </c>
      <c r="B2527" s="5">
        <v>43550.792833368</v>
      </c>
      <c r="C2527" s="6">
        <v>1.025</v>
      </c>
      <c r="D2527" s="6">
        <v>66.0</v>
      </c>
      <c r="E2527" s="7" t="s">
        <v>7</v>
      </c>
      <c r="F2527" s="7" t="s">
        <v>8</v>
      </c>
      <c r="G2527" s="8"/>
    </row>
    <row r="2528">
      <c r="A2528" s="4">
        <v>43550.511631574074</v>
      </c>
      <c r="B2528" s="5">
        <v>43550.803256956</v>
      </c>
      <c r="C2528" s="6">
        <v>1.025</v>
      </c>
      <c r="D2528" s="6">
        <v>66.0</v>
      </c>
      <c r="E2528" s="7" t="s">
        <v>7</v>
      </c>
      <c r="F2528" s="7" t="s">
        <v>8</v>
      </c>
      <c r="G2528" s="8"/>
    </row>
    <row r="2529">
      <c r="A2529" s="4">
        <v>43550.52205212963</v>
      </c>
      <c r="B2529" s="5">
        <v>43550.8136787384</v>
      </c>
      <c r="C2529" s="6">
        <v>1.025</v>
      </c>
      <c r="D2529" s="6">
        <v>66.0</v>
      </c>
      <c r="E2529" s="7" t="s">
        <v>7</v>
      </c>
      <c r="F2529" s="7" t="s">
        <v>8</v>
      </c>
      <c r="G2529" s="8"/>
    </row>
    <row r="2530">
      <c r="A2530" s="4">
        <v>43550.53249065972</v>
      </c>
      <c r="B2530" s="5">
        <v>43550.8241105555</v>
      </c>
      <c r="C2530" s="6">
        <v>1.025</v>
      </c>
      <c r="D2530" s="6">
        <v>66.0</v>
      </c>
      <c r="E2530" s="7" t="s">
        <v>7</v>
      </c>
      <c r="F2530" s="7" t="s">
        <v>8</v>
      </c>
      <c r="G2530" s="8"/>
    </row>
    <row r="2531">
      <c r="A2531" s="4">
        <v>43550.54297350695</v>
      </c>
      <c r="B2531" s="5">
        <v>43550.8345558564</v>
      </c>
      <c r="C2531" s="6">
        <v>1.025</v>
      </c>
      <c r="D2531" s="6">
        <v>66.0</v>
      </c>
      <c r="E2531" s="7" t="s">
        <v>7</v>
      </c>
      <c r="F2531" s="7" t="s">
        <v>8</v>
      </c>
      <c r="G2531" s="8"/>
    </row>
    <row r="2532">
      <c r="A2532" s="4">
        <v>43550.55333929398</v>
      </c>
      <c r="B2532" s="5">
        <v>43550.8449767013</v>
      </c>
      <c r="C2532" s="6">
        <v>1.025</v>
      </c>
      <c r="D2532" s="6">
        <v>66.0</v>
      </c>
      <c r="E2532" s="7" t="s">
        <v>7</v>
      </c>
      <c r="F2532" s="7" t="s">
        <v>8</v>
      </c>
      <c r="G2532" s="8"/>
    </row>
    <row r="2533">
      <c r="A2533" s="4">
        <v>43550.56376775463</v>
      </c>
      <c r="B2533" s="5">
        <v>43550.855397662</v>
      </c>
      <c r="C2533" s="6">
        <v>1.025</v>
      </c>
      <c r="D2533" s="6">
        <v>66.0</v>
      </c>
      <c r="E2533" s="7" t="s">
        <v>7</v>
      </c>
      <c r="F2533" s="7" t="s">
        <v>8</v>
      </c>
      <c r="G2533" s="8"/>
    </row>
    <row r="2534">
      <c r="A2534" s="4">
        <v>43550.57419233797</v>
      </c>
      <c r="B2534" s="5">
        <v>43550.8658195717</v>
      </c>
      <c r="C2534" s="6">
        <v>1.025</v>
      </c>
      <c r="D2534" s="6">
        <v>66.0</v>
      </c>
      <c r="E2534" s="7" t="s">
        <v>7</v>
      </c>
      <c r="F2534" s="7" t="s">
        <v>8</v>
      </c>
      <c r="G2534" s="8"/>
    </row>
    <row r="2535">
      <c r="A2535" s="4">
        <v>43550.58461642361</v>
      </c>
      <c r="B2535" s="5">
        <v>43550.8762509143</v>
      </c>
      <c r="C2535" s="6">
        <v>1.025</v>
      </c>
      <c r="D2535" s="6">
        <v>66.0</v>
      </c>
      <c r="E2535" s="7" t="s">
        <v>7</v>
      </c>
      <c r="F2535" s="7" t="s">
        <v>8</v>
      </c>
      <c r="G2535" s="8"/>
    </row>
    <row r="2536">
      <c r="A2536" s="4">
        <v>43550.59503311342</v>
      </c>
      <c r="B2536" s="5">
        <v>43550.8866713657</v>
      </c>
      <c r="C2536" s="6">
        <v>1.025</v>
      </c>
      <c r="D2536" s="6">
        <v>66.0</v>
      </c>
      <c r="E2536" s="7" t="s">
        <v>7</v>
      </c>
      <c r="F2536" s="7" t="s">
        <v>8</v>
      </c>
      <c r="G2536" s="8"/>
    </row>
    <row r="2537">
      <c r="A2537" s="4">
        <v>43550.605454502314</v>
      </c>
      <c r="B2537" s="5">
        <v>43550.8970917361</v>
      </c>
      <c r="C2537" s="6">
        <v>1.025</v>
      </c>
      <c r="D2537" s="6">
        <v>66.0</v>
      </c>
      <c r="E2537" s="7" t="s">
        <v>7</v>
      </c>
      <c r="F2537" s="7" t="s">
        <v>8</v>
      </c>
      <c r="G2537" s="8"/>
    </row>
    <row r="2538">
      <c r="A2538" s="4">
        <v>43550.615925509264</v>
      </c>
      <c r="B2538" s="5">
        <v>43550.9075611226</v>
      </c>
      <c r="C2538" s="6">
        <v>1.025</v>
      </c>
      <c r="D2538" s="6">
        <v>66.0</v>
      </c>
      <c r="E2538" s="7" t="s">
        <v>7</v>
      </c>
      <c r="F2538" s="7" t="s">
        <v>8</v>
      </c>
      <c r="G2538" s="8"/>
    </row>
    <row r="2539">
      <c r="A2539" s="4">
        <v>43550.62636652778</v>
      </c>
      <c r="B2539" s="5">
        <v>43550.9179946527</v>
      </c>
      <c r="C2539" s="6">
        <v>1.025</v>
      </c>
      <c r="D2539" s="6">
        <v>66.0</v>
      </c>
      <c r="E2539" s="7" t="s">
        <v>7</v>
      </c>
      <c r="F2539" s="7" t="s">
        <v>8</v>
      </c>
      <c r="G2539" s="8"/>
    </row>
    <row r="2540">
      <c r="A2540" s="4">
        <v>43550.636789502314</v>
      </c>
      <c r="B2540" s="5">
        <v>43550.9284165625</v>
      </c>
      <c r="C2540" s="6">
        <v>1.025</v>
      </c>
      <c r="D2540" s="6">
        <v>66.0</v>
      </c>
      <c r="E2540" s="7" t="s">
        <v>7</v>
      </c>
      <c r="F2540" s="7" t="s">
        <v>8</v>
      </c>
      <c r="G2540" s="8"/>
    </row>
    <row r="2541">
      <c r="A2541" s="4">
        <v>43550.647208124996</v>
      </c>
      <c r="B2541" s="5">
        <v>43550.938838206</v>
      </c>
      <c r="C2541" s="6">
        <v>1.025</v>
      </c>
      <c r="D2541" s="6">
        <v>66.0</v>
      </c>
      <c r="E2541" s="7" t="s">
        <v>7</v>
      </c>
      <c r="F2541" s="7" t="s">
        <v>8</v>
      </c>
      <c r="G2541" s="8"/>
    </row>
    <row r="2542">
      <c r="A2542" s="4">
        <v>43550.657636539356</v>
      </c>
      <c r="B2542" s="5">
        <v>43550.9492587268</v>
      </c>
      <c r="C2542" s="6">
        <v>1.025</v>
      </c>
      <c r="D2542" s="6">
        <v>66.0</v>
      </c>
      <c r="E2542" s="7" t="s">
        <v>7</v>
      </c>
      <c r="F2542" s="7" t="s">
        <v>8</v>
      </c>
      <c r="G2542" s="8"/>
    </row>
    <row r="2543">
      <c r="A2543" s="4">
        <v>43550.6680697338</v>
      </c>
      <c r="B2543" s="5">
        <v>43550.9596828819</v>
      </c>
      <c r="C2543" s="6">
        <v>1.025</v>
      </c>
      <c r="D2543" s="6">
        <v>66.0</v>
      </c>
      <c r="E2543" s="7" t="s">
        <v>7</v>
      </c>
      <c r="F2543" s="7" t="s">
        <v>8</v>
      </c>
      <c r="G2543" s="8"/>
    </row>
    <row r="2544">
      <c r="A2544" s="4">
        <v>43550.67848206019</v>
      </c>
      <c r="B2544" s="5">
        <v>43550.9701040277</v>
      </c>
      <c r="C2544" s="6">
        <v>1.025</v>
      </c>
      <c r="D2544" s="6">
        <v>66.0</v>
      </c>
      <c r="E2544" s="7" t="s">
        <v>7</v>
      </c>
      <c r="F2544" s="7" t="s">
        <v>8</v>
      </c>
      <c r="G2544" s="8"/>
    </row>
    <row r="2545">
      <c r="A2545" s="4">
        <v>43550.688892245365</v>
      </c>
      <c r="B2545" s="5">
        <v>43550.9805258449</v>
      </c>
      <c r="C2545" s="6">
        <v>1.025</v>
      </c>
      <c r="D2545" s="6">
        <v>66.0</v>
      </c>
      <c r="E2545" s="7" t="s">
        <v>7</v>
      </c>
      <c r="F2545" s="7" t="s">
        <v>8</v>
      </c>
      <c r="G2545" s="8"/>
    </row>
    <row r="2546">
      <c r="A2546" s="4">
        <v>43550.69933199074</v>
      </c>
      <c r="B2546" s="5">
        <v>43550.9909593865</v>
      </c>
      <c r="C2546" s="6">
        <v>1.025</v>
      </c>
      <c r="D2546" s="6">
        <v>66.0</v>
      </c>
      <c r="E2546" s="7" t="s">
        <v>7</v>
      </c>
      <c r="F2546" s="7" t="s">
        <v>8</v>
      </c>
      <c r="G2546" s="8"/>
    </row>
    <row r="2547">
      <c r="A2547" s="4">
        <v>43550.70975430556</v>
      </c>
      <c r="B2547" s="5">
        <v>43551.0013913425</v>
      </c>
      <c r="C2547" s="6">
        <v>1.025</v>
      </c>
      <c r="D2547" s="6">
        <v>66.0</v>
      </c>
      <c r="E2547" s="7" t="s">
        <v>7</v>
      </c>
      <c r="F2547" s="7" t="s">
        <v>8</v>
      </c>
      <c r="G2547" s="8"/>
    </row>
    <row r="2548">
      <c r="A2548" s="4">
        <v>43550.72019177083</v>
      </c>
      <c r="B2548" s="5">
        <v>43551.011823912</v>
      </c>
      <c r="C2548" s="6">
        <v>1.025</v>
      </c>
      <c r="D2548" s="6">
        <v>66.0</v>
      </c>
      <c r="E2548" s="7" t="s">
        <v>7</v>
      </c>
      <c r="F2548" s="7" t="s">
        <v>8</v>
      </c>
      <c r="G2548" s="8"/>
    </row>
    <row r="2549">
      <c r="A2549" s="4">
        <v>43550.73061421297</v>
      </c>
      <c r="B2549" s="5">
        <v>43551.022246655</v>
      </c>
      <c r="C2549" s="6">
        <v>1.025</v>
      </c>
      <c r="D2549" s="6">
        <v>66.0</v>
      </c>
      <c r="E2549" s="7" t="s">
        <v>7</v>
      </c>
      <c r="F2549" s="7" t="s">
        <v>8</v>
      </c>
      <c r="G2549" s="8"/>
    </row>
    <row r="2550">
      <c r="A2550" s="4">
        <v>43550.74104298611</v>
      </c>
      <c r="B2550" s="5">
        <v>43551.0326675115</v>
      </c>
      <c r="C2550" s="6">
        <v>1.025</v>
      </c>
      <c r="D2550" s="6">
        <v>66.0</v>
      </c>
      <c r="E2550" s="7" t="s">
        <v>7</v>
      </c>
      <c r="F2550" s="7" t="s">
        <v>8</v>
      </c>
      <c r="G2550" s="8"/>
    </row>
    <row r="2551">
      <c r="A2551" s="4">
        <v>43550.75146127315</v>
      </c>
      <c r="B2551" s="5">
        <v>43551.0431001157</v>
      </c>
      <c r="C2551" s="6">
        <v>1.025</v>
      </c>
      <c r="D2551" s="6">
        <v>66.0</v>
      </c>
      <c r="E2551" s="7" t="s">
        <v>7</v>
      </c>
      <c r="F2551" s="7" t="s">
        <v>8</v>
      </c>
      <c r="G2551" s="8"/>
    </row>
    <row r="2552">
      <c r="A2552" s="4">
        <v>43550.76188662037</v>
      </c>
      <c r="B2552" s="5">
        <v>43551.0535212384</v>
      </c>
      <c r="C2552" s="6">
        <v>1.025</v>
      </c>
      <c r="D2552" s="6">
        <v>66.0</v>
      </c>
      <c r="E2552" s="7" t="s">
        <v>7</v>
      </c>
      <c r="F2552" s="7" t="s">
        <v>8</v>
      </c>
      <c r="G2552" s="8"/>
    </row>
    <row r="2553">
      <c r="A2553" s="4">
        <v>43550.77233263889</v>
      </c>
      <c r="B2553" s="5">
        <v>43551.0639662384</v>
      </c>
      <c r="C2553" s="6">
        <v>1.025</v>
      </c>
      <c r="D2553" s="6">
        <v>66.0</v>
      </c>
      <c r="E2553" s="7" t="s">
        <v>7</v>
      </c>
      <c r="F2553" s="7" t="s">
        <v>8</v>
      </c>
      <c r="G2553" s="8"/>
    </row>
    <row r="2554">
      <c r="A2554" s="4">
        <v>43550.78275590278</v>
      </c>
      <c r="B2554" s="5">
        <v>43551.0743865393</v>
      </c>
      <c r="C2554" s="6">
        <v>1.025</v>
      </c>
      <c r="D2554" s="6">
        <v>66.0</v>
      </c>
      <c r="E2554" s="7" t="s">
        <v>7</v>
      </c>
      <c r="F2554" s="7" t="s">
        <v>8</v>
      </c>
      <c r="G2554" s="8"/>
    </row>
    <row r="2555">
      <c r="A2555" s="4">
        <v>43550.79317446759</v>
      </c>
      <c r="B2555" s="5">
        <v>43551.0848089236</v>
      </c>
      <c r="C2555" s="6">
        <v>1.025</v>
      </c>
      <c r="D2555" s="6">
        <v>66.0</v>
      </c>
      <c r="E2555" s="7" t="s">
        <v>7</v>
      </c>
      <c r="F2555" s="7" t="s">
        <v>8</v>
      </c>
      <c r="G2555" s="8"/>
    </row>
    <row r="2556">
      <c r="A2556" s="4">
        <v>43550.8035981713</v>
      </c>
      <c r="B2556" s="5">
        <v>43551.095230868</v>
      </c>
      <c r="C2556" s="6">
        <v>1.025</v>
      </c>
      <c r="D2556" s="6">
        <v>66.0</v>
      </c>
      <c r="E2556" s="7" t="s">
        <v>7</v>
      </c>
      <c r="F2556" s="7" t="s">
        <v>8</v>
      </c>
      <c r="G2556" s="8"/>
    </row>
    <row r="2557">
      <c r="A2557" s="4">
        <v>43550.814014143514</v>
      </c>
      <c r="B2557" s="5">
        <v>43551.1056509606</v>
      </c>
      <c r="C2557" s="6">
        <v>1.025</v>
      </c>
      <c r="D2557" s="6">
        <v>66.0</v>
      </c>
      <c r="E2557" s="7" t="s">
        <v>7</v>
      </c>
      <c r="F2557" s="7" t="s">
        <v>8</v>
      </c>
      <c r="G2557" s="8"/>
    </row>
    <row r="2558">
      <c r="A2558" s="4">
        <v>43550.82443504629</v>
      </c>
      <c r="B2558" s="5">
        <v>43551.116072118</v>
      </c>
      <c r="C2558" s="6">
        <v>1.025</v>
      </c>
      <c r="D2558" s="6">
        <v>66.0</v>
      </c>
      <c r="E2558" s="7" t="s">
        <v>7</v>
      </c>
      <c r="F2558" s="7" t="s">
        <v>8</v>
      </c>
      <c r="G2558" s="8"/>
    </row>
    <row r="2559">
      <c r="A2559" s="4">
        <v>43550.834851377316</v>
      </c>
      <c r="B2559" s="5">
        <v>43551.1264939004</v>
      </c>
      <c r="C2559" s="6">
        <v>1.025</v>
      </c>
      <c r="D2559" s="6">
        <v>66.0</v>
      </c>
      <c r="E2559" s="7" t="s">
        <v>7</v>
      </c>
      <c r="F2559" s="7" t="s">
        <v>8</v>
      </c>
      <c r="G2559" s="8"/>
    </row>
    <row r="2560">
      <c r="A2560" s="4">
        <v>43550.84529332176</v>
      </c>
      <c r="B2560" s="5">
        <v>43551.1369268865</v>
      </c>
      <c r="C2560" s="6">
        <v>1.025</v>
      </c>
      <c r="D2560" s="6">
        <v>66.0</v>
      </c>
      <c r="E2560" s="7" t="s">
        <v>7</v>
      </c>
      <c r="F2560" s="7" t="s">
        <v>8</v>
      </c>
      <c r="G2560" s="8"/>
    </row>
    <row r="2561">
      <c r="A2561" s="4">
        <v>43550.855732627315</v>
      </c>
      <c r="B2561" s="5">
        <v>43551.1473585763</v>
      </c>
      <c r="C2561" s="6">
        <v>1.025</v>
      </c>
      <c r="D2561" s="6">
        <v>66.0</v>
      </c>
      <c r="E2561" s="7" t="s">
        <v>7</v>
      </c>
      <c r="F2561" s="7" t="s">
        <v>8</v>
      </c>
      <c r="G2561" s="8"/>
    </row>
    <row r="2562">
      <c r="A2562" s="4">
        <v>43550.86614319445</v>
      </c>
      <c r="B2562" s="5">
        <v>43551.157780324</v>
      </c>
      <c r="C2562" s="6">
        <v>1.025</v>
      </c>
      <c r="D2562" s="6">
        <v>66.0</v>
      </c>
      <c r="E2562" s="7" t="s">
        <v>7</v>
      </c>
      <c r="F2562" s="7" t="s">
        <v>8</v>
      </c>
      <c r="G2562" s="8"/>
    </row>
    <row r="2563">
      <c r="A2563" s="4">
        <v>43550.8766021412</v>
      </c>
      <c r="B2563" s="5">
        <v>43551.1682356597</v>
      </c>
      <c r="C2563" s="6">
        <v>1.025</v>
      </c>
      <c r="D2563" s="6">
        <v>66.0</v>
      </c>
      <c r="E2563" s="7" t="s">
        <v>7</v>
      </c>
      <c r="F2563" s="7" t="s">
        <v>8</v>
      </c>
      <c r="G2563" s="8"/>
    </row>
    <row r="2564">
      <c r="A2564" s="4">
        <v>43550.88704248842</v>
      </c>
      <c r="B2564" s="5">
        <v>43551.1786791551</v>
      </c>
      <c r="C2564" s="6">
        <v>1.025</v>
      </c>
      <c r="D2564" s="6">
        <v>66.0</v>
      </c>
      <c r="E2564" s="7" t="s">
        <v>7</v>
      </c>
      <c r="F2564" s="7" t="s">
        <v>8</v>
      </c>
      <c r="G2564" s="8"/>
    </row>
    <row r="2565">
      <c r="A2565" s="4">
        <v>43550.89747513889</v>
      </c>
      <c r="B2565" s="5">
        <v>43551.1891118055</v>
      </c>
      <c r="C2565" s="6">
        <v>1.025</v>
      </c>
      <c r="D2565" s="6">
        <v>66.0</v>
      </c>
      <c r="E2565" s="7" t="s">
        <v>7</v>
      </c>
      <c r="F2565" s="7" t="s">
        <v>8</v>
      </c>
      <c r="G2565" s="8"/>
    </row>
    <row r="2566">
      <c r="A2566" s="4">
        <v>43550.90790092593</v>
      </c>
      <c r="B2566" s="5">
        <v>43551.1995427199</v>
      </c>
      <c r="C2566" s="6">
        <v>1.025</v>
      </c>
      <c r="D2566" s="6">
        <v>66.0</v>
      </c>
      <c r="E2566" s="7" t="s">
        <v>7</v>
      </c>
      <c r="F2566" s="7" t="s">
        <v>8</v>
      </c>
      <c r="G2566" s="8"/>
    </row>
    <row r="2567">
      <c r="A2567" s="4">
        <v>43550.91832462963</v>
      </c>
      <c r="B2567" s="5">
        <v>43551.209965081</v>
      </c>
      <c r="C2567" s="6">
        <v>1.025</v>
      </c>
      <c r="D2567" s="6">
        <v>66.0</v>
      </c>
      <c r="E2567" s="7" t="s">
        <v>7</v>
      </c>
      <c r="F2567" s="7" t="s">
        <v>8</v>
      </c>
      <c r="G2567" s="8"/>
    </row>
    <row r="2568">
      <c r="A2568" s="4">
        <v>43550.92875436343</v>
      </c>
      <c r="B2568" s="5">
        <v>43551.2203885879</v>
      </c>
      <c r="C2568" s="6">
        <v>1.025</v>
      </c>
      <c r="D2568" s="6">
        <v>66.0</v>
      </c>
      <c r="E2568" s="7" t="s">
        <v>7</v>
      </c>
      <c r="F2568" s="7" t="s">
        <v>8</v>
      </c>
      <c r="G2568" s="8"/>
    </row>
    <row r="2569">
      <c r="A2569" s="4">
        <v>43550.93920083334</v>
      </c>
      <c r="B2569" s="5">
        <v>43551.230821493</v>
      </c>
      <c r="C2569" s="6">
        <v>1.025</v>
      </c>
      <c r="D2569" s="6">
        <v>66.0</v>
      </c>
      <c r="E2569" s="7" t="s">
        <v>7</v>
      </c>
      <c r="F2569" s="7" t="s">
        <v>8</v>
      </c>
      <c r="G2569" s="8"/>
    </row>
    <row r="2570">
      <c r="A2570" s="4">
        <v>43550.94966017361</v>
      </c>
      <c r="B2570" s="5">
        <v>43551.2412437384</v>
      </c>
      <c r="C2570" s="6">
        <v>1.025</v>
      </c>
      <c r="D2570" s="6">
        <v>66.0</v>
      </c>
      <c r="E2570" s="7" t="s">
        <v>7</v>
      </c>
      <c r="F2570" s="7" t="s">
        <v>8</v>
      </c>
      <c r="G2570" s="8"/>
    </row>
    <row r="2571">
      <c r="A2571" s="4">
        <v>43550.9600366088</v>
      </c>
      <c r="B2571" s="5">
        <v>43551.2516650462</v>
      </c>
      <c r="C2571" s="6">
        <v>1.025</v>
      </c>
      <c r="D2571" s="6">
        <v>66.0</v>
      </c>
      <c r="E2571" s="7" t="s">
        <v>7</v>
      </c>
      <c r="F2571" s="7" t="s">
        <v>8</v>
      </c>
      <c r="G2571" s="8"/>
    </row>
    <row r="2572">
      <c r="A2572" s="4">
        <v>43550.970456875</v>
      </c>
      <c r="B2572" s="5">
        <v>43551.2620977083</v>
      </c>
      <c r="C2572" s="6">
        <v>1.025</v>
      </c>
      <c r="D2572" s="6">
        <v>66.0</v>
      </c>
      <c r="E2572" s="7" t="s">
        <v>7</v>
      </c>
      <c r="F2572" s="7" t="s">
        <v>8</v>
      </c>
      <c r="G2572" s="8"/>
    </row>
    <row r="2573">
      <c r="A2573" s="4">
        <v>43550.98087803241</v>
      </c>
      <c r="B2573" s="5">
        <v>43551.2725179282</v>
      </c>
      <c r="C2573" s="6">
        <v>1.025</v>
      </c>
      <c r="D2573" s="6">
        <v>66.0</v>
      </c>
      <c r="E2573" s="7" t="s">
        <v>7</v>
      </c>
      <c r="F2573" s="7" t="s">
        <v>8</v>
      </c>
      <c r="G2573" s="8"/>
    </row>
    <row r="2574">
      <c r="A2574" s="4">
        <v>43550.99130541667</v>
      </c>
      <c r="B2574" s="5">
        <v>43551.2829388078</v>
      </c>
      <c r="C2574" s="6">
        <v>1.025</v>
      </c>
      <c r="D2574" s="6">
        <v>66.0</v>
      </c>
      <c r="E2574" s="7" t="s">
        <v>7</v>
      </c>
      <c r="F2574" s="7" t="s">
        <v>8</v>
      </c>
      <c r="G2574" s="8"/>
    </row>
    <row r="2575">
      <c r="A2575" s="4">
        <v>43551.0017490162</v>
      </c>
      <c r="B2575" s="5">
        <v>43551.2933820601</v>
      </c>
      <c r="C2575" s="6">
        <v>1.025</v>
      </c>
      <c r="D2575" s="6">
        <v>66.0</v>
      </c>
      <c r="E2575" s="7" t="s">
        <v>7</v>
      </c>
      <c r="F2575" s="7" t="s">
        <v>8</v>
      </c>
      <c r="G2575" s="8"/>
    </row>
    <row r="2576">
      <c r="A2576" s="4">
        <v>43551.012177337965</v>
      </c>
      <c r="B2576" s="5">
        <v>43551.3038138078</v>
      </c>
      <c r="C2576" s="6">
        <v>1.025</v>
      </c>
      <c r="D2576" s="6">
        <v>66.0</v>
      </c>
      <c r="E2576" s="7" t="s">
        <v>7</v>
      </c>
      <c r="F2576" s="7" t="s">
        <v>8</v>
      </c>
      <c r="G2576" s="8"/>
    </row>
    <row r="2577">
      <c r="A2577" s="4">
        <v>43551.02261223379</v>
      </c>
      <c r="B2577" s="5">
        <v>43551.3142464351</v>
      </c>
      <c r="C2577" s="6">
        <v>1.025</v>
      </c>
      <c r="D2577" s="6">
        <v>66.0</v>
      </c>
      <c r="E2577" s="7" t="s">
        <v>7</v>
      </c>
      <c r="F2577" s="7" t="s">
        <v>8</v>
      </c>
      <c r="G2577" s="8"/>
    </row>
    <row r="2578">
      <c r="A2578" s="4">
        <v>43551.03304155092</v>
      </c>
      <c r="B2578" s="5">
        <v>43551.324680162</v>
      </c>
      <c r="C2578" s="6">
        <v>1.025</v>
      </c>
      <c r="D2578" s="6">
        <v>66.0</v>
      </c>
      <c r="E2578" s="7" t="s">
        <v>7</v>
      </c>
      <c r="F2578" s="7" t="s">
        <v>8</v>
      </c>
      <c r="G2578" s="8"/>
    </row>
    <row r="2579">
      <c r="A2579" s="4">
        <v>43551.04348344907</v>
      </c>
      <c r="B2579" s="5">
        <v>43551.335114375</v>
      </c>
      <c r="C2579" s="6">
        <v>1.025</v>
      </c>
      <c r="D2579" s="6">
        <v>66.0</v>
      </c>
      <c r="E2579" s="7" t="s">
        <v>7</v>
      </c>
      <c r="F2579" s="7" t="s">
        <v>8</v>
      </c>
      <c r="G2579" s="8"/>
    </row>
    <row r="2580">
      <c r="A2580" s="4">
        <v>43551.05390983797</v>
      </c>
      <c r="B2580" s="5">
        <v>43551.3455472337</v>
      </c>
      <c r="C2580" s="6">
        <v>1.025</v>
      </c>
      <c r="D2580" s="6">
        <v>66.0</v>
      </c>
      <c r="E2580" s="7" t="s">
        <v>7</v>
      </c>
      <c r="F2580" s="7" t="s">
        <v>8</v>
      </c>
      <c r="G2580" s="8"/>
    </row>
    <row r="2581">
      <c r="A2581" s="4">
        <v>43551.06436798611</v>
      </c>
      <c r="B2581" s="5">
        <v>43551.3560015162</v>
      </c>
      <c r="C2581" s="6">
        <v>1.025</v>
      </c>
      <c r="D2581" s="6">
        <v>66.0</v>
      </c>
      <c r="E2581" s="7" t="s">
        <v>7</v>
      </c>
      <c r="F2581" s="7" t="s">
        <v>8</v>
      </c>
      <c r="G2581" s="8"/>
    </row>
    <row r="2582">
      <c r="A2582" s="4">
        <v>43551.07479241898</v>
      </c>
      <c r="B2582" s="5">
        <v>43551.3664353125</v>
      </c>
      <c r="C2582" s="6">
        <v>1.025</v>
      </c>
      <c r="D2582" s="6">
        <v>66.0</v>
      </c>
      <c r="E2582" s="7" t="s">
        <v>7</v>
      </c>
      <c r="F2582" s="7" t="s">
        <v>8</v>
      </c>
      <c r="G2582" s="8"/>
    </row>
    <row r="2583">
      <c r="A2583" s="4">
        <v>43551.08521503472</v>
      </c>
      <c r="B2583" s="5">
        <v>43551.3768578935</v>
      </c>
      <c r="C2583" s="6">
        <v>1.025</v>
      </c>
      <c r="D2583" s="6">
        <v>66.0</v>
      </c>
      <c r="E2583" s="7" t="s">
        <v>7</v>
      </c>
      <c r="F2583" s="7" t="s">
        <v>8</v>
      </c>
      <c r="G2583" s="8"/>
    </row>
    <row r="2584">
      <c r="A2584" s="4">
        <v>43551.095656006946</v>
      </c>
      <c r="B2584" s="5">
        <v>43551.387290243</v>
      </c>
      <c r="C2584" s="6">
        <v>1.025</v>
      </c>
      <c r="D2584" s="6">
        <v>66.0</v>
      </c>
      <c r="E2584" s="7" t="s">
        <v>7</v>
      </c>
      <c r="F2584" s="7" t="s">
        <v>8</v>
      </c>
      <c r="G2584" s="8"/>
    </row>
    <row r="2585">
      <c r="A2585" s="4">
        <v>43551.10608828704</v>
      </c>
      <c r="B2585" s="5">
        <v>43551.3977232176</v>
      </c>
      <c r="C2585" s="6">
        <v>1.025</v>
      </c>
      <c r="D2585" s="6">
        <v>66.0</v>
      </c>
      <c r="E2585" s="7" t="s">
        <v>7</v>
      </c>
      <c r="F2585" s="7" t="s">
        <v>8</v>
      </c>
      <c r="G2585" s="8"/>
    </row>
    <row r="2586">
      <c r="A2586" s="4">
        <v>43551.11650949074</v>
      </c>
      <c r="B2586" s="5">
        <v>43551.4081437037</v>
      </c>
      <c r="C2586" s="6">
        <v>1.024</v>
      </c>
      <c r="D2586" s="6">
        <v>66.0</v>
      </c>
      <c r="E2586" s="7" t="s">
        <v>7</v>
      </c>
      <c r="F2586" s="7" t="s">
        <v>8</v>
      </c>
      <c r="G2586" s="8"/>
    </row>
    <row r="2587">
      <c r="A2587" s="4">
        <v>43551.126931666666</v>
      </c>
      <c r="B2587" s="5">
        <v>43551.418565081</v>
      </c>
      <c r="C2587" s="6">
        <v>1.025</v>
      </c>
      <c r="D2587" s="6">
        <v>66.0</v>
      </c>
      <c r="E2587" s="7" t="s">
        <v>7</v>
      </c>
      <c r="F2587" s="7" t="s">
        <v>8</v>
      </c>
      <c r="G2587" s="8"/>
    </row>
    <row r="2588">
      <c r="A2588" s="4">
        <v>43551.13734505787</v>
      </c>
      <c r="B2588" s="5">
        <v>43551.4289859375</v>
      </c>
      <c r="C2588" s="6">
        <v>1.025</v>
      </c>
      <c r="D2588" s="6">
        <v>65.0</v>
      </c>
      <c r="E2588" s="7" t="s">
        <v>7</v>
      </c>
      <c r="F2588" s="7" t="s">
        <v>8</v>
      </c>
      <c r="G2588" s="8"/>
    </row>
    <row r="2589">
      <c r="A2589" s="4">
        <v>43551.14778396991</v>
      </c>
      <c r="B2589" s="5">
        <v>43551.4394193981</v>
      </c>
      <c r="C2589" s="6">
        <v>1.025</v>
      </c>
      <c r="D2589" s="6">
        <v>65.0</v>
      </c>
      <c r="E2589" s="7" t="s">
        <v>7</v>
      </c>
      <c r="F2589" s="7" t="s">
        <v>8</v>
      </c>
      <c r="G2589" s="8"/>
    </row>
    <row r="2590">
      <c r="A2590" s="4">
        <v>43551.158221377314</v>
      </c>
      <c r="B2590" s="5">
        <v>43551.4498532986</v>
      </c>
      <c r="C2590" s="6">
        <v>1.024</v>
      </c>
      <c r="D2590" s="6">
        <v>66.0</v>
      </c>
      <c r="E2590" s="7" t="s">
        <v>7</v>
      </c>
      <c r="F2590" s="7" t="s">
        <v>8</v>
      </c>
      <c r="G2590" s="8"/>
    </row>
    <row r="2591">
      <c r="A2591" s="4">
        <v>43551.1686334838</v>
      </c>
      <c r="B2591" s="5">
        <v>43551.4602735648</v>
      </c>
      <c r="C2591" s="6">
        <v>1.025</v>
      </c>
      <c r="D2591" s="6">
        <v>66.0</v>
      </c>
      <c r="E2591" s="7" t="s">
        <v>7</v>
      </c>
      <c r="F2591" s="7" t="s">
        <v>8</v>
      </c>
      <c r="G2591" s="8"/>
    </row>
    <row r="2592">
      <c r="A2592" s="4">
        <v>43551.17905980324</v>
      </c>
      <c r="B2592" s="5">
        <v>43551.470695162</v>
      </c>
      <c r="C2592" s="6">
        <v>1.025</v>
      </c>
      <c r="D2592" s="6">
        <v>66.0</v>
      </c>
      <c r="E2592" s="7" t="s">
        <v>7</v>
      </c>
      <c r="F2592" s="7" t="s">
        <v>8</v>
      </c>
      <c r="G2592" s="8"/>
    </row>
    <row r="2593">
      <c r="A2593" s="4">
        <v>43551.189493032405</v>
      </c>
      <c r="B2593" s="5">
        <v>43551.4811173726</v>
      </c>
      <c r="C2593" s="6">
        <v>1.024</v>
      </c>
      <c r="D2593" s="6">
        <v>66.0</v>
      </c>
      <c r="E2593" s="7" t="s">
        <v>7</v>
      </c>
      <c r="F2593" s="7" t="s">
        <v>8</v>
      </c>
      <c r="G2593" s="8"/>
    </row>
    <row r="2594">
      <c r="A2594" s="4">
        <v>43551.199897060185</v>
      </c>
      <c r="B2594" s="5">
        <v>43551.4915378588</v>
      </c>
      <c r="C2594" s="6">
        <v>1.025</v>
      </c>
      <c r="D2594" s="6">
        <v>66.0</v>
      </c>
      <c r="E2594" s="7" t="s">
        <v>7</v>
      </c>
      <c r="F2594" s="7" t="s">
        <v>8</v>
      </c>
      <c r="G2594" s="8"/>
    </row>
    <row r="2595">
      <c r="A2595" s="4">
        <v>43551.2103375</v>
      </c>
      <c r="B2595" s="5">
        <v>43551.5019727199</v>
      </c>
      <c r="C2595" s="6">
        <v>1.024</v>
      </c>
      <c r="D2595" s="6">
        <v>66.0</v>
      </c>
      <c r="E2595" s="7" t="s">
        <v>7</v>
      </c>
      <c r="F2595" s="7" t="s">
        <v>8</v>
      </c>
      <c r="G2595" s="8"/>
    </row>
    <row r="2596">
      <c r="A2596" s="4">
        <v>43551.220761296296</v>
      </c>
      <c r="B2596" s="5">
        <v>43551.512395081</v>
      </c>
      <c r="C2596" s="6">
        <v>1.025</v>
      </c>
      <c r="D2596" s="6">
        <v>66.0</v>
      </c>
      <c r="E2596" s="7" t="s">
        <v>7</v>
      </c>
      <c r="F2596" s="7" t="s">
        <v>8</v>
      </c>
      <c r="G2596" s="8"/>
    </row>
    <row r="2597">
      <c r="A2597" s="4">
        <v>43551.23118229167</v>
      </c>
      <c r="B2597" s="5">
        <v>43551.5228170254</v>
      </c>
      <c r="C2597" s="6">
        <v>1.025</v>
      </c>
      <c r="D2597" s="6">
        <v>66.0</v>
      </c>
      <c r="E2597" s="7" t="s">
        <v>7</v>
      </c>
      <c r="F2597" s="7" t="s">
        <v>8</v>
      </c>
      <c r="G2597" s="8"/>
    </row>
    <row r="2598">
      <c r="A2598" s="4">
        <v>43551.24161190972</v>
      </c>
      <c r="B2598" s="5">
        <v>43551.5332508449</v>
      </c>
      <c r="C2598" s="6">
        <v>1.024</v>
      </c>
      <c r="D2598" s="6">
        <v>66.0</v>
      </c>
      <c r="E2598" s="7" t="s">
        <v>7</v>
      </c>
      <c r="F2598" s="7" t="s">
        <v>8</v>
      </c>
      <c r="G2598" s="8"/>
    </row>
    <row r="2599">
      <c r="A2599" s="4">
        <v>43551.252051006944</v>
      </c>
      <c r="B2599" s="5">
        <v>43551.54368375</v>
      </c>
      <c r="C2599" s="6">
        <v>1.024</v>
      </c>
      <c r="D2599" s="6">
        <v>66.0</v>
      </c>
      <c r="E2599" s="7" t="s">
        <v>7</v>
      </c>
      <c r="F2599" s="7" t="s">
        <v>8</v>
      </c>
      <c r="G2599" s="8"/>
    </row>
    <row r="2600">
      <c r="A2600" s="4">
        <v>43551.26247747685</v>
      </c>
      <c r="B2600" s="5">
        <v>43551.5541068287</v>
      </c>
      <c r="C2600" s="6">
        <v>1.024</v>
      </c>
      <c r="D2600" s="6">
        <v>66.0</v>
      </c>
      <c r="E2600" s="7" t="s">
        <v>7</v>
      </c>
      <c r="F2600" s="7" t="s">
        <v>8</v>
      </c>
      <c r="G2600" s="8"/>
    </row>
    <row r="2601">
      <c r="A2601" s="4">
        <v>43551.27290490741</v>
      </c>
      <c r="B2601" s="5">
        <v>43551.5645403703</v>
      </c>
      <c r="C2601" s="6">
        <v>1.024</v>
      </c>
      <c r="D2601" s="6">
        <v>66.0</v>
      </c>
      <c r="E2601" s="7" t="s">
        <v>7</v>
      </c>
      <c r="F2601" s="7" t="s">
        <v>8</v>
      </c>
      <c r="G2601" s="8"/>
    </row>
    <row r="2602">
      <c r="A2602" s="4">
        <v>43551.28333006945</v>
      </c>
      <c r="B2602" s="5">
        <v>43551.5749613194</v>
      </c>
      <c r="C2602" s="6">
        <v>1.025</v>
      </c>
      <c r="D2602" s="6">
        <v>66.0</v>
      </c>
      <c r="E2602" s="7" t="s">
        <v>7</v>
      </c>
      <c r="F2602" s="7" t="s">
        <v>8</v>
      </c>
      <c r="G2602" s="8"/>
    </row>
    <row r="2603">
      <c r="A2603" s="4">
        <v>43551.29374415509</v>
      </c>
      <c r="B2603" s="5">
        <v>43551.5853820138</v>
      </c>
      <c r="C2603" s="6">
        <v>1.024</v>
      </c>
      <c r="D2603" s="6">
        <v>66.0</v>
      </c>
      <c r="E2603" s="7" t="s">
        <v>7</v>
      </c>
      <c r="F2603" s="7" t="s">
        <v>8</v>
      </c>
      <c r="G2603" s="8"/>
    </row>
    <row r="2604">
      <c r="A2604" s="4">
        <v>43551.304173125</v>
      </c>
      <c r="B2604" s="5">
        <v>43551.5958049768</v>
      </c>
      <c r="C2604" s="6">
        <v>1.025</v>
      </c>
      <c r="D2604" s="6">
        <v>66.0</v>
      </c>
      <c r="E2604" s="7" t="s">
        <v>7</v>
      </c>
      <c r="F2604" s="7" t="s">
        <v>8</v>
      </c>
      <c r="G2604" s="8"/>
    </row>
    <row r="2605">
      <c r="A2605" s="4">
        <v>43551.314602604165</v>
      </c>
      <c r="B2605" s="5">
        <v>43551.6062267129</v>
      </c>
      <c r="C2605" s="6">
        <v>1.024</v>
      </c>
      <c r="D2605" s="6">
        <v>66.0</v>
      </c>
      <c r="E2605" s="7" t="s">
        <v>7</v>
      </c>
      <c r="F2605" s="7" t="s">
        <v>8</v>
      </c>
      <c r="G2605" s="8"/>
    </row>
    <row r="2606">
      <c r="A2606" s="4">
        <v>43551.325029988424</v>
      </c>
      <c r="B2606" s="5">
        <v>43551.6166582754</v>
      </c>
      <c r="C2606" s="6">
        <v>1.024</v>
      </c>
      <c r="D2606" s="6">
        <v>66.0</v>
      </c>
      <c r="E2606" s="7" t="s">
        <v>7</v>
      </c>
      <c r="F2606" s="7" t="s">
        <v>8</v>
      </c>
      <c r="G2606" s="8"/>
    </row>
    <row r="2607">
      <c r="A2607" s="4">
        <v>43551.3354471875</v>
      </c>
      <c r="B2607" s="5">
        <v>43551.6270807986</v>
      </c>
      <c r="C2607" s="6">
        <v>1.024</v>
      </c>
      <c r="D2607" s="6">
        <v>66.0</v>
      </c>
      <c r="E2607" s="7" t="s">
        <v>7</v>
      </c>
      <c r="F2607" s="7" t="s">
        <v>8</v>
      </c>
      <c r="G2607" s="8"/>
    </row>
    <row r="2608">
      <c r="A2608" s="4">
        <v>43551.34589033565</v>
      </c>
      <c r="B2608" s="5">
        <v>43551.6375246064</v>
      </c>
      <c r="C2608" s="6">
        <v>1.024</v>
      </c>
      <c r="D2608" s="6">
        <v>66.0</v>
      </c>
      <c r="E2608" s="7" t="s">
        <v>7</v>
      </c>
      <c r="F2608" s="7" t="s">
        <v>8</v>
      </c>
      <c r="G2608" s="8"/>
    </row>
    <row r="2609">
      <c r="A2609" s="4">
        <v>43551.356332118055</v>
      </c>
      <c r="B2609" s="5">
        <v>43551.6479574305</v>
      </c>
      <c r="C2609" s="6">
        <v>1.024</v>
      </c>
      <c r="D2609" s="6">
        <v>66.0</v>
      </c>
      <c r="E2609" s="7" t="s">
        <v>7</v>
      </c>
      <c r="F2609" s="7" t="s">
        <v>8</v>
      </c>
      <c r="G2609" s="8"/>
    </row>
    <row r="2610">
      <c r="A2610" s="4">
        <v>43551.36674211806</v>
      </c>
      <c r="B2610" s="5">
        <v>43551.6583782291</v>
      </c>
      <c r="C2610" s="6">
        <v>1.024</v>
      </c>
      <c r="D2610" s="6">
        <v>66.0</v>
      </c>
      <c r="E2610" s="7" t="s">
        <v>7</v>
      </c>
      <c r="F2610" s="7" t="s">
        <v>8</v>
      </c>
      <c r="G2610" s="8"/>
    </row>
    <row r="2611">
      <c r="A2611" s="4">
        <v>43551.3771719213</v>
      </c>
      <c r="B2611" s="5">
        <v>43551.6688107754</v>
      </c>
      <c r="C2611" s="6">
        <v>1.024</v>
      </c>
      <c r="D2611" s="6">
        <v>66.0</v>
      </c>
      <c r="E2611" s="7" t="s">
        <v>7</v>
      </c>
      <c r="F2611" s="7" t="s">
        <v>8</v>
      </c>
      <c r="G2611" s="8"/>
    </row>
    <row r="2612">
      <c r="A2612" s="4">
        <v>43551.38759804398</v>
      </c>
      <c r="B2612" s="5">
        <v>43551.6792316087</v>
      </c>
      <c r="C2612" s="6">
        <v>1.024</v>
      </c>
      <c r="D2612" s="6">
        <v>66.0</v>
      </c>
      <c r="E2612" s="7" t="s">
        <v>7</v>
      </c>
      <c r="F2612" s="7" t="s">
        <v>8</v>
      </c>
      <c r="G2612" s="8"/>
    </row>
    <row r="2613">
      <c r="A2613" s="4">
        <v>43551.398012986116</v>
      </c>
      <c r="B2613" s="5">
        <v>43551.6896518402</v>
      </c>
      <c r="C2613" s="6">
        <v>1.024</v>
      </c>
      <c r="D2613" s="6">
        <v>66.0</v>
      </c>
      <c r="E2613" s="7" t="s">
        <v>7</v>
      </c>
      <c r="F2613" s="7" t="s">
        <v>8</v>
      </c>
      <c r="G2613" s="8"/>
    </row>
    <row r="2614">
      <c r="A2614" s="4">
        <v>43551.40844370371</v>
      </c>
      <c r="B2614" s="5">
        <v>43551.7000734027</v>
      </c>
      <c r="C2614" s="6">
        <v>1.024</v>
      </c>
      <c r="D2614" s="6">
        <v>66.0</v>
      </c>
      <c r="E2614" s="7" t="s">
        <v>7</v>
      </c>
      <c r="F2614" s="7" t="s">
        <v>8</v>
      </c>
      <c r="G2614" s="8"/>
    </row>
    <row r="2615">
      <c r="A2615" s="4">
        <v>43551.41887130787</v>
      </c>
      <c r="B2615" s="5">
        <v>43551.7104939583</v>
      </c>
      <c r="C2615" s="6">
        <v>1.024</v>
      </c>
      <c r="D2615" s="6">
        <v>66.0</v>
      </c>
      <c r="E2615" s="7" t="s">
        <v>7</v>
      </c>
      <c r="F2615" s="7" t="s">
        <v>8</v>
      </c>
      <c r="G2615" s="8"/>
    </row>
    <row r="2616">
      <c r="A2616" s="4">
        <v>43551.429342187505</v>
      </c>
      <c r="B2616" s="5">
        <v>43551.7209738425</v>
      </c>
      <c r="C2616" s="6">
        <v>1.024</v>
      </c>
      <c r="D2616" s="6">
        <v>66.0</v>
      </c>
      <c r="E2616" s="7" t="s">
        <v>7</v>
      </c>
      <c r="F2616" s="7" t="s">
        <v>8</v>
      </c>
      <c r="G2616" s="8"/>
    </row>
    <row r="2617">
      <c r="A2617" s="4">
        <v>43551.43978649305</v>
      </c>
      <c r="B2617" s="5">
        <v>43551.7314173958</v>
      </c>
      <c r="C2617" s="6">
        <v>1.024</v>
      </c>
      <c r="D2617" s="6">
        <v>66.0</v>
      </c>
      <c r="E2617" s="7" t="s">
        <v>7</v>
      </c>
      <c r="F2617" s="7" t="s">
        <v>8</v>
      </c>
      <c r="G2617" s="8"/>
    </row>
    <row r="2618">
      <c r="A2618" s="4">
        <v>43551.45020230324</v>
      </c>
      <c r="B2618" s="5">
        <v>43551.7418387963</v>
      </c>
      <c r="C2618" s="6">
        <v>1.024</v>
      </c>
      <c r="D2618" s="6">
        <v>66.0</v>
      </c>
      <c r="E2618" s="7" t="s">
        <v>7</v>
      </c>
      <c r="F2618" s="7" t="s">
        <v>8</v>
      </c>
      <c r="G2618" s="8"/>
    </row>
    <row r="2619">
      <c r="A2619" s="4">
        <v>43551.460630960646</v>
      </c>
      <c r="B2619" s="5">
        <v>43551.7522590277</v>
      </c>
      <c r="C2619" s="6">
        <v>1.024</v>
      </c>
      <c r="D2619" s="6">
        <v>66.0</v>
      </c>
      <c r="E2619" s="7" t="s">
        <v>7</v>
      </c>
      <c r="F2619" s="7" t="s">
        <v>8</v>
      </c>
      <c r="G2619" s="8"/>
    </row>
    <row r="2620">
      <c r="A2620" s="4">
        <v>43551.47105890047</v>
      </c>
      <c r="B2620" s="5">
        <v>43551.762692118</v>
      </c>
      <c r="C2620" s="6">
        <v>1.024</v>
      </c>
      <c r="D2620" s="6">
        <v>66.0</v>
      </c>
      <c r="E2620" s="7" t="s">
        <v>7</v>
      </c>
      <c r="F2620" s="7" t="s">
        <v>8</v>
      </c>
      <c r="G2620" s="8"/>
    </row>
    <row r="2621">
      <c r="A2621" s="4">
        <v>43551.48148293982</v>
      </c>
      <c r="B2621" s="5">
        <v>43551.7731125578</v>
      </c>
      <c r="C2621" s="6">
        <v>1.024</v>
      </c>
      <c r="D2621" s="6">
        <v>66.0</v>
      </c>
      <c r="E2621" s="7" t="s">
        <v>7</v>
      </c>
      <c r="F2621" s="7" t="s">
        <v>8</v>
      </c>
      <c r="G2621" s="8"/>
    </row>
    <row r="2622">
      <c r="A2622" s="4">
        <v>43551.491899953704</v>
      </c>
      <c r="B2622" s="5">
        <v>43551.7835340162</v>
      </c>
      <c r="C2622" s="6">
        <v>1.024</v>
      </c>
      <c r="D2622" s="6">
        <v>66.0</v>
      </c>
      <c r="E2622" s="7" t="s">
        <v>7</v>
      </c>
      <c r="F2622" s="7" t="s">
        <v>8</v>
      </c>
      <c r="G2622" s="8"/>
    </row>
    <row r="2623">
      <c r="A2623" s="4">
        <v>43551.50238640046</v>
      </c>
      <c r="B2623" s="5">
        <v>43551.7940259953</v>
      </c>
      <c r="C2623" s="6">
        <v>1.024</v>
      </c>
      <c r="D2623" s="6">
        <v>66.0</v>
      </c>
      <c r="E2623" s="7" t="s">
        <v>7</v>
      </c>
      <c r="F2623" s="7" t="s">
        <v>8</v>
      </c>
      <c r="G2623" s="8"/>
    </row>
    <row r="2624">
      <c r="A2624" s="4">
        <v>43551.51281699074</v>
      </c>
      <c r="B2624" s="5">
        <v>43551.8044455092</v>
      </c>
      <c r="C2624" s="6">
        <v>1.024</v>
      </c>
      <c r="D2624" s="6">
        <v>66.0</v>
      </c>
      <c r="E2624" s="7" t="s">
        <v>7</v>
      </c>
      <c r="F2624" s="7" t="s">
        <v>8</v>
      </c>
      <c r="G2624" s="8"/>
    </row>
    <row r="2625">
      <c r="A2625" s="4">
        <v>43551.52324710648</v>
      </c>
      <c r="B2625" s="5">
        <v>43551.8148780902</v>
      </c>
      <c r="C2625" s="6">
        <v>1.024</v>
      </c>
      <c r="D2625" s="6">
        <v>66.0</v>
      </c>
      <c r="E2625" s="7" t="s">
        <v>7</v>
      </c>
      <c r="F2625" s="7" t="s">
        <v>8</v>
      </c>
      <c r="G2625" s="8"/>
    </row>
    <row r="2626">
      <c r="A2626" s="4">
        <v>43551.53367319444</v>
      </c>
      <c r="B2626" s="5">
        <v>43551.8252993518</v>
      </c>
      <c r="C2626" s="6">
        <v>1.024</v>
      </c>
      <c r="D2626" s="6">
        <v>66.0</v>
      </c>
      <c r="E2626" s="7" t="s">
        <v>7</v>
      </c>
      <c r="F2626" s="7" t="s">
        <v>8</v>
      </c>
      <c r="G2626" s="8"/>
    </row>
    <row r="2627">
      <c r="A2627" s="4">
        <v>43551.54409667824</v>
      </c>
      <c r="B2627" s="5">
        <v>43551.8357326851</v>
      </c>
      <c r="C2627" s="6">
        <v>1.024</v>
      </c>
      <c r="D2627" s="6">
        <v>66.0</v>
      </c>
      <c r="E2627" s="7" t="s">
        <v>7</v>
      </c>
      <c r="F2627" s="7" t="s">
        <v>8</v>
      </c>
      <c r="G2627" s="8"/>
    </row>
    <row r="2628">
      <c r="A2628" s="4">
        <v>43551.55451789351</v>
      </c>
      <c r="B2628" s="5">
        <v>43551.8461527083</v>
      </c>
      <c r="C2628" s="6">
        <v>1.024</v>
      </c>
      <c r="D2628" s="6">
        <v>66.0</v>
      </c>
      <c r="E2628" s="7" t="s">
        <v>7</v>
      </c>
      <c r="F2628" s="7" t="s">
        <v>8</v>
      </c>
      <c r="G2628" s="8"/>
    </row>
    <row r="2629">
      <c r="A2629" s="4">
        <v>43551.56493633102</v>
      </c>
      <c r="B2629" s="5">
        <v>43551.8565725578</v>
      </c>
      <c r="C2629" s="6">
        <v>1.024</v>
      </c>
      <c r="D2629" s="6">
        <v>66.0</v>
      </c>
      <c r="E2629" s="7" t="s">
        <v>7</v>
      </c>
      <c r="F2629" s="7" t="s">
        <v>8</v>
      </c>
      <c r="G2629" s="8"/>
    </row>
    <row r="2630">
      <c r="A2630" s="4">
        <v>43551.57535402778</v>
      </c>
      <c r="B2630" s="5">
        <v>43551.8669933796</v>
      </c>
      <c r="C2630" s="6">
        <v>1.024</v>
      </c>
      <c r="D2630" s="6">
        <v>66.0</v>
      </c>
      <c r="E2630" s="7" t="s">
        <v>7</v>
      </c>
      <c r="F2630" s="7" t="s">
        <v>8</v>
      </c>
      <c r="G2630" s="8"/>
    </row>
    <row r="2631">
      <c r="A2631" s="4">
        <v>43551.58578657407</v>
      </c>
      <c r="B2631" s="5">
        <v>43551.8774159027</v>
      </c>
      <c r="C2631" s="6">
        <v>1.024</v>
      </c>
      <c r="D2631" s="6">
        <v>66.0</v>
      </c>
      <c r="E2631" s="7" t="s">
        <v>7</v>
      </c>
      <c r="F2631" s="7" t="s">
        <v>8</v>
      </c>
      <c r="G2631" s="8"/>
    </row>
    <row r="2632">
      <c r="A2632" s="4">
        <v>43551.59622190973</v>
      </c>
      <c r="B2632" s="5">
        <v>43551.8878485648</v>
      </c>
      <c r="C2632" s="6">
        <v>1.024</v>
      </c>
      <c r="D2632" s="6">
        <v>66.0</v>
      </c>
      <c r="E2632" s="7" t="s">
        <v>7</v>
      </c>
      <c r="F2632" s="7" t="s">
        <v>8</v>
      </c>
      <c r="G2632" s="8"/>
    </row>
    <row r="2633">
      <c r="A2633" s="4">
        <v>43551.60663625</v>
      </c>
      <c r="B2633" s="5">
        <v>43551.8982705902</v>
      </c>
      <c r="C2633" s="6">
        <v>1.024</v>
      </c>
      <c r="D2633" s="6">
        <v>66.0</v>
      </c>
      <c r="E2633" s="7" t="s">
        <v>7</v>
      </c>
      <c r="F2633" s="7" t="s">
        <v>8</v>
      </c>
      <c r="G2633" s="8"/>
    </row>
    <row r="2634">
      <c r="A2634" s="4">
        <v>43551.617064861115</v>
      </c>
      <c r="B2634" s="5">
        <v>43551.9087017592</v>
      </c>
      <c r="C2634" s="6">
        <v>1.024</v>
      </c>
      <c r="D2634" s="6">
        <v>66.0</v>
      </c>
      <c r="E2634" s="7" t="s">
        <v>7</v>
      </c>
      <c r="F2634" s="7" t="s">
        <v>8</v>
      </c>
      <c r="G2634" s="8"/>
    </row>
    <row r="2635">
      <c r="A2635" s="4">
        <v>43551.62749947917</v>
      </c>
      <c r="B2635" s="5">
        <v>43551.9191340277</v>
      </c>
      <c r="C2635" s="6">
        <v>1.024</v>
      </c>
      <c r="D2635" s="6">
        <v>66.0</v>
      </c>
      <c r="E2635" s="7" t="s">
        <v>7</v>
      </c>
      <c r="F2635" s="7" t="s">
        <v>8</v>
      </c>
      <c r="G2635" s="8"/>
    </row>
    <row r="2636">
      <c r="A2636" s="4">
        <v>43551.63793481482</v>
      </c>
      <c r="B2636" s="5">
        <v>43551.9295663657</v>
      </c>
      <c r="C2636" s="6">
        <v>1.024</v>
      </c>
      <c r="D2636" s="6">
        <v>66.0</v>
      </c>
      <c r="E2636" s="7" t="s">
        <v>7</v>
      </c>
      <c r="F2636" s="7" t="s">
        <v>8</v>
      </c>
      <c r="G2636" s="8"/>
    </row>
    <row r="2637">
      <c r="A2637" s="4">
        <v>43551.648347650465</v>
      </c>
      <c r="B2637" s="5">
        <v>43551.9399873148</v>
      </c>
      <c r="C2637" s="6">
        <v>1.024</v>
      </c>
      <c r="D2637" s="6">
        <v>66.0</v>
      </c>
      <c r="E2637" s="7" t="s">
        <v>7</v>
      </c>
      <c r="F2637" s="7" t="s">
        <v>8</v>
      </c>
      <c r="G2637" s="8"/>
    </row>
    <row r="2638">
      <c r="A2638" s="4">
        <v>43551.65877041667</v>
      </c>
      <c r="B2638" s="5">
        <v>43551.950406655</v>
      </c>
      <c r="C2638" s="6">
        <v>1.024</v>
      </c>
      <c r="D2638" s="6">
        <v>66.0</v>
      </c>
      <c r="E2638" s="7" t="s">
        <v>7</v>
      </c>
      <c r="F2638" s="7" t="s">
        <v>8</v>
      </c>
      <c r="G2638" s="8"/>
    </row>
    <row r="2639">
      <c r="A2639" s="4">
        <v>43551.66921238426</v>
      </c>
      <c r="B2639" s="5">
        <v>43551.9608411342</v>
      </c>
      <c r="C2639" s="6">
        <v>1.024</v>
      </c>
      <c r="D2639" s="6">
        <v>66.0</v>
      </c>
      <c r="E2639" s="7" t="s">
        <v>7</v>
      </c>
      <c r="F2639" s="7" t="s">
        <v>8</v>
      </c>
      <c r="G2639" s="8"/>
    </row>
    <row r="2640">
      <c r="A2640" s="4">
        <v>43551.67963171296</v>
      </c>
      <c r="B2640" s="5">
        <v>43551.9712620833</v>
      </c>
      <c r="C2640" s="6">
        <v>1.024</v>
      </c>
      <c r="D2640" s="6">
        <v>66.0</v>
      </c>
      <c r="E2640" s="7" t="s">
        <v>7</v>
      </c>
      <c r="F2640" s="7" t="s">
        <v>8</v>
      </c>
      <c r="G2640" s="8"/>
    </row>
    <row r="2641">
      <c r="A2641" s="4">
        <v>43551.69005280093</v>
      </c>
      <c r="B2641" s="5">
        <v>43551.9816819328</v>
      </c>
      <c r="C2641" s="6">
        <v>1.024</v>
      </c>
      <c r="D2641" s="6">
        <v>66.0</v>
      </c>
      <c r="E2641" s="7" t="s">
        <v>7</v>
      </c>
      <c r="F2641" s="7" t="s">
        <v>8</v>
      </c>
      <c r="G2641" s="8"/>
    </row>
    <row r="2642">
      <c r="A2642" s="4">
        <v>43551.7004716088</v>
      </c>
      <c r="B2642" s="5">
        <v>43551.9921028472</v>
      </c>
      <c r="C2642" s="6">
        <v>1.024</v>
      </c>
      <c r="D2642" s="6">
        <v>66.0</v>
      </c>
      <c r="E2642" s="7" t="s">
        <v>7</v>
      </c>
      <c r="F2642" s="7" t="s">
        <v>8</v>
      </c>
      <c r="G2642" s="8"/>
    </row>
    <row r="2643">
      <c r="A2643" s="4">
        <v>43551.71089700231</v>
      </c>
      <c r="B2643" s="5">
        <v>43552.0025249421</v>
      </c>
      <c r="C2643" s="6">
        <v>1.024</v>
      </c>
      <c r="D2643" s="6">
        <v>66.0</v>
      </c>
      <c r="E2643" s="7" t="s">
        <v>7</v>
      </c>
      <c r="F2643" s="7" t="s">
        <v>8</v>
      </c>
      <c r="G2643" s="8"/>
    </row>
    <row r="2644">
      <c r="A2644" s="4">
        <v>43551.721329340275</v>
      </c>
      <c r="B2644" s="5">
        <v>43552.0129572338</v>
      </c>
      <c r="C2644" s="6">
        <v>1.024</v>
      </c>
      <c r="D2644" s="6">
        <v>66.0</v>
      </c>
      <c r="E2644" s="7" t="s">
        <v>7</v>
      </c>
      <c r="F2644" s="7" t="s">
        <v>8</v>
      </c>
      <c r="G2644" s="8"/>
    </row>
    <row r="2645">
      <c r="A2645" s="4">
        <v>43551.731745509256</v>
      </c>
      <c r="B2645" s="5">
        <v>43552.0233792013</v>
      </c>
      <c r="C2645" s="6">
        <v>1.024</v>
      </c>
      <c r="D2645" s="6">
        <v>66.0</v>
      </c>
      <c r="E2645" s="7" t="s">
        <v>7</v>
      </c>
      <c r="F2645" s="7" t="s">
        <v>8</v>
      </c>
      <c r="G2645" s="8"/>
    </row>
    <row r="2646">
      <c r="A2646" s="4">
        <v>43551.74217590278</v>
      </c>
      <c r="B2646" s="5">
        <v>43552.0338125463</v>
      </c>
      <c r="C2646" s="6">
        <v>1.024</v>
      </c>
      <c r="D2646" s="6">
        <v>66.0</v>
      </c>
      <c r="E2646" s="7" t="s">
        <v>7</v>
      </c>
      <c r="F2646" s="7" t="s">
        <v>8</v>
      </c>
      <c r="G2646" s="8"/>
    </row>
    <row r="2647">
      <c r="A2647" s="4">
        <v>43551.75259979167</v>
      </c>
      <c r="B2647" s="5">
        <v>43552.0442350231</v>
      </c>
      <c r="C2647" s="6">
        <v>1.024</v>
      </c>
      <c r="D2647" s="6">
        <v>66.0</v>
      </c>
      <c r="E2647" s="7" t="s">
        <v>7</v>
      </c>
      <c r="F2647" s="7" t="s">
        <v>8</v>
      </c>
      <c r="G2647" s="8"/>
    </row>
    <row r="2648">
      <c r="A2648" s="4">
        <v>43551.76302092592</v>
      </c>
      <c r="B2648" s="5">
        <v>43552.0546559722</v>
      </c>
      <c r="C2648" s="6">
        <v>1.024</v>
      </c>
      <c r="D2648" s="6">
        <v>66.0</v>
      </c>
      <c r="E2648" s="7" t="s">
        <v>7</v>
      </c>
      <c r="F2648" s="7" t="s">
        <v>8</v>
      </c>
      <c r="G2648" s="8"/>
    </row>
    <row r="2649">
      <c r="A2649" s="4">
        <v>43551.773438530094</v>
      </c>
      <c r="B2649" s="5">
        <v>43552.0650758101</v>
      </c>
      <c r="C2649" s="6">
        <v>1.024</v>
      </c>
      <c r="D2649" s="6">
        <v>66.0</v>
      </c>
      <c r="E2649" s="7" t="s">
        <v>7</v>
      </c>
      <c r="F2649" s="7" t="s">
        <v>8</v>
      </c>
      <c r="G2649" s="8"/>
    </row>
    <row r="2650">
      <c r="A2650" s="4">
        <v>43551.783861250005</v>
      </c>
      <c r="B2650" s="5">
        <v>43552.075496655</v>
      </c>
      <c r="C2650" s="6">
        <v>1.024</v>
      </c>
      <c r="D2650" s="6">
        <v>66.0</v>
      </c>
      <c r="E2650" s="7" t="s">
        <v>7</v>
      </c>
      <c r="F2650" s="7" t="s">
        <v>8</v>
      </c>
      <c r="G2650" s="8"/>
    </row>
    <row r="2651">
      <c r="A2651" s="4">
        <v>43551.79429359954</v>
      </c>
      <c r="B2651" s="5">
        <v>43552.0859308217</v>
      </c>
      <c r="C2651" s="6">
        <v>1.024</v>
      </c>
      <c r="D2651" s="6">
        <v>66.0</v>
      </c>
      <c r="E2651" s="7" t="s">
        <v>7</v>
      </c>
      <c r="F2651" s="7" t="s">
        <v>8</v>
      </c>
      <c r="G2651" s="8"/>
    </row>
    <row r="2652">
      <c r="A2652" s="4">
        <v>43551.80473052083</v>
      </c>
      <c r="B2652" s="5">
        <v>43552.096363912</v>
      </c>
      <c r="C2652" s="6">
        <v>1.024</v>
      </c>
      <c r="D2652" s="6">
        <v>66.0</v>
      </c>
      <c r="E2652" s="7" t="s">
        <v>7</v>
      </c>
      <c r="F2652" s="7" t="s">
        <v>8</v>
      </c>
      <c r="G2652" s="8"/>
    </row>
    <row r="2653">
      <c r="A2653" s="4">
        <v>43551.81518099537</v>
      </c>
      <c r="B2653" s="5">
        <v>43552.1068197916</v>
      </c>
      <c r="C2653" s="6">
        <v>1.024</v>
      </c>
      <c r="D2653" s="6">
        <v>66.0</v>
      </c>
      <c r="E2653" s="7" t="s">
        <v>7</v>
      </c>
      <c r="F2653" s="7" t="s">
        <v>8</v>
      </c>
      <c r="G2653" s="8"/>
    </row>
    <row r="2654">
      <c r="A2654" s="4">
        <v>43551.82561222222</v>
      </c>
      <c r="B2654" s="5">
        <v>43552.1172439004</v>
      </c>
      <c r="C2654" s="6">
        <v>1.024</v>
      </c>
      <c r="D2654" s="6">
        <v>66.0</v>
      </c>
      <c r="E2654" s="7" t="s">
        <v>7</v>
      </c>
      <c r="F2654" s="7" t="s">
        <v>8</v>
      </c>
      <c r="G2654" s="8"/>
    </row>
    <row r="2655">
      <c r="A2655" s="4">
        <v>43551.83603708333</v>
      </c>
      <c r="B2655" s="5">
        <v>43552.1276666782</v>
      </c>
      <c r="C2655" s="6">
        <v>1.024</v>
      </c>
      <c r="D2655" s="6">
        <v>66.0</v>
      </c>
      <c r="E2655" s="7" t="s">
        <v>7</v>
      </c>
      <c r="F2655" s="7" t="s">
        <v>8</v>
      </c>
      <c r="G2655" s="8"/>
    </row>
    <row r="2656">
      <c r="A2656" s="4">
        <v>43551.846451273144</v>
      </c>
      <c r="B2656" s="5">
        <v>43552.1380881828</v>
      </c>
      <c r="C2656" s="6">
        <v>1.024</v>
      </c>
      <c r="D2656" s="6">
        <v>66.0</v>
      </c>
      <c r="E2656" s="7" t="s">
        <v>7</v>
      </c>
      <c r="F2656" s="7" t="s">
        <v>8</v>
      </c>
      <c r="G2656" s="8"/>
    </row>
    <row r="2657">
      <c r="A2657" s="4">
        <v>43551.8568716088</v>
      </c>
      <c r="B2657" s="5">
        <v>43552.1485100347</v>
      </c>
      <c r="C2657" s="6">
        <v>1.024</v>
      </c>
      <c r="D2657" s="6">
        <v>66.0</v>
      </c>
      <c r="E2657" s="7" t="s">
        <v>7</v>
      </c>
      <c r="F2657" s="7" t="s">
        <v>8</v>
      </c>
      <c r="G2657" s="8"/>
    </row>
    <row r="2658">
      <c r="A2658" s="4">
        <v>43551.86732078704</v>
      </c>
      <c r="B2658" s="5">
        <v>43552.1589544328</v>
      </c>
      <c r="C2658" s="6">
        <v>1.024</v>
      </c>
      <c r="D2658" s="6">
        <v>66.0</v>
      </c>
      <c r="E2658" s="7" t="s">
        <v>7</v>
      </c>
      <c r="F2658" s="7" t="s">
        <v>8</v>
      </c>
      <c r="G2658" s="8"/>
    </row>
    <row r="2659">
      <c r="A2659" s="4">
        <v>43551.87774200231</v>
      </c>
      <c r="B2659" s="5">
        <v>43552.1693741898</v>
      </c>
      <c r="C2659" s="6">
        <v>1.024</v>
      </c>
      <c r="D2659" s="6">
        <v>66.0</v>
      </c>
      <c r="E2659" s="7" t="s">
        <v>7</v>
      </c>
      <c r="F2659" s="7" t="s">
        <v>8</v>
      </c>
      <c r="G2659" s="8"/>
    </row>
    <row r="2660">
      <c r="A2660" s="4">
        <v>43551.88816015046</v>
      </c>
      <c r="B2660" s="5">
        <v>43552.1797961921</v>
      </c>
      <c r="C2660" s="6">
        <v>1.024</v>
      </c>
      <c r="D2660" s="6">
        <v>66.0</v>
      </c>
      <c r="E2660" s="7" t="s">
        <v>7</v>
      </c>
      <c r="F2660" s="7" t="s">
        <v>8</v>
      </c>
      <c r="G2660" s="8"/>
    </row>
    <row r="2661">
      <c r="A2661" s="4">
        <v>43551.89862070602</v>
      </c>
      <c r="B2661" s="5">
        <v>43552.1902515856</v>
      </c>
      <c r="C2661" s="6">
        <v>1.024</v>
      </c>
      <c r="D2661" s="6">
        <v>66.0</v>
      </c>
      <c r="E2661" s="7" t="s">
        <v>7</v>
      </c>
      <c r="F2661" s="7" t="s">
        <v>8</v>
      </c>
      <c r="G2661" s="8"/>
    </row>
    <row r="2662">
      <c r="A2662" s="4">
        <v>43551.90905259259</v>
      </c>
      <c r="B2662" s="5">
        <v>43552.2006845254</v>
      </c>
      <c r="C2662" s="6">
        <v>1.024</v>
      </c>
      <c r="D2662" s="6">
        <v>66.0</v>
      </c>
      <c r="E2662" s="7" t="s">
        <v>7</v>
      </c>
      <c r="F2662" s="7" t="s">
        <v>8</v>
      </c>
      <c r="G2662" s="8"/>
    </row>
    <row r="2663">
      <c r="A2663" s="4">
        <v>43551.919472222224</v>
      </c>
      <c r="B2663" s="5">
        <v>43552.2111053703</v>
      </c>
      <c r="C2663" s="6">
        <v>1.024</v>
      </c>
      <c r="D2663" s="6">
        <v>66.0</v>
      </c>
      <c r="E2663" s="7" t="s">
        <v>7</v>
      </c>
      <c r="F2663" s="7" t="s">
        <v>8</v>
      </c>
      <c r="G2663" s="8"/>
    </row>
    <row r="2664">
      <c r="A2664" s="4">
        <v>43551.92990341435</v>
      </c>
      <c r="B2664" s="5">
        <v>43552.2215383912</v>
      </c>
      <c r="C2664" s="6">
        <v>1.024</v>
      </c>
      <c r="D2664" s="6">
        <v>66.0</v>
      </c>
      <c r="E2664" s="7" t="s">
        <v>7</v>
      </c>
      <c r="F2664" s="7" t="s">
        <v>8</v>
      </c>
      <c r="G2664" s="8"/>
    </row>
    <row r="2665">
      <c r="A2665" s="4">
        <v>43551.94032329861</v>
      </c>
      <c r="B2665" s="5">
        <v>43552.2319582407</v>
      </c>
      <c r="C2665" s="6">
        <v>1.024</v>
      </c>
      <c r="D2665" s="6">
        <v>66.0</v>
      </c>
      <c r="E2665" s="7" t="s">
        <v>7</v>
      </c>
      <c r="F2665" s="7" t="s">
        <v>8</v>
      </c>
      <c r="G2665" s="8"/>
    </row>
    <row r="2666">
      <c r="A2666" s="4">
        <v>43551.95074696759</v>
      </c>
      <c r="B2666" s="5">
        <v>43552.24238125</v>
      </c>
      <c r="C2666" s="6">
        <v>1.024</v>
      </c>
      <c r="D2666" s="6">
        <v>66.0</v>
      </c>
      <c r="E2666" s="7" t="s">
        <v>7</v>
      </c>
      <c r="F2666" s="7" t="s">
        <v>8</v>
      </c>
      <c r="G2666" s="8"/>
    </row>
    <row r="2667">
      <c r="A2667" s="4">
        <v>43551.961175752316</v>
      </c>
      <c r="B2667" s="5">
        <v>43552.2528009259</v>
      </c>
      <c r="C2667" s="6">
        <v>1.024</v>
      </c>
      <c r="D2667" s="6">
        <v>66.0</v>
      </c>
      <c r="E2667" s="7" t="s">
        <v>7</v>
      </c>
      <c r="F2667" s="7" t="s">
        <v>8</v>
      </c>
      <c r="G2667" s="8"/>
    </row>
    <row r="2668">
      <c r="A2668" s="4">
        <v>43551.971589560184</v>
      </c>
      <c r="B2668" s="5">
        <v>43552.2632213078</v>
      </c>
      <c r="C2668" s="6">
        <v>1.024</v>
      </c>
      <c r="D2668" s="6">
        <v>66.0</v>
      </c>
      <c r="E2668" s="7" t="s">
        <v>7</v>
      </c>
      <c r="F2668" s="7" t="s">
        <v>8</v>
      </c>
      <c r="G2668" s="8"/>
    </row>
    <row r="2669">
      <c r="A2669" s="4">
        <v>43551.9820080787</v>
      </c>
      <c r="B2669" s="5">
        <v>43552.2736419097</v>
      </c>
      <c r="C2669" s="6">
        <v>1.024</v>
      </c>
      <c r="D2669" s="6">
        <v>66.0</v>
      </c>
      <c r="E2669" s="7" t="s">
        <v>7</v>
      </c>
      <c r="F2669" s="7" t="s">
        <v>8</v>
      </c>
      <c r="G2669" s="8"/>
    </row>
    <row r="2670">
      <c r="A2670" s="4">
        <v>43551.992464421295</v>
      </c>
      <c r="B2670" s="5">
        <v>43552.2840870833</v>
      </c>
      <c r="C2670" s="6">
        <v>1.024</v>
      </c>
      <c r="D2670" s="6">
        <v>66.0</v>
      </c>
      <c r="E2670" s="7" t="s">
        <v>7</v>
      </c>
      <c r="F2670" s="7" t="s">
        <v>8</v>
      </c>
      <c r="G2670" s="8"/>
    </row>
    <row r="2671">
      <c r="A2671" s="4">
        <v>43552.00287865741</v>
      </c>
      <c r="B2671" s="5">
        <v>43552.2945075462</v>
      </c>
      <c r="C2671" s="6">
        <v>1.024</v>
      </c>
      <c r="D2671" s="6">
        <v>66.0</v>
      </c>
      <c r="E2671" s="7" t="s">
        <v>7</v>
      </c>
      <c r="F2671" s="7" t="s">
        <v>8</v>
      </c>
      <c r="G2671" s="8"/>
    </row>
    <row r="2672">
      <c r="A2672" s="4">
        <v>43552.0132965625</v>
      </c>
      <c r="B2672" s="5">
        <v>43552.3049275</v>
      </c>
      <c r="C2672" s="6">
        <v>1.024</v>
      </c>
      <c r="D2672" s="6">
        <v>66.0</v>
      </c>
      <c r="E2672" s="7" t="s">
        <v>7</v>
      </c>
      <c r="F2672" s="7" t="s">
        <v>8</v>
      </c>
      <c r="G2672" s="8"/>
    </row>
    <row r="2673">
      <c r="A2673" s="4">
        <v>43552.0238140625</v>
      </c>
      <c r="B2673" s="5">
        <v>43552.3153952662</v>
      </c>
      <c r="C2673" s="6">
        <v>1.024</v>
      </c>
      <c r="D2673" s="6">
        <v>66.0</v>
      </c>
      <c r="E2673" s="7" t="s">
        <v>7</v>
      </c>
      <c r="F2673" s="7" t="s">
        <v>8</v>
      </c>
      <c r="G2673" s="8"/>
    </row>
    <row r="2674">
      <c r="A2674" s="4">
        <v>43552.03420226852</v>
      </c>
      <c r="B2674" s="5">
        <v>43552.3258405208</v>
      </c>
      <c r="C2674" s="6">
        <v>1.024</v>
      </c>
      <c r="D2674" s="6">
        <v>66.0</v>
      </c>
      <c r="E2674" s="7" t="s">
        <v>7</v>
      </c>
      <c r="F2674" s="7" t="s">
        <v>8</v>
      </c>
      <c r="G2674" s="8"/>
    </row>
    <row r="2675">
      <c r="A2675" s="4">
        <v>43552.0446315625</v>
      </c>
      <c r="B2675" s="5">
        <v>43552.3362613425</v>
      </c>
      <c r="C2675" s="6">
        <v>1.024</v>
      </c>
      <c r="D2675" s="6">
        <v>66.0</v>
      </c>
      <c r="E2675" s="7" t="s">
        <v>7</v>
      </c>
      <c r="F2675" s="7" t="s">
        <v>8</v>
      </c>
      <c r="G2675" s="8"/>
    </row>
    <row r="2676">
      <c r="A2676" s="4">
        <v>43552.05505119213</v>
      </c>
      <c r="B2676" s="5">
        <v>43552.3466814814</v>
      </c>
      <c r="C2676" s="6">
        <v>1.024</v>
      </c>
      <c r="D2676" s="6">
        <v>66.0</v>
      </c>
      <c r="E2676" s="7" t="s">
        <v>7</v>
      </c>
      <c r="F2676" s="7" t="s">
        <v>8</v>
      </c>
      <c r="G2676" s="8"/>
    </row>
    <row r="2677">
      <c r="A2677" s="4">
        <v>43552.065459641206</v>
      </c>
      <c r="B2677" s="5">
        <v>43552.3571010532</v>
      </c>
      <c r="C2677" s="6">
        <v>1.024</v>
      </c>
      <c r="D2677" s="6">
        <v>66.0</v>
      </c>
      <c r="E2677" s="7" t="s">
        <v>7</v>
      </c>
      <c r="F2677" s="7" t="s">
        <v>8</v>
      </c>
      <c r="G2677" s="8"/>
    </row>
    <row r="2678">
      <c r="A2678" s="4">
        <v>43552.07590016203</v>
      </c>
      <c r="B2678" s="5">
        <v>43552.3675232754</v>
      </c>
      <c r="C2678" s="6">
        <v>1.024</v>
      </c>
      <c r="D2678" s="6">
        <v>66.0</v>
      </c>
      <c r="E2678" s="7" t="s">
        <v>7</v>
      </c>
      <c r="F2678" s="7" t="s">
        <v>8</v>
      </c>
      <c r="G2678" s="8"/>
    </row>
    <row r="2679">
      <c r="A2679" s="4">
        <v>43552.08636199074</v>
      </c>
      <c r="B2679" s="5">
        <v>43552.3779542939</v>
      </c>
      <c r="C2679" s="6">
        <v>1.024</v>
      </c>
      <c r="D2679" s="6">
        <v>66.0</v>
      </c>
      <c r="E2679" s="7" t="s">
        <v>7</v>
      </c>
      <c r="F2679" s="7" t="s">
        <v>8</v>
      </c>
      <c r="G2679" s="8"/>
    </row>
    <row r="2680">
      <c r="A2680" s="4">
        <v>43552.0967493287</v>
      </c>
      <c r="B2680" s="5">
        <v>43552.3883751388</v>
      </c>
      <c r="C2680" s="6">
        <v>1.024</v>
      </c>
      <c r="D2680" s="6">
        <v>66.0</v>
      </c>
      <c r="E2680" s="7" t="s">
        <v>7</v>
      </c>
      <c r="F2680" s="7" t="s">
        <v>8</v>
      </c>
      <c r="G2680" s="8"/>
    </row>
    <row r="2681">
      <c r="A2681" s="4">
        <v>43552.10717070602</v>
      </c>
      <c r="B2681" s="5">
        <v>43552.3988082523</v>
      </c>
      <c r="C2681" s="6">
        <v>1.024</v>
      </c>
      <c r="D2681" s="6">
        <v>66.0</v>
      </c>
      <c r="E2681" s="7" t="s">
        <v>7</v>
      </c>
      <c r="F2681" s="7" t="s">
        <v>8</v>
      </c>
      <c r="G2681" s="8"/>
    </row>
    <row r="2682">
      <c r="A2682" s="4">
        <v>43552.117589664354</v>
      </c>
      <c r="B2682" s="5">
        <v>43552.4092286574</v>
      </c>
      <c r="C2682" s="6">
        <v>1.024</v>
      </c>
      <c r="D2682" s="6">
        <v>66.0</v>
      </c>
      <c r="E2682" s="7" t="s">
        <v>7</v>
      </c>
      <c r="F2682" s="7" t="s">
        <v>8</v>
      </c>
      <c r="G2682" s="8"/>
    </row>
    <row r="2683">
      <c r="A2683" s="4">
        <v>43552.12801829861</v>
      </c>
      <c r="B2683" s="5">
        <v>43552.4196479398</v>
      </c>
      <c r="C2683" s="6">
        <v>1.024</v>
      </c>
      <c r="D2683" s="6">
        <v>66.0</v>
      </c>
      <c r="E2683" s="7" t="s">
        <v>7</v>
      </c>
      <c r="F2683" s="7" t="s">
        <v>8</v>
      </c>
      <c r="G2683" s="8"/>
    </row>
    <row r="2684">
      <c r="A2684" s="4">
        <v>43552.13843965278</v>
      </c>
      <c r="B2684" s="5">
        <v>43552.4300693171</v>
      </c>
      <c r="C2684" s="6">
        <v>1.024</v>
      </c>
      <c r="D2684" s="6">
        <v>66.0</v>
      </c>
      <c r="E2684" s="7" t="s">
        <v>7</v>
      </c>
      <c r="F2684" s="7" t="s">
        <v>8</v>
      </c>
      <c r="G2684" s="8"/>
    </row>
    <row r="2685">
      <c r="A2685" s="4">
        <v>43552.14886891204</v>
      </c>
      <c r="B2685" s="5">
        <v>43552.4405024768</v>
      </c>
      <c r="C2685" s="6">
        <v>1.024</v>
      </c>
      <c r="D2685" s="6">
        <v>66.0</v>
      </c>
      <c r="E2685" s="7" t="s">
        <v>7</v>
      </c>
      <c r="F2685" s="7" t="s">
        <v>8</v>
      </c>
      <c r="G2685" s="8"/>
    </row>
    <row r="2686">
      <c r="A2686" s="4">
        <v>43552.15932505787</v>
      </c>
      <c r="B2686" s="5">
        <v>43552.4509595833</v>
      </c>
      <c r="C2686" s="6">
        <v>1.024</v>
      </c>
      <c r="D2686" s="6">
        <v>66.0</v>
      </c>
      <c r="E2686" s="7" t="s">
        <v>7</v>
      </c>
      <c r="F2686" s="7" t="s">
        <v>8</v>
      </c>
      <c r="G2686" s="8"/>
    </row>
    <row r="2687">
      <c r="A2687" s="4">
        <v>43552.1697453588</v>
      </c>
      <c r="B2687" s="5">
        <v>43552.4613807523</v>
      </c>
      <c r="C2687" s="6">
        <v>1.023</v>
      </c>
      <c r="D2687" s="6">
        <v>66.0</v>
      </c>
      <c r="E2687" s="7" t="s">
        <v>7</v>
      </c>
      <c r="F2687" s="7" t="s">
        <v>8</v>
      </c>
      <c r="G2687" s="8"/>
    </row>
    <row r="2688">
      <c r="A2688" s="4">
        <v>43552.180166446764</v>
      </c>
      <c r="B2688" s="5">
        <v>43552.47180228</v>
      </c>
      <c r="C2688" s="6">
        <v>1.023</v>
      </c>
      <c r="D2688" s="6">
        <v>66.0</v>
      </c>
      <c r="E2688" s="7" t="s">
        <v>7</v>
      </c>
      <c r="F2688" s="7" t="s">
        <v>8</v>
      </c>
      <c r="G2688" s="8"/>
    </row>
    <row r="2689">
      <c r="A2689" s="4">
        <v>43552.190594618056</v>
      </c>
      <c r="B2689" s="5">
        <v>43552.4822259722</v>
      </c>
      <c r="C2689" s="6">
        <v>1.024</v>
      </c>
      <c r="D2689" s="6">
        <v>66.0</v>
      </c>
      <c r="E2689" s="7" t="s">
        <v>7</v>
      </c>
      <c r="F2689" s="7" t="s">
        <v>8</v>
      </c>
      <c r="G2689" s="8"/>
    </row>
    <row r="2690">
      <c r="A2690" s="4">
        <v>43552.20101318287</v>
      </c>
      <c r="B2690" s="5">
        <v>43552.4926447916</v>
      </c>
      <c r="C2690" s="6">
        <v>1.023</v>
      </c>
      <c r="D2690" s="6">
        <v>66.0</v>
      </c>
      <c r="E2690" s="7" t="s">
        <v>7</v>
      </c>
      <c r="F2690" s="7" t="s">
        <v>8</v>
      </c>
      <c r="G2690" s="8"/>
    </row>
    <row r="2691">
      <c r="A2691" s="4">
        <v>43552.21143185185</v>
      </c>
      <c r="B2691" s="5">
        <v>43552.5030653703</v>
      </c>
      <c r="C2691" s="6">
        <v>1.024</v>
      </c>
      <c r="D2691" s="6">
        <v>66.0</v>
      </c>
      <c r="E2691" s="7" t="s">
        <v>7</v>
      </c>
      <c r="F2691" s="7" t="s">
        <v>8</v>
      </c>
      <c r="G2691" s="8"/>
    </row>
    <row r="2692">
      <c r="A2692" s="4">
        <v>43552.221852523144</v>
      </c>
      <c r="B2692" s="5">
        <v>43552.513486331</v>
      </c>
      <c r="C2692" s="6">
        <v>1.024</v>
      </c>
      <c r="D2692" s="6">
        <v>66.0</v>
      </c>
      <c r="E2692" s="7" t="s">
        <v>7</v>
      </c>
      <c r="F2692" s="7" t="s">
        <v>8</v>
      </c>
      <c r="G2692" s="8"/>
    </row>
    <row r="2693">
      <c r="A2693" s="4">
        <v>43552.23227537037</v>
      </c>
      <c r="B2693" s="5">
        <v>43552.5239085763</v>
      </c>
      <c r="C2693" s="6">
        <v>1.024</v>
      </c>
      <c r="D2693" s="6">
        <v>66.0</v>
      </c>
      <c r="E2693" s="7" t="s">
        <v>7</v>
      </c>
      <c r="F2693" s="7" t="s">
        <v>8</v>
      </c>
      <c r="G2693" s="8"/>
    </row>
    <row r="2694">
      <c r="A2694" s="4">
        <v>43552.24272766204</v>
      </c>
      <c r="B2694" s="5">
        <v>43552.5343417708</v>
      </c>
      <c r="C2694" s="6">
        <v>1.024</v>
      </c>
      <c r="D2694" s="6">
        <v>66.0</v>
      </c>
      <c r="E2694" s="7" t="s">
        <v>7</v>
      </c>
      <c r="F2694" s="7" t="s">
        <v>8</v>
      </c>
      <c r="G2694" s="8"/>
    </row>
    <row r="2695">
      <c r="A2695" s="4">
        <v>43552.25314568287</v>
      </c>
      <c r="B2695" s="5">
        <v>43552.5447754513</v>
      </c>
      <c r="C2695" s="6">
        <v>1.024</v>
      </c>
      <c r="D2695" s="6">
        <v>66.0</v>
      </c>
      <c r="E2695" s="7" t="s">
        <v>7</v>
      </c>
      <c r="F2695" s="7" t="s">
        <v>8</v>
      </c>
      <c r="G2695" s="8"/>
    </row>
    <row r="2696">
      <c r="A2696" s="4">
        <v>43552.26355725694</v>
      </c>
      <c r="B2696" s="5">
        <v>43552.5551950115</v>
      </c>
      <c r="C2696" s="6">
        <v>1.024</v>
      </c>
      <c r="D2696" s="6">
        <v>66.0</v>
      </c>
      <c r="E2696" s="7" t="s">
        <v>7</v>
      </c>
      <c r="F2696" s="7" t="s">
        <v>8</v>
      </c>
      <c r="G2696" s="8"/>
    </row>
    <row r="2697">
      <c r="A2697" s="4">
        <v>43552.27398172454</v>
      </c>
      <c r="B2697" s="5">
        <v>43552.5656153703</v>
      </c>
      <c r="C2697" s="6">
        <v>1.024</v>
      </c>
      <c r="D2697" s="6">
        <v>66.0</v>
      </c>
      <c r="E2697" s="7" t="s">
        <v>7</v>
      </c>
      <c r="F2697" s="7" t="s">
        <v>8</v>
      </c>
      <c r="G2697" s="8"/>
    </row>
    <row r="2698">
      <c r="A2698" s="4">
        <v>43552.2844127662</v>
      </c>
      <c r="B2698" s="5">
        <v>43552.5760470717</v>
      </c>
      <c r="C2698" s="6">
        <v>1.023</v>
      </c>
      <c r="D2698" s="6">
        <v>66.0</v>
      </c>
      <c r="E2698" s="7" t="s">
        <v>7</v>
      </c>
      <c r="F2698" s="7" t="s">
        <v>8</v>
      </c>
      <c r="G2698" s="8"/>
    </row>
    <row r="2699">
      <c r="A2699" s="4">
        <v>43552.29485387732</v>
      </c>
      <c r="B2699" s="5">
        <v>43552.5864906134</v>
      </c>
      <c r="C2699" s="6">
        <v>1.023</v>
      </c>
      <c r="D2699" s="6">
        <v>66.0</v>
      </c>
      <c r="E2699" s="7" t="s">
        <v>7</v>
      </c>
      <c r="F2699" s="7" t="s">
        <v>8</v>
      </c>
      <c r="G2699" s="8"/>
    </row>
    <row r="2700">
      <c r="A2700" s="4">
        <v>43552.30527640047</v>
      </c>
      <c r="B2700" s="5">
        <v>43552.5969125</v>
      </c>
      <c r="C2700" s="6">
        <v>1.024</v>
      </c>
      <c r="D2700" s="6">
        <v>66.0</v>
      </c>
      <c r="E2700" s="7" t="s">
        <v>7</v>
      </c>
      <c r="F2700" s="7" t="s">
        <v>8</v>
      </c>
      <c r="G2700" s="8"/>
    </row>
    <row r="2701">
      <c r="A2701" s="4">
        <v>43552.31572208334</v>
      </c>
      <c r="B2701" s="5">
        <v>43552.6073343981</v>
      </c>
      <c r="C2701" s="6">
        <v>1.024</v>
      </c>
      <c r="D2701" s="6">
        <v>66.0</v>
      </c>
      <c r="E2701" s="7" t="s">
        <v>7</v>
      </c>
      <c r="F2701" s="7" t="s">
        <v>8</v>
      </c>
      <c r="G2701" s="8"/>
    </row>
    <row r="2702">
      <c r="A2702" s="4">
        <v>43552.3261324537</v>
      </c>
      <c r="B2702" s="5">
        <v>43552.6177573379</v>
      </c>
      <c r="C2702" s="6">
        <v>1.024</v>
      </c>
      <c r="D2702" s="6">
        <v>66.0</v>
      </c>
      <c r="E2702" s="7" t="s">
        <v>7</v>
      </c>
      <c r="F2702" s="7" t="s">
        <v>8</v>
      </c>
      <c r="G2702" s="8"/>
    </row>
    <row r="2703">
      <c r="A2703" s="4">
        <v>43552.336541689816</v>
      </c>
      <c r="B2703" s="5">
        <v>43552.6281787037</v>
      </c>
      <c r="C2703" s="6">
        <v>1.024</v>
      </c>
      <c r="D2703" s="6">
        <v>66.0</v>
      </c>
      <c r="E2703" s="7" t="s">
        <v>7</v>
      </c>
      <c r="F2703" s="7" t="s">
        <v>8</v>
      </c>
      <c r="G2703" s="8"/>
    </row>
    <row r="2704">
      <c r="A2704" s="4">
        <v>43552.347008125</v>
      </c>
      <c r="B2704" s="5">
        <v>43552.6386348842</v>
      </c>
      <c r="C2704" s="6">
        <v>1.024</v>
      </c>
      <c r="D2704" s="6">
        <v>66.0</v>
      </c>
      <c r="E2704" s="7" t="s">
        <v>7</v>
      </c>
      <c r="F2704" s="7" t="s">
        <v>8</v>
      </c>
      <c r="G2704" s="8"/>
    </row>
    <row r="2705">
      <c r="A2705" s="4">
        <v>43552.35742388889</v>
      </c>
      <c r="B2705" s="5">
        <v>43552.6490556828</v>
      </c>
      <c r="C2705" s="6">
        <v>1.024</v>
      </c>
      <c r="D2705" s="6">
        <v>66.0</v>
      </c>
      <c r="E2705" s="7" t="s">
        <v>7</v>
      </c>
      <c r="F2705" s="7" t="s">
        <v>8</v>
      </c>
      <c r="G2705" s="8"/>
    </row>
    <row r="2706">
      <c r="A2706" s="4">
        <v>43552.36785462963</v>
      </c>
      <c r="B2706" s="5">
        <v>43552.6594873148</v>
      </c>
      <c r="C2706" s="6">
        <v>1.023</v>
      </c>
      <c r="D2706" s="6">
        <v>66.0</v>
      </c>
      <c r="E2706" s="7" t="s">
        <v>7</v>
      </c>
      <c r="F2706" s="7" t="s">
        <v>8</v>
      </c>
      <c r="G2706" s="8"/>
    </row>
    <row r="2707">
      <c r="A2707" s="4">
        <v>43552.37829571759</v>
      </c>
      <c r="B2707" s="5">
        <v>43552.6699308564</v>
      </c>
      <c r="C2707" s="6">
        <v>1.024</v>
      </c>
      <c r="D2707" s="6">
        <v>66.0</v>
      </c>
      <c r="E2707" s="7" t="s">
        <v>7</v>
      </c>
      <c r="F2707" s="7" t="s">
        <v>8</v>
      </c>
      <c r="G2707" s="8"/>
    </row>
    <row r="2708">
      <c r="A2708" s="4">
        <v>43552.388731643514</v>
      </c>
      <c r="B2708" s="5">
        <v>43552.6803625231</v>
      </c>
      <c r="C2708" s="6">
        <v>1.024</v>
      </c>
      <c r="D2708" s="6">
        <v>66.0</v>
      </c>
      <c r="E2708" s="7" t="s">
        <v>7</v>
      </c>
      <c r="F2708" s="7" t="s">
        <v>8</v>
      </c>
      <c r="G2708" s="8"/>
    </row>
    <row r="2709">
      <c r="A2709" s="4">
        <v>43552.399161180554</v>
      </c>
      <c r="B2709" s="5">
        <v>43552.6907940393</v>
      </c>
      <c r="C2709" s="6">
        <v>1.024</v>
      </c>
      <c r="D2709" s="6">
        <v>66.0</v>
      </c>
      <c r="E2709" s="7" t="s">
        <v>7</v>
      </c>
      <c r="F2709" s="7" t="s">
        <v>8</v>
      </c>
      <c r="G2709" s="8"/>
    </row>
    <row r="2710">
      <c r="A2710" s="4">
        <v>43552.40958356482</v>
      </c>
      <c r="B2710" s="5">
        <v>43552.7012154976</v>
      </c>
      <c r="C2710" s="6">
        <v>1.024</v>
      </c>
      <c r="D2710" s="6">
        <v>66.0</v>
      </c>
      <c r="E2710" s="7" t="s">
        <v>7</v>
      </c>
      <c r="F2710" s="7" t="s">
        <v>8</v>
      </c>
      <c r="G2710" s="8"/>
    </row>
    <row r="2711">
      <c r="A2711" s="4">
        <v>43552.42000608797</v>
      </c>
      <c r="B2711" s="5">
        <v>43552.7116346527</v>
      </c>
      <c r="C2711" s="6">
        <v>1.024</v>
      </c>
      <c r="D2711" s="6">
        <v>66.0</v>
      </c>
      <c r="E2711" s="7" t="s">
        <v>7</v>
      </c>
      <c r="F2711" s="7" t="s">
        <v>8</v>
      </c>
      <c r="G2711" s="8"/>
    </row>
    <row r="2712">
      <c r="A2712" s="4">
        <v>43552.43043994213</v>
      </c>
      <c r="B2712" s="5">
        <v>43552.7220676504</v>
      </c>
      <c r="C2712" s="6">
        <v>1.024</v>
      </c>
      <c r="D2712" s="6">
        <v>66.0</v>
      </c>
      <c r="E2712" s="7" t="s">
        <v>7</v>
      </c>
      <c r="F2712" s="7" t="s">
        <v>8</v>
      </c>
      <c r="G2712" s="8"/>
    </row>
    <row r="2713">
      <c r="A2713" s="4">
        <v>43552.440867418976</v>
      </c>
      <c r="B2713" s="5">
        <v>43552.7325005092</v>
      </c>
      <c r="C2713" s="6">
        <v>1.023</v>
      </c>
      <c r="D2713" s="6">
        <v>66.0</v>
      </c>
      <c r="E2713" s="7" t="s">
        <v>7</v>
      </c>
      <c r="F2713" s="7" t="s">
        <v>8</v>
      </c>
      <c r="G2713" s="8"/>
    </row>
    <row r="2714">
      <c r="A2714" s="4">
        <v>43552.45129179399</v>
      </c>
      <c r="B2714" s="5">
        <v>43552.7429218287</v>
      </c>
      <c r="C2714" s="6">
        <v>1.024</v>
      </c>
      <c r="D2714" s="6">
        <v>66.0</v>
      </c>
      <c r="E2714" s="7" t="s">
        <v>7</v>
      </c>
      <c r="F2714" s="7" t="s">
        <v>8</v>
      </c>
      <c r="G2714" s="8"/>
    </row>
    <row r="2715">
      <c r="A2715" s="4">
        <v>43552.461715185185</v>
      </c>
      <c r="B2715" s="5">
        <v>43552.7533411921</v>
      </c>
      <c r="C2715" s="6">
        <v>1.024</v>
      </c>
      <c r="D2715" s="6">
        <v>66.0</v>
      </c>
      <c r="E2715" s="7" t="s">
        <v>7</v>
      </c>
      <c r="F2715" s="7" t="s">
        <v>8</v>
      </c>
      <c r="G2715" s="8"/>
    </row>
    <row r="2716">
      <c r="A2716" s="4">
        <v>43552.472216215276</v>
      </c>
      <c r="B2716" s="5">
        <v>43552.7637870949</v>
      </c>
      <c r="C2716" s="6">
        <v>1.024</v>
      </c>
      <c r="D2716" s="6">
        <v>66.0</v>
      </c>
      <c r="E2716" s="7" t="s">
        <v>7</v>
      </c>
      <c r="F2716" s="7" t="s">
        <v>8</v>
      </c>
      <c r="G2716" s="8"/>
    </row>
    <row r="2717">
      <c r="A2717" s="4">
        <v>43552.48258920139</v>
      </c>
      <c r="B2717" s="5">
        <v>43552.7742210995</v>
      </c>
      <c r="C2717" s="6">
        <v>1.023</v>
      </c>
      <c r="D2717" s="6">
        <v>66.0</v>
      </c>
      <c r="E2717" s="7" t="s">
        <v>7</v>
      </c>
      <c r="F2717" s="7" t="s">
        <v>8</v>
      </c>
      <c r="G2717" s="8"/>
    </row>
    <row r="2718">
      <c r="A2718" s="4">
        <v>43552.493023483796</v>
      </c>
      <c r="B2718" s="5">
        <v>43552.7846544791</v>
      </c>
      <c r="C2718" s="6">
        <v>1.024</v>
      </c>
      <c r="D2718" s="6">
        <v>66.0</v>
      </c>
      <c r="E2718" s="7" t="s">
        <v>7</v>
      </c>
      <c r="F2718" s="7" t="s">
        <v>8</v>
      </c>
      <c r="G2718" s="8"/>
    </row>
    <row r="2719">
      <c r="A2719" s="4">
        <v>43552.50344296296</v>
      </c>
      <c r="B2719" s="5">
        <v>43552.7950759722</v>
      </c>
      <c r="C2719" s="6">
        <v>1.023</v>
      </c>
      <c r="D2719" s="6">
        <v>66.0</v>
      </c>
      <c r="E2719" s="7" t="s">
        <v>7</v>
      </c>
      <c r="F2719" s="7" t="s">
        <v>8</v>
      </c>
      <c r="G2719" s="8"/>
    </row>
    <row r="2720">
      <c r="A2720" s="4">
        <v>43552.51387271991</v>
      </c>
      <c r="B2720" s="5">
        <v>43552.8055078587</v>
      </c>
      <c r="C2720" s="6">
        <v>1.023</v>
      </c>
      <c r="D2720" s="6">
        <v>66.0</v>
      </c>
      <c r="E2720" s="7" t="s">
        <v>7</v>
      </c>
      <c r="F2720" s="7" t="s">
        <v>8</v>
      </c>
      <c r="G2720" s="8"/>
    </row>
    <row r="2721">
      <c r="A2721" s="4">
        <v>43552.52431083334</v>
      </c>
      <c r="B2721" s="5">
        <v>43552.815940625</v>
      </c>
      <c r="C2721" s="6">
        <v>1.023</v>
      </c>
      <c r="D2721" s="6">
        <v>66.0</v>
      </c>
      <c r="E2721" s="7" t="s">
        <v>7</v>
      </c>
      <c r="F2721" s="7" t="s">
        <v>8</v>
      </c>
      <c r="G2721" s="8"/>
    </row>
    <row r="2722">
      <c r="A2722" s="4">
        <v>43552.534758043985</v>
      </c>
      <c r="B2722" s="5">
        <v>43552.8263948611</v>
      </c>
      <c r="C2722" s="6">
        <v>1.023</v>
      </c>
      <c r="D2722" s="6">
        <v>66.0</v>
      </c>
      <c r="E2722" s="7" t="s">
        <v>7</v>
      </c>
      <c r="F2722" s="7" t="s">
        <v>8</v>
      </c>
      <c r="G2722" s="8"/>
    </row>
    <row r="2723">
      <c r="A2723" s="4">
        <v>43552.54518429398</v>
      </c>
      <c r="B2723" s="5">
        <v>43552.8368165856</v>
      </c>
      <c r="C2723" s="6">
        <v>1.023</v>
      </c>
      <c r="D2723" s="6">
        <v>66.0</v>
      </c>
      <c r="E2723" s="7" t="s">
        <v>7</v>
      </c>
      <c r="F2723" s="7" t="s">
        <v>8</v>
      </c>
      <c r="G2723" s="8"/>
    </row>
    <row r="2724">
      <c r="A2724" s="4">
        <v>43552.555609999996</v>
      </c>
      <c r="B2724" s="5">
        <v>43552.8472371296</v>
      </c>
      <c r="C2724" s="6">
        <v>1.023</v>
      </c>
      <c r="D2724" s="6">
        <v>66.0</v>
      </c>
      <c r="E2724" s="7" t="s">
        <v>7</v>
      </c>
      <c r="F2724" s="7" t="s">
        <v>8</v>
      </c>
      <c r="G2724" s="8"/>
    </row>
    <row r="2725">
      <c r="A2725" s="4">
        <v>43552.56602067129</v>
      </c>
      <c r="B2725" s="5">
        <v>43552.857657581</v>
      </c>
      <c r="C2725" s="6">
        <v>1.023</v>
      </c>
      <c r="D2725" s="6">
        <v>66.0</v>
      </c>
      <c r="E2725" s="7" t="s">
        <v>7</v>
      </c>
      <c r="F2725" s="7" t="s">
        <v>8</v>
      </c>
      <c r="G2725" s="8"/>
    </row>
    <row r="2726">
      <c r="A2726" s="4">
        <v>43552.57644498843</v>
      </c>
      <c r="B2726" s="5">
        <v>43552.8680791203</v>
      </c>
      <c r="C2726" s="6">
        <v>1.023</v>
      </c>
      <c r="D2726" s="6">
        <v>66.0</v>
      </c>
      <c r="E2726" s="7" t="s">
        <v>7</v>
      </c>
      <c r="F2726" s="7" t="s">
        <v>8</v>
      </c>
      <c r="G2726" s="8"/>
    </row>
    <row r="2727">
      <c r="A2727" s="4">
        <v>43552.58690214121</v>
      </c>
      <c r="B2727" s="5">
        <v>43552.8785331597</v>
      </c>
      <c r="C2727" s="6">
        <v>1.023</v>
      </c>
      <c r="D2727" s="6">
        <v>66.0</v>
      </c>
      <c r="E2727" s="7" t="s">
        <v>7</v>
      </c>
      <c r="F2727" s="7" t="s">
        <v>8</v>
      </c>
      <c r="G2727" s="8"/>
    </row>
    <row r="2728">
      <c r="A2728" s="4">
        <v>43552.597330358796</v>
      </c>
      <c r="B2728" s="5">
        <v>43552.8889540162</v>
      </c>
      <c r="C2728" s="6">
        <v>1.023</v>
      </c>
      <c r="D2728" s="6">
        <v>66.0</v>
      </c>
      <c r="E2728" s="7" t="s">
        <v>7</v>
      </c>
      <c r="F2728" s="7" t="s">
        <v>8</v>
      </c>
      <c r="G2728" s="8"/>
    </row>
    <row r="2729">
      <c r="A2729" s="4">
        <v>43552.60774320602</v>
      </c>
      <c r="B2729" s="5">
        <v>43552.8993751736</v>
      </c>
      <c r="C2729" s="6">
        <v>1.023</v>
      </c>
      <c r="D2729" s="6">
        <v>66.0</v>
      </c>
      <c r="E2729" s="7" t="s">
        <v>7</v>
      </c>
      <c r="F2729" s="7" t="s">
        <v>8</v>
      </c>
      <c r="G2729" s="8"/>
    </row>
    <row r="2730">
      <c r="A2730" s="4">
        <v>43552.61816618056</v>
      </c>
      <c r="B2730" s="5">
        <v>43552.9097951273</v>
      </c>
      <c r="C2730" s="6">
        <v>1.024</v>
      </c>
      <c r="D2730" s="6">
        <v>66.0</v>
      </c>
      <c r="E2730" s="7" t="s">
        <v>7</v>
      </c>
      <c r="F2730" s="7" t="s">
        <v>8</v>
      </c>
      <c r="G2730" s="8"/>
    </row>
    <row r="2731">
      <c r="A2731" s="4">
        <v>43552.62858256944</v>
      </c>
      <c r="B2731" s="5">
        <v>43552.9202162731</v>
      </c>
      <c r="C2731" s="6">
        <v>1.023</v>
      </c>
      <c r="D2731" s="6">
        <v>66.0</v>
      </c>
      <c r="E2731" s="7" t="s">
        <v>7</v>
      </c>
      <c r="F2731" s="7" t="s">
        <v>8</v>
      </c>
      <c r="G2731" s="8"/>
    </row>
    <row r="2732">
      <c r="A2732" s="4">
        <v>43552.63900322917</v>
      </c>
      <c r="B2732" s="5">
        <v>43552.9306366435</v>
      </c>
      <c r="C2732" s="6">
        <v>1.023</v>
      </c>
      <c r="D2732" s="6">
        <v>66.0</v>
      </c>
      <c r="E2732" s="7" t="s">
        <v>7</v>
      </c>
      <c r="F2732" s="7" t="s">
        <v>8</v>
      </c>
      <c r="G2732" s="8"/>
    </row>
    <row r="2733">
      <c r="A2733" s="4">
        <v>43552.64942869213</v>
      </c>
      <c r="B2733" s="5">
        <v>43552.9410577662</v>
      </c>
      <c r="C2733" s="6">
        <v>1.023</v>
      </c>
      <c r="D2733" s="6">
        <v>66.0</v>
      </c>
      <c r="E2733" s="7" t="s">
        <v>7</v>
      </c>
      <c r="F2733" s="7" t="s">
        <v>8</v>
      </c>
      <c r="G2733" s="8"/>
    </row>
    <row r="2734">
      <c r="A2734" s="4">
        <v>43552.65984810185</v>
      </c>
      <c r="B2734" s="5">
        <v>43552.9514787152</v>
      </c>
      <c r="C2734" s="6">
        <v>1.023</v>
      </c>
      <c r="D2734" s="6">
        <v>66.0</v>
      </c>
      <c r="E2734" s="7" t="s">
        <v>7</v>
      </c>
      <c r="F2734" s="7" t="s">
        <v>8</v>
      </c>
      <c r="G2734" s="8"/>
    </row>
    <row r="2735">
      <c r="A2735" s="4">
        <v>43552.670260729166</v>
      </c>
      <c r="B2735" s="5">
        <v>43552.9618994676</v>
      </c>
      <c r="C2735" s="6">
        <v>1.023</v>
      </c>
      <c r="D2735" s="6">
        <v>66.0</v>
      </c>
      <c r="E2735" s="7" t="s">
        <v>7</v>
      </c>
      <c r="F2735" s="7" t="s">
        <v>8</v>
      </c>
      <c r="G2735" s="8"/>
    </row>
    <row r="2736">
      <c r="A2736" s="4">
        <v>43552.680688645836</v>
      </c>
      <c r="B2736" s="5">
        <v>43552.9723213078</v>
      </c>
      <c r="C2736" s="6">
        <v>1.023</v>
      </c>
      <c r="D2736" s="6">
        <v>66.0</v>
      </c>
      <c r="E2736" s="7" t="s">
        <v>7</v>
      </c>
      <c r="F2736" s="7" t="s">
        <v>8</v>
      </c>
      <c r="G2736" s="8"/>
    </row>
    <row r="2737">
      <c r="A2737" s="4">
        <v>43552.69111637732</v>
      </c>
      <c r="B2737" s="5">
        <v>43552.9827442245</v>
      </c>
      <c r="C2737" s="6">
        <v>1.023</v>
      </c>
      <c r="D2737" s="6">
        <v>66.0</v>
      </c>
      <c r="E2737" s="7" t="s">
        <v>7</v>
      </c>
      <c r="F2737" s="7" t="s">
        <v>8</v>
      </c>
      <c r="G2737" s="8"/>
    </row>
    <row r="2738">
      <c r="A2738" s="4">
        <v>43552.701531342595</v>
      </c>
      <c r="B2738" s="5">
        <v>43552.993165706</v>
      </c>
      <c r="C2738" s="6">
        <v>1.023</v>
      </c>
      <c r="D2738" s="6">
        <v>66.0</v>
      </c>
      <c r="E2738" s="7" t="s">
        <v>7</v>
      </c>
      <c r="F2738" s="7" t="s">
        <v>8</v>
      </c>
      <c r="G2738" s="8"/>
    </row>
    <row r="2739">
      <c r="A2739" s="4">
        <v>43552.71195320602</v>
      </c>
      <c r="B2739" s="5">
        <v>43553.0035879745</v>
      </c>
      <c r="C2739" s="6">
        <v>1.023</v>
      </c>
      <c r="D2739" s="6">
        <v>66.0</v>
      </c>
      <c r="E2739" s="7" t="s">
        <v>7</v>
      </c>
      <c r="F2739" s="7" t="s">
        <v>8</v>
      </c>
      <c r="G2739" s="8"/>
    </row>
    <row r="2740">
      <c r="A2740" s="4">
        <v>43552.722395219906</v>
      </c>
      <c r="B2740" s="5">
        <v>43553.0140316666</v>
      </c>
      <c r="C2740" s="6">
        <v>1.023</v>
      </c>
      <c r="D2740" s="6">
        <v>66.0</v>
      </c>
      <c r="E2740" s="7" t="s">
        <v>7</v>
      </c>
      <c r="F2740" s="7" t="s">
        <v>8</v>
      </c>
      <c r="G2740" s="8"/>
    </row>
    <row r="2741">
      <c r="A2741" s="4">
        <v>43552.732827604166</v>
      </c>
      <c r="B2741" s="5">
        <v>43553.0244631365</v>
      </c>
      <c r="C2741" s="6">
        <v>1.023</v>
      </c>
      <c r="D2741" s="6">
        <v>66.0</v>
      </c>
      <c r="E2741" s="7" t="s">
        <v>7</v>
      </c>
      <c r="F2741" s="7" t="s">
        <v>8</v>
      </c>
      <c r="G2741" s="8"/>
    </row>
    <row r="2742">
      <c r="A2742" s="4">
        <v>43552.74326876157</v>
      </c>
      <c r="B2742" s="5">
        <v>43553.034897581</v>
      </c>
      <c r="C2742" s="6">
        <v>1.023</v>
      </c>
      <c r="D2742" s="6">
        <v>66.0</v>
      </c>
      <c r="E2742" s="7" t="s">
        <v>7</v>
      </c>
      <c r="F2742" s="7" t="s">
        <v>8</v>
      </c>
      <c r="G2742" s="8"/>
    </row>
    <row r="2743">
      <c r="A2743" s="4">
        <v>43552.75368618056</v>
      </c>
      <c r="B2743" s="5">
        <v>43553.0453188425</v>
      </c>
      <c r="C2743" s="6">
        <v>1.023</v>
      </c>
      <c r="D2743" s="6">
        <v>66.0</v>
      </c>
      <c r="E2743" s="7" t="s">
        <v>7</v>
      </c>
      <c r="F2743" s="7" t="s">
        <v>8</v>
      </c>
      <c r="G2743" s="8"/>
    </row>
    <row r="2744">
      <c r="A2744" s="4">
        <v>43552.76411744213</v>
      </c>
      <c r="B2744" s="5">
        <v>43553.055739456</v>
      </c>
      <c r="C2744" s="6">
        <v>1.023</v>
      </c>
      <c r="D2744" s="6">
        <v>66.0</v>
      </c>
      <c r="E2744" s="7" t="s">
        <v>7</v>
      </c>
      <c r="F2744" s="7" t="s">
        <v>8</v>
      </c>
      <c r="G2744" s="8"/>
    </row>
    <row r="2745">
      <c r="A2745" s="4">
        <v>43552.774540196755</v>
      </c>
      <c r="B2745" s="5">
        <v>43553.0661719444</v>
      </c>
      <c r="C2745" s="6">
        <v>1.023</v>
      </c>
      <c r="D2745" s="6">
        <v>66.0</v>
      </c>
      <c r="E2745" s="7" t="s">
        <v>7</v>
      </c>
      <c r="F2745" s="7" t="s">
        <v>8</v>
      </c>
      <c r="G2745" s="8"/>
    </row>
    <row r="2746">
      <c r="A2746" s="4">
        <v>43552.784994016205</v>
      </c>
      <c r="B2746" s="5">
        <v>43553.0766174074</v>
      </c>
      <c r="C2746" s="6">
        <v>1.023</v>
      </c>
      <c r="D2746" s="6">
        <v>66.0</v>
      </c>
      <c r="E2746" s="7" t="s">
        <v>7</v>
      </c>
      <c r="F2746" s="7" t="s">
        <v>8</v>
      </c>
      <c r="G2746" s="8"/>
    </row>
    <row r="2747">
      <c r="A2747" s="4">
        <v>43552.79540905093</v>
      </c>
      <c r="B2747" s="5">
        <v>43553.0870391203</v>
      </c>
      <c r="C2747" s="6">
        <v>1.023</v>
      </c>
      <c r="D2747" s="6">
        <v>66.0</v>
      </c>
      <c r="E2747" s="7" t="s">
        <v>7</v>
      </c>
      <c r="F2747" s="7" t="s">
        <v>8</v>
      </c>
      <c r="G2747" s="8"/>
    </row>
    <row r="2748">
      <c r="A2748" s="4">
        <v>43552.80582369213</v>
      </c>
      <c r="B2748" s="5">
        <v>43553.0974590625</v>
      </c>
      <c r="C2748" s="6">
        <v>1.023</v>
      </c>
      <c r="D2748" s="6">
        <v>66.0</v>
      </c>
      <c r="E2748" s="7" t="s">
        <v>7</v>
      </c>
      <c r="F2748" s="7" t="s">
        <v>8</v>
      </c>
      <c r="G2748" s="8"/>
    </row>
    <row r="2749">
      <c r="A2749" s="4">
        <v>43552.81626305556</v>
      </c>
      <c r="B2749" s="5">
        <v>43553.1078940162</v>
      </c>
      <c r="C2749" s="6">
        <v>1.023</v>
      </c>
      <c r="D2749" s="6">
        <v>66.0</v>
      </c>
      <c r="E2749" s="7" t="s">
        <v>7</v>
      </c>
      <c r="F2749" s="7" t="s">
        <v>8</v>
      </c>
      <c r="G2749" s="8"/>
    </row>
    <row r="2750">
      <c r="A2750" s="4">
        <v>43552.82674355324</v>
      </c>
      <c r="B2750" s="5">
        <v>43553.118314537</v>
      </c>
      <c r="C2750" s="6">
        <v>1.023</v>
      </c>
      <c r="D2750" s="6">
        <v>66.0</v>
      </c>
      <c r="E2750" s="7" t="s">
        <v>7</v>
      </c>
      <c r="F2750" s="7" t="s">
        <v>8</v>
      </c>
      <c r="G2750" s="8"/>
    </row>
    <row r="2751">
      <c r="A2751" s="4">
        <v>43552.83710210648</v>
      </c>
      <c r="B2751" s="5">
        <v>43553.128734537</v>
      </c>
      <c r="C2751" s="6">
        <v>1.023</v>
      </c>
      <c r="D2751" s="6">
        <v>66.0</v>
      </c>
      <c r="E2751" s="7" t="s">
        <v>7</v>
      </c>
      <c r="F2751" s="7" t="s">
        <v>8</v>
      </c>
      <c r="G2751" s="8"/>
    </row>
    <row r="2752">
      <c r="A2752" s="4">
        <v>43552.84754798611</v>
      </c>
      <c r="B2752" s="5">
        <v>43553.1391668055</v>
      </c>
      <c r="C2752" s="6">
        <v>1.023</v>
      </c>
      <c r="D2752" s="6">
        <v>66.0</v>
      </c>
      <c r="E2752" s="7" t="s">
        <v>7</v>
      </c>
      <c r="F2752" s="7" t="s">
        <v>8</v>
      </c>
      <c r="G2752" s="8"/>
    </row>
    <row r="2753">
      <c r="A2753" s="4">
        <v>43552.85797140046</v>
      </c>
      <c r="B2753" s="5">
        <v>43553.1495871064</v>
      </c>
      <c r="C2753" s="6">
        <v>1.023</v>
      </c>
      <c r="D2753" s="6">
        <v>66.0</v>
      </c>
      <c r="E2753" s="7" t="s">
        <v>7</v>
      </c>
      <c r="F2753" s="7" t="s">
        <v>8</v>
      </c>
      <c r="G2753" s="8"/>
    </row>
    <row r="2754">
      <c r="A2754" s="4">
        <v>43552.868384155096</v>
      </c>
      <c r="B2754" s="5">
        <v>43553.1600084953</v>
      </c>
      <c r="C2754" s="6">
        <v>1.023</v>
      </c>
      <c r="D2754" s="6">
        <v>66.0</v>
      </c>
      <c r="E2754" s="7" t="s">
        <v>7</v>
      </c>
      <c r="F2754" s="7" t="s">
        <v>8</v>
      </c>
      <c r="G2754" s="8"/>
    </row>
    <row r="2755">
      <c r="A2755" s="4">
        <v>43552.87879585648</v>
      </c>
      <c r="B2755" s="5">
        <v>43553.170430324</v>
      </c>
      <c r="C2755" s="6">
        <v>1.023</v>
      </c>
      <c r="D2755" s="6">
        <v>66.0</v>
      </c>
      <c r="E2755" s="7" t="s">
        <v>7</v>
      </c>
      <c r="F2755" s="7" t="s">
        <v>8</v>
      </c>
      <c r="G2755" s="8"/>
    </row>
    <row r="2756">
      <c r="A2756" s="4">
        <v>43552.88921822917</v>
      </c>
      <c r="B2756" s="5">
        <v>43553.180851412</v>
      </c>
      <c r="C2756" s="6">
        <v>1.023</v>
      </c>
      <c r="D2756" s="6">
        <v>66.0</v>
      </c>
      <c r="E2756" s="7" t="s">
        <v>7</v>
      </c>
      <c r="F2756" s="7" t="s">
        <v>8</v>
      </c>
      <c r="G2756" s="8"/>
    </row>
    <row r="2757">
      <c r="A2757" s="4">
        <v>43552.899638483796</v>
      </c>
      <c r="B2757" s="5">
        <v>43553.1912727314</v>
      </c>
      <c r="C2757" s="6">
        <v>1.023</v>
      </c>
      <c r="D2757" s="6">
        <v>66.0</v>
      </c>
      <c r="E2757" s="7" t="s">
        <v>7</v>
      </c>
      <c r="F2757" s="7" t="s">
        <v>8</v>
      </c>
      <c r="G2757" s="8"/>
    </row>
    <row r="2758">
      <c r="A2758" s="4">
        <v>43552.91005918982</v>
      </c>
      <c r="B2758" s="5">
        <v>43553.2016930787</v>
      </c>
      <c r="C2758" s="6">
        <v>1.023</v>
      </c>
      <c r="D2758" s="6">
        <v>66.0</v>
      </c>
      <c r="E2758" s="7" t="s">
        <v>7</v>
      </c>
      <c r="F2758" s="7" t="s">
        <v>8</v>
      </c>
      <c r="G2758" s="8"/>
    </row>
    <row r="2759">
      <c r="A2759" s="4">
        <v>43552.9205075</v>
      </c>
      <c r="B2759" s="5">
        <v>43553.2121370023</v>
      </c>
      <c r="C2759" s="6">
        <v>1.023</v>
      </c>
      <c r="D2759" s="6">
        <v>66.0</v>
      </c>
      <c r="E2759" s="7" t="s">
        <v>7</v>
      </c>
      <c r="F2759" s="7" t="s">
        <v>8</v>
      </c>
      <c r="G2759" s="8"/>
    </row>
    <row r="2760">
      <c r="A2760" s="4">
        <v>43552.93092565972</v>
      </c>
      <c r="B2760" s="5">
        <v>43553.2225577662</v>
      </c>
      <c r="C2760" s="6">
        <v>1.023</v>
      </c>
      <c r="D2760" s="6">
        <v>66.0</v>
      </c>
      <c r="E2760" s="7" t="s">
        <v>7</v>
      </c>
      <c r="F2760" s="7" t="s">
        <v>8</v>
      </c>
      <c r="G2760" s="8"/>
    </row>
    <row r="2761">
      <c r="A2761" s="4">
        <v>43552.9413447338</v>
      </c>
      <c r="B2761" s="5">
        <v>43553.2329787847</v>
      </c>
      <c r="C2761" s="6">
        <v>1.023</v>
      </c>
      <c r="D2761" s="6">
        <v>66.0</v>
      </c>
      <c r="E2761" s="7" t="s">
        <v>7</v>
      </c>
      <c r="F2761" s="7" t="s">
        <v>8</v>
      </c>
      <c r="G2761" s="8"/>
    </row>
    <row r="2762">
      <c r="A2762" s="4">
        <v>43552.95177393519</v>
      </c>
      <c r="B2762" s="5">
        <v>43553.2433991319</v>
      </c>
      <c r="C2762" s="6">
        <v>1.023</v>
      </c>
      <c r="D2762" s="6">
        <v>66.0</v>
      </c>
      <c r="E2762" s="7" t="s">
        <v>7</v>
      </c>
      <c r="F2762" s="7" t="s">
        <v>8</v>
      </c>
      <c r="G2762" s="8"/>
    </row>
    <row r="2763">
      <c r="A2763" s="4">
        <v>43552.96218138889</v>
      </c>
      <c r="B2763" s="5">
        <v>43553.2538193518</v>
      </c>
      <c r="C2763" s="6">
        <v>1.023</v>
      </c>
      <c r="D2763" s="6">
        <v>66.0</v>
      </c>
      <c r="E2763" s="7" t="s">
        <v>7</v>
      </c>
      <c r="F2763" s="7" t="s">
        <v>8</v>
      </c>
      <c r="G2763" s="8"/>
    </row>
    <row r="2764">
      <c r="A2764" s="4">
        <v>43552.97260984954</v>
      </c>
      <c r="B2764" s="5">
        <v>43553.2642419676</v>
      </c>
      <c r="C2764" s="6">
        <v>1.023</v>
      </c>
      <c r="D2764" s="6">
        <v>66.0</v>
      </c>
      <c r="E2764" s="7" t="s">
        <v>7</v>
      </c>
      <c r="F2764" s="7" t="s">
        <v>8</v>
      </c>
      <c r="G2764" s="8"/>
    </row>
    <row r="2765">
      <c r="A2765" s="4">
        <v>43552.983119490746</v>
      </c>
      <c r="B2765" s="5">
        <v>43553.2746869444</v>
      </c>
      <c r="C2765" s="6">
        <v>1.023</v>
      </c>
      <c r="D2765" s="6">
        <v>66.0</v>
      </c>
      <c r="E2765" s="7" t="s">
        <v>7</v>
      </c>
      <c r="F2765" s="7" t="s">
        <v>8</v>
      </c>
      <c r="G2765" s="8"/>
    </row>
    <row r="2766">
      <c r="A2766" s="4">
        <v>43552.993525949074</v>
      </c>
      <c r="B2766" s="5">
        <v>43553.2851094444</v>
      </c>
      <c r="C2766" s="6">
        <v>1.023</v>
      </c>
      <c r="D2766" s="6">
        <v>66.0</v>
      </c>
      <c r="E2766" s="7" t="s">
        <v>7</v>
      </c>
      <c r="F2766" s="7" t="s">
        <v>8</v>
      </c>
      <c r="G2766" s="8"/>
    </row>
    <row r="2767">
      <c r="A2767" s="4">
        <v>43553.00390134259</v>
      </c>
      <c r="B2767" s="5">
        <v>43553.2955414699</v>
      </c>
      <c r="C2767" s="6">
        <v>1.023</v>
      </c>
      <c r="D2767" s="6">
        <v>66.0</v>
      </c>
      <c r="E2767" s="7" t="s">
        <v>7</v>
      </c>
      <c r="F2767" s="7" t="s">
        <v>8</v>
      </c>
      <c r="G2767" s="8"/>
    </row>
    <row r="2768">
      <c r="A2768" s="4">
        <v>43553.014371296296</v>
      </c>
      <c r="B2768" s="5">
        <v>43553.3059980902</v>
      </c>
      <c r="C2768" s="6">
        <v>1.023</v>
      </c>
      <c r="D2768" s="6">
        <v>66.0</v>
      </c>
      <c r="E2768" s="7" t="s">
        <v>7</v>
      </c>
      <c r="F2768" s="7" t="s">
        <v>8</v>
      </c>
      <c r="G2768" s="8"/>
    </row>
    <row r="2769">
      <c r="A2769" s="4">
        <v>43553.02479206018</v>
      </c>
      <c r="B2769" s="5">
        <v>43553.3164204051</v>
      </c>
      <c r="C2769" s="6">
        <v>1.023</v>
      </c>
      <c r="D2769" s="6">
        <v>66.0</v>
      </c>
      <c r="E2769" s="7" t="s">
        <v>7</v>
      </c>
      <c r="F2769" s="7" t="s">
        <v>8</v>
      </c>
      <c r="G2769" s="8"/>
    </row>
    <row r="2770">
      <c r="A2770" s="4">
        <v>43553.035213668976</v>
      </c>
      <c r="B2770" s="5">
        <v>43553.3268414236</v>
      </c>
      <c r="C2770" s="6">
        <v>1.023</v>
      </c>
      <c r="D2770" s="6">
        <v>66.0</v>
      </c>
      <c r="E2770" s="7" t="s">
        <v>7</v>
      </c>
      <c r="F2770" s="7" t="s">
        <v>8</v>
      </c>
      <c r="G2770" s="8"/>
    </row>
    <row r="2771">
      <c r="A2771" s="4">
        <v>43553.04563638889</v>
      </c>
      <c r="B2771" s="5">
        <v>43553.337273368</v>
      </c>
      <c r="C2771" s="6">
        <v>1.023</v>
      </c>
      <c r="D2771" s="6">
        <v>66.0</v>
      </c>
      <c r="E2771" s="7" t="s">
        <v>7</v>
      </c>
      <c r="F2771" s="7" t="s">
        <v>8</v>
      </c>
      <c r="G2771" s="8"/>
    </row>
    <row r="2772">
      <c r="A2772" s="4">
        <v>43553.06654291667</v>
      </c>
      <c r="B2772" s="5">
        <v>43553.3581190162</v>
      </c>
      <c r="C2772" s="6">
        <v>1.023</v>
      </c>
      <c r="D2772" s="6">
        <v>66.0</v>
      </c>
      <c r="E2772" s="7" t="s">
        <v>7</v>
      </c>
      <c r="F2772" s="7" t="s">
        <v>8</v>
      </c>
      <c r="G2772" s="8"/>
    </row>
    <row r="2773">
      <c r="A2773" s="4">
        <v>43553.07690478009</v>
      </c>
      <c r="B2773" s="5">
        <v>43553.3685392592</v>
      </c>
      <c r="C2773" s="6">
        <v>1.023</v>
      </c>
      <c r="D2773" s="6">
        <v>66.0</v>
      </c>
      <c r="E2773" s="7" t="s">
        <v>7</v>
      </c>
      <c r="F2773" s="7" t="s">
        <v>8</v>
      </c>
      <c r="G2773" s="8"/>
    </row>
    <row r="2774">
      <c r="A2774" s="4">
        <v>43553.08737475694</v>
      </c>
      <c r="B2774" s="5">
        <v>43553.3790073611</v>
      </c>
      <c r="C2774" s="6">
        <v>1.023</v>
      </c>
      <c r="D2774" s="6">
        <v>66.0</v>
      </c>
      <c r="E2774" s="7" t="s">
        <v>7</v>
      </c>
      <c r="F2774" s="7" t="s">
        <v>8</v>
      </c>
      <c r="G2774" s="8"/>
    </row>
    <row r="2775">
      <c r="A2775" s="4">
        <v>43553.09781173611</v>
      </c>
      <c r="B2775" s="5">
        <v>43553.3894397106</v>
      </c>
      <c r="C2775" s="6">
        <v>1.023</v>
      </c>
      <c r="D2775" s="6">
        <v>66.0</v>
      </c>
      <c r="E2775" s="7" t="s">
        <v>7</v>
      </c>
      <c r="F2775" s="7" t="s">
        <v>8</v>
      </c>
      <c r="G2775" s="8"/>
    </row>
    <row r="2776">
      <c r="A2776" s="4">
        <v>43553.108231238424</v>
      </c>
      <c r="B2776" s="5">
        <v>43553.3998610416</v>
      </c>
      <c r="C2776" s="6">
        <v>1.023</v>
      </c>
      <c r="D2776" s="6">
        <v>66.0</v>
      </c>
      <c r="E2776" s="7" t="s">
        <v>7</v>
      </c>
      <c r="F2776" s="7" t="s">
        <v>8</v>
      </c>
      <c r="G2776" s="8"/>
    </row>
    <row r="2777">
      <c r="A2777" s="4">
        <v>43553.11864833333</v>
      </c>
      <c r="B2777" s="5">
        <v>43553.4102837615</v>
      </c>
      <c r="C2777" s="6">
        <v>1.023</v>
      </c>
      <c r="D2777" s="6">
        <v>66.0</v>
      </c>
      <c r="E2777" s="7" t="s">
        <v>7</v>
      </c>
      <c r="F2777" s="7" t="s">
        <v>8</v>
      </c>
      <c r="G2777" s="8"/>
    </row>
    <row r="2778">
      <c r="A2778" s="4">
        <v>43553.12908583334</v>
      </c>
      <c r="B2778" s="5">
        <v>43553.4207162499</v>
      </c>
      <c r="C2778" s="6">
        <v>1.023</v>
      </c>
      <c r="D2778" s="6">
        <v>66.0</v>
      </c>
      <c r="E2778" s="7" t="s">
        <v>7</v>
      </c>
      <c r="F2778" s="7" t="s">
        <v>8</v>
      </c>
      <c r="G2778" s="8"/>
    </row>
    <row r="2779">
      <c r="A2779" s="4">
        <v>43553.139516967596</v>
      </c>
      <c r="B2779" s="5">
        <v>43553.4311611458</v>
      </c>
      <c r="C2779" s="6">
        <v>1.023</v>
      </c>
      <c r="D2779" s="6">
        <v>66.0</v>
      </c>
      <c r="E2779" s="7" t="s">
        <v>7</v>
      </c>
      <c r="F2779" s="7" t="s">
        <v>8</v>
      </c>
      <c r="G2779" s="8"/>
    </row>
    <row r="2780">
      <c r="A2780" s="4">
        <v>43553.1499593287</v>
      </c>
      <c r="B2780" s="5">
        <v>43553.4415937731</v>
      </c>
      <c r="C2780" s="6">
        <v>1.023</v>
      </c>
      <c r="D2780" s="6">
        <v>66.0</v>
      </c>
      <c r="E2780" s="7" t="s">
        <v>7</v>
      </c>
      <c r="F2780" s="7" t="s">
        <v>8</v>
      </c>
      <c r="G2780" s="8"/>
    </row>
    <row r="2781">
      <c r="A2781" s="4">
        <v>43553.16038821759</v>
      </c>
      <c r="B2781" s="5">
        <v>43553.4520267361</v>
      </c>
      <c r="C2781" s="6">
        <v>1.023</v>
      </c>
      <c r="D2781" s="6">
        <v>66.0</v>
      </c>
      <c r="E2781" s="7" t="s">
        <v>7</v>
      </c>
      <c r="F2781" s="7" t="s">
        <v>8</v>
      </c>
      <c r="G2781" s="8"/>
    </row>
    <row r="2782">
      <c r="A2782" s="4">
        <v>43553.170828449074</v>
      </c>
      <c r="B2782" s="5">
        <v>43553.4624602083</v>
      </c>
      <c r="C2782" s="6">
        <v>1.023</v>
      </c>
      <c r="D2782" s="6">
        <v>66.0</v>
      </c>
      <c r="E2782" s="7" t="s">
        <v>7</v>
      </c>
      <c r="F2782" s="7" t="s">
        <v>8</v>
      </c>
      <c r="G2782" s="8"/>
    </row>
    <row r="2783">
      <c r="A2783" s="4">
        <v>43553.181250636575</v>
      </c>
      <c r="B2783" s="5">
        <v>43553.4728922916</v>
      </c>
      <c r="C2783" s="6">
        <v>1.023</v>
      </c>
      <c r="D2783" s="6">
        <v>66.0</v>
      </c>
      <c r="E2783" s="7" t="s">
        <v>7</v>
      </c>
      <c r="F2783" s="7" t="s">
        <v>8</v>
      </c>
      <c r="G2783" s="8"/>
    </row>
    <row r="2784">
      <c r="A2784" s="4">
        <v>43553.19167726852</v>
      </c>
      <c r="B2784" s="5">
        <v>43553.4833129745</v>
      </c>
      <c r="C2784" s="6">
        <v>1.023</v>
      </c>
      <c r="D2784" s="6">
        <v>66.0</v>
      </c>
      <c r="E2784" s="7" t="s">
        <v>7</v>
      </c>
      <c r="F2784" s="7" t="s">
        <v>8</v>
      </c>
      <c r="G2784" s="8"/>
    </row>
    <row r="2785">
      <c r="A2785" s="4">
        <v>43553.20212056713</v>
      </c>
      <c r="B2785" s="5">
        <v>43553.493757824</v>
      </c>
      <c r="C2785" s="6">
        <v>1.023</v>
      </c>
      <c r="D2785" s="6">
        <v>66.0</v>
      </c>
      <c r="E2785" s="7" t="s">
        <v>7</v>
      </c>
      <c r="F2785" s="7" t="s">
        <v>8</v>
      </c>
      <c r="G2785" s="8"/>
    </row>
    <row r="2786">
      <c r="A2786" s="4">
        <v>43553.21256344907</v>
      </c>
      <c r="B2786" s="5">
        <v>43553.5042027893</v>
      </c>
      <c r="C2786" s="6">
        <v>1.023</v>
      </c>
      <c r="D2786" s="6">
        <v>66.0</v>
      </c>
      <c r="E2786" s="7" t="s">
        <v>7</v>
      </c>
      <c r="F2786" s="7" t="s">
        <v>8</v>
      </c>
      <c r="G2786" s="8"/>
    </row>
    <row r="2787">
      <c r="A2787" s="4">
        <v>43553.22300061343</v>
      </c>
      <c r="B2787" s="5">
        <v>43553.5146338773</v>
      </c>
      <c r="C2787" s="6">
        <v>1.023</v>
      </c>
      <c r="D2787" s="6">
        <v>66.0</v>
      </c>
      <c r="E2787" s="7" t="s">
        <v>7</v>
      </c>
      <c r="F2787" s="7" t="s">
        <v>8</v>
      </c>
      <c r="G2787" s="8"/>
    </row>
    <row r="2788">
      <c r="A2788" s="4">
        <v>43553.233425370374</v>
      </c>
      <c r="B2788" s="5">
        <v>43553.5250560069</v>
      </c>
      <c r="C2788" s="6">
        <v>1.023</v>
      </c>
      <c r="D2788" s="6">
        <v>66.0</v>
      </c>
      <c r="E2788" s="7" t="s">
        <v>7</v>
      </c>
      <c r="F2788" s="7" t="s">
        <v>8</v>
      </c>
      <c r="G2788" s="8"/>
    </row>
    <row r="2789">
      <c r="A2789" s="4">
        <v>43553.24384083333</v>
      </c>
      <c r="B2789" s="5">
        <v>43553.535477824</v>
      </c>
      <c r="C2789" s="6">
        <v>1.023</v>
      </c>
      <c r="D2789" s="6">
        <v>66.0</v>
      </c>
      <c r="E2789" s="7" t="s">
        <v>7</v>
      </c>
      <c r="F2789" s="7" t="s">
        <v>8</v>
      </c>
      <c r="G2789" s="8"/>
    </row>
    <row r="2790">
      <c r="A2790" s="4">
        <v>43553.25426105324</v>
      </c>
      <c r="B2790" s="5">
        <v>43553.5459006018</v>
      </c>
      <c r="C2790" s="6">
        <v>1.023</v>
      </c>
      <c r="D2790" s="6">
        <v>66.0</v>
      </c>
      <c r="E2790" s="7" t="s">
        <v>7</v>
      </c>
      <c r="F2790" s="7" t="s">
        <v>8</v>
      </c>
      <c r="G2790" s="8"/>
    </row>
    <row r="2791">
      <c r="A2791" s="4">
        <v>43553.26469045139</v>
      </c>
      <c r="B2791" s="5">
        <v>43553.5563333564</v>
      </c>
      <c r="C2791" s="6">
        <v>1.023</v>
      </c>
      <c r="D2791" s="6">
        <v>66.0</v>
      </c>
      <c r="E2791" s="7" t="s">
        <v>7</v>
      </c>
      <c r="F2791" s="7" t="s">
        <v>8</v>
      </c>
      <c r="G2791" s="8"/>
    </row>
    <row r="2792">
      <c r="A2792" s="4">
        <v>43553.27511956019</v>
      </c>
      <c r="B2792" s="5">
        <v>43553.5667541435</v>
      </c>
      <c r="C2792" s="6">
        <v>1.023</v>
      </c>
      <c r="D2792" s="6">
        <v>66.0</v>
      </c>
      <c r="E2792" s="7" t="s">
        <v>7</v>
      </c>
      <c r="F2792" s="7" t="s">
        <v>8</v>
      </c>
      <c r="G2792" s="8"/>
    </row>
    <row r="2793">
      <c r="A2793" s="4">
        <v>43553.28554318287</v>
      </c>
      <c r="B2793" s="5">
        <v>43553.5771748958</v>
      </c>
      <c r="C2793" s="6">
        <v>1.023</v>
      </c>
      <c r="D2793" s="6">
        <v>66.0</v>
      </c>
      <c r="E2793" s="7" t="s">
        <v>7</v>
      </c>
      <c r="F2793" s="7" t="s">
        <v>8</v>
      </c>
      <c r="G2793" s="8"/>
    </row>
    <row r="2794">
      <c r="A2794" s="4">
        <v>43553.29596101852</v>
      </c>
      <c r="B2794" s="5">
        <v>43553.5875971875</v>
      </c>
      <c r="C2794" s="6">
        <v>1.023</v>
      </c>
      <c r="D2794" s="6">
        <v>66.0</v>
      </c>
      <c r="E2794" s="7" t="s">
        <v>7</v>
      </c>
      <c r="F2794" s="7" t="s">
        <v>8</v>
      </c>
      <c r="G2794" s="8"/>
    </row>
    <row r="2795">
      <c r="A2795" s="4">
        <v>43553.30639372685</v>
      </c>
      <c r="B2795" s="5">
        <v>43553.5980306134</v>
      </c>
      <c r="C2795" s="6">
        <v>1.023</v>
      </c>
      <c r="D2795" s="6">
        <v>66.0</v>
      </c>
      <c r="E2795" s="7" t="s">
        <v>7</v>
      </c>
      <c r="F2795" s="7" t="s">
        <v>8</v>
      </c>
      <c r="G2795" s="8"/>
    </row>
    <row r="2796">
      <c r="A2796" s="4">
        <v>43553.31683111111</v>
      </c>
      <c r="B2796" s="5">
        <v>43553.6084503356</v>
      </c>
      <c r="C2796" s="6">
        <v>1.023</v>
      </c>
      <c r="D2796" s="6">
        <v>66.0</v>
      </c>
      <c r="E2796" s="7" t="s">
        <v>7</v>
      </c>
      <c r="F2796" s="7" t="s">
        <v>8</v>
      </c>
      <c r="G2796" s="8"/>
    </row>
    <row r="2797">
      <c r="A2797" s="4">
        <v>43553.327240983795</v>
      </c>
      <c r="B2797" s="5">
        <v>43553.6188716319</v>
      </c>
      <c r="C2797" s="6">
        <v>1.023</v>
      </c>
      <c r="D2797" s="6">
        <v>66.0</v>
      </c>
      <c r="E2797" s="7" t="s">
        <v>7</v>
      </c>
      <c r="F2797" s="7" t="s">
        <v>8</v>
      </c>
      <c r="G2797" s="8"/>
    </row>
    <row r="2798">
      <c r="A2798" s="4">
        <v>43553.337653877315</v>
      </c>
      <c r="B2798" s="5">
        <v>43553.6292927893</v>
      </c>
      <c r="C2798" s="6">
        <v>1.022</v>
      </c>
      <c r="D2798" s="6">
        <v>66.0</v>
      </c>
      <c r="E2798" s="7" t="s">
        <v>7</v>
      </c>
      <c r="F2798" s="7" t="s">
        <v>8</v>
      </c>
      <c r="G2798" s="8"/>
    </row>
    <row r="2799">
      <c r="A2799" s="4">
        <v>43553.34807707176</v>
      </c>
      <c r="B2799" s="5">
        <v>43553.6397130902</v>
      </c>
      <c r="C2799" s="6">
        <v>1.023</v>
      </c>
      <c r="D2799" s="6">
        <v>66.0</v>
      </c>
      <c r="E2799" s="7" t="s">
        <v>7</v>
      </c>
      <c r="F2799" s="7" t="s">
        <v>8</v>
      </c>
      <c r="G2799" s="8"/>
    </row>
    <row r="2800">
      <c r="A2800" s="4">
        <v>43553.358518900466</v>
      </c>
      <c r="B2800" s="5">
        <v>43553.6501575925</v>
      </c>
      <c r="C2800" s="6">
        <v>1.023</v>
      </c>
      <c r="D2800" s="6">
        <v>66.0</v>
      </c>
      <c r="E2800" s="7" t="s">
        <v>7</v>
      </c>
      <c r="F2800" s="7" t="s">
        <v>8</v>
      </c>
      <c r="G2800" s="8"/>
    </row>
    <row r="2801">
      <c r="A2801" s="4">
        <v>43553.36901085648</v>
      </c>
      <c r="B2801" s="5">
        <v>43553.6606472685</v>
      </c>
      <c r="C2801" s="6">
        <v>1.023</v>
      </c>
      <c r="D2801" s="6">
        <v>66.0</v>
      </c>
      <c r="E2801" s="7" t="s">
        <v>7</v>
      </c>
      <c r="F2801" s="7" t="s">
        <v>8</v>
      </c>
      <c r="G2801" s="8"/>
    </row>
    <row r="2802">
      <c r="A2802" s="4">
        <v>43553.37944476852</v>
      </c>
      <c r="B2802" s="5">
        <v>43553.6710805324</v>
      </c>
      <c r="C2802" s="6">
        <v>1.023</v>
      </c>
      <c r="D2802" s="6">
        <v>66.0</v>
      </c>
      <c r="E2802" s="7" t="s">
        <v>7</v>
      </c>
      <c r="F2802" s="7" t="s">
        <v>8</v>
      </c>
      <c r="G2802" s="8"/>
    </row>
    <row r="2803">
      <c r="A2803" s="4">
        <v>43553.390040555554</v>
      </c>
      <c r="B2803" s="5">
        <v>43553.6816762847</v>
      </c>
      <c r="C2803" s="6">
        <v>1.023</v>
      </c>
      <c r="D2803" s="6">
        <v>66.0</v>
      </c>
      <c r="E2803" s="7" t="s">
        <v>7</v>
      </c>
      <c r="F2803" s="7" t="s">
        <v>8</v>
      </c>
      <c r="G2803" s="8"/>
    </row>
    <row r="2804">
      <c r="A2804" s="4">
        <v>43553.400472719906</v>
      </c>
      <c r="B2804" s="5">
        <v>43553.692108125</v>
      </c>
      <c r="C2804" s="6">
        <v>1.023</v>
      </c>
      <c r="D2804" s="6">
        <v>66.0</v>
      </c>
      <c r="E2804" s="7" t="s">
        <v>7</v>
      </c>
      <c r="F2804" s="7" t="s">
        <v>8</v>
      </c>
      <c r="G2804" s="8"/>
    </row>
    <row r="2805">
      <c r="A2805" s="4">
        <v>43553.410905972225</v>
      </c>
      <c r="B2805" s="5">
        <v>43553.7025408333</v>
      </c>
      <c r="C2805" s="6">
        <v>1.022</v>
      </c>
      <c r="D2805" s="6">
        <v>66.0</v>
      </c>
      <c r="E2805" s="7" t="s">
        <v>7</v>
      </c>
      <c r="F2805" s="7" t="s">
        <v>8</v>
      </c>
      <c r="G2805" s="8"/>
    </row>
    <row r="2806">
      <c r="A2806" s="4">
        <v>43553.42132872685</v>
      </c>
      <c r="B2806" s="5">
        <v>43553.7129623148</v>
      </c>
      <c r="C2806" s="6">
        <v>1.023</v>
      </c>
      <c r="D2806" s="6">
        <v>66.0</v>
      </c>
      <c r="E2806" s="7" t="s">
        <v>7</v>
      </c>
      <c r="F2806" s="7" t="s">
        <v>8</v>
      </c>
      <c r="G2806" s="8"/>
    </row>
    <row r="2807">
      <c r="A2807" s="4">
        <v>43553.431766747686</v>
      </c>
      <c r="B2807" s="5">
        <v>43553.723393993</v>
      </c>
      <c r="C2807" s="6">
        <v>1.023</v>
      </c>
      <c r="D2807" s="6">
        <v>66.0</v>
      </c>
      <c r="E2807" s="7" t="s">
        <v>7</v>
      </c>
      <c r="F2807" s="7" t="s">
        <v>8</v>
      </c>
      <c r="G2807" s="8"/>
    </row>
    <row r="2808">
      <c r="A2808" s="4">
        <v>43553.44219756944</v>
      </c>
      <c r="B2808" s="5">
        <v>43553.733838912</v>
      </c>
      <c r="C2808" s="6">
        <v>1.023</v>
      </c>
      <c r="D2808" s="6">
        <v>66.0</v>
      </c>
      <c r="E2808" s="7" t="s">
        <v>7</v>
      </c>
      <c r="F2808" s="7" t="s">
        <v>8</v>
      </c>
      <c r="G2808" s="8"/>
    </row>
    <row r="2809">
      <c r="A2809" s="4">
        <v>43553.45266130787</v>
      </c>
      <c r="B2809" s="5">
        <v>43553.7442956365</v>
      </c>
      <c r="C2809" s="6">
        <v>1.022</v>
      </c>
      <c r="D2809" s="6">
        <v>66.0</v>
      </c>
      <c r="E2809" s="7" t="s">
        <v>7</v>
      </c>
      <c r="F2809" s="7" t="s">
        <v>8</v>
      </c>
      <c r="G2809" s="8"/>
    </row>
    <row r="2810">
      <c r="A2810" s="4">
        <v>43553.46307614583</v>
      </c>
      <c r="B2810" s="5">
        <v>43553.7547171643</v>
      </c>
      <c r="C2810" s="6">
        <v>1.022</v>
      </c>
      <c r="D2810" s="6">
        <v>66.0</v>
      </c>
      <c r="E2810" s="7" t="s">
        <v>7</v>
      </c>
      <c r="F2810" s="7" t="s">
        <v>8</v>
      </c>
      <c r="G2810" s="8"/>
    </row>
    <row r="2811">
      <c r="A2811" s="4">
        <v>43553.47351070602</v>
      </c>
      <c r="B2811" s="5">
        <v>43553.7651495138</v>
      </c>
      <c r="C2811" s="6">
        <v>1.022</v>
      </c>
      <c r="D2811" s="6">
        <v>66.0</v>
      </c>
      <c r="E2811" s="7" t="s">
        <v>7</v>
      </c>
      <c r="F2811" s="7" t="s">
        <v>8</v>
      </c>
      <c r="G2811" s="8"/>
    </row>
    <row r="2812">
      <c r="A2812" s="4">
        <v>43553.483954247684</v>
      </c>
      <c r="B2812" s="5">
        <v>43553.775583993</v>
      </c>
      <c r="C2812" s="6">
        <v>1.023</v>
      </c>
      <c r="D2812" s="6">
        <v>66.0</v>
      </c>
      <c r="E2812" s="7" t="s">
        <v>7</v>
      </c>
      <c r="F2812" s="7" t="s">
        <v>8</v>
      </c>
      <c r="G2812" s="8"/>
    </row>
    <row r="2813">
      <c r="A2813" s="4">
        <v>43553.49438409723</v>
      </c>
      <c r="B2813" s="5">
        <v>43553.7860155092</v>
      </c>
      <c r="C2813" s="6">
        <v>1.023</v>
      </c>
      <c r="D2813" s="6">
        <v>66.0</v>
      </c>
      <c r="E2813" s="7" t="s">
        <v>7</v>
      </c>
      <c r="F2813" s="7" t="s">
        <v>8</v>
      </c>
      <c r="G2813" s="8"/>
    </row>
    <row r="2814">
      <c r="A2814" s="4">
        <v>43553.50479842593</v>
      </c>
      <c r="B2814" s="5">
        <v>43553.796436956</v>
      </c>
      <c r="C2814" s="6">
        <v>1.023</v>
      </c>
      <c r="D2814" s="6">
        <v>66.0</v>
      </c>
      <c r="E2814" s="7" t="s">
        <v>7</v>
      </c>
      <c r="F2814" s="7" t="s">
        <v>8</v>
      </c>
      <c r="G2814" s="8"/>
    </row>
    <row r="2815">
      <c r="A2815" s="4">
        <v>43553.51521848379</v>
      </c>
      <c r="B2815" s="5">
        <v>43553.8068569907</v>
      </c>
      <c r="C2815" s="6">
        <v>1.023</v>
      </c>
      <c r="D2815" s="6">
        <v>66.0</v>
      </c>
      <c r="E2815" s="7" t="s">
        <v>7</v>
      </c>
      <c r="F2815" s="7" t="s">
        <v>8</v>
      </c>
      <c r="G2815" s="8"/>
    </row>
    <row r="2816">
      <c r="A2816" s="4">
        <v>43553.525636875</v>
      </c>
      <c r="B2816" s="5">
        <v>43553.817277037</v>
      </c>
      <c r="C2816" s="6">
        <v>1.023</v>
      </c>
      <c r="D2816" s="6">
        <v>66.0</v>
      </c>
      <c r="E2816" s="7" t="s">
        <v>7</v>
      </c>
      <c r="F2816" s="7" t="s">
        <v>8</v>
      </c>
      <c r="G2816" s="8"/>
    </row>
    <row r="2817">
      <c r="A2817" s="4">
        <v>43553.53605833334</v>
      </c>
      <c r="B2817" s="5">
        <v>43553.8276961805</v>
      </c>
      <c r="C2817" s="6">
        <v>1.022</v>
      </c>
      <c r="D2817" s="6">
        <v>66.0</v>
      </c>
      <c r="E2817" s="7" t="s">
        <v>7</v>
      </c>
      <c r="F2817" s="7" t="s">
        <v>8</v>
      </c>
      <c r="G2817" s="8"/>
    </row>
    <row r="2818">
      <c r="A2818" s="4">
        <v>43553.546493692134</v>
      </c>
      <c r="B2818" s="5">
        <v>43553.8381288078</v>
      </c>
      <c r="C2818" s="6">
        <v>1.023</v>
      </c>
      <c r="D2818" s="6">
        <v>66.0</v>
      </c>
      <c r="E2818" s="7" t="s">
        <v>7</v>
      </c>
      <c r="F2818" s="7" t="s">
        <v>8</v>
      </c>
      <c r="G2818" s="8"/>
    </row>
    <row r="2819">
      <c r="A2819" s="4">
        <v>43553.55692854167</v>
      </c>
      <c r="B2819" s="5">
        <v>43553.8485617592</v>
      </c>
      <c r="C2819" s="6">
        <v>1.022</v>
      </c>
      <c r="D2819" s="6">
        <v>66.0</v>
      </c>
      <c r="E2819" s="7" t="s">
        <v>7</v>
      </c>
      <c r="F2819" s="7" t="s">
        <v>8</v>
      </c>
      <c r="G2819" s="8"/>
    </row>
    <row r="2820">
      <c r="A2820" s="4">
        <v>43553.56735320602</v>
      </c>
      <c r="B2820" s="5">
        <v>43553.8589838657</v>
      </c>
      <c r="C2820" s="6">
        <v>1.022</v>
      </c>
      <c r="D2820" s="6">
        <v>66.0</v>
      </c>
      <c r="E2820" s="7" t="s">
        <v>7</v>
      </c>
      <c r="F2820" s="7" t="s">
        <v>8</v>
      </c>
      <c r="G2820" s="8"/>
    </row>
    <row r="2821">
      <c r="A2821" s="4">
        <v>43553.57776356481</v>
      </c>
      <c r="B2821" s="5">
        <v>43553.8694037963</v>
      </c>
      <c r="C2821" s="6">
        <v>1.023</v>
      </c>
      <c r="D2821" s="6">
        <v>66.0</v>
      </c>
      <c r="E2821" s="7" t="s">
        <v>7</v>
      </c>
      <c r="F2821" s="7" t="s">
        <v>8</v>
      </c>
      <c r="G2821" s="8"/>
    </row>
    <row r="2822">
      <c r="A2822" s="4">
        <v>43553.58818972222</v>
      </c>
      <c r="B2822" s="5">
        <v>43553.8798241087</v>
      </c>
      <c r="C2822" s="6">
        <v>1.022</v>
      </c>
      <c r="D2822" s="6">
        <v>66.0</v>
      </c>
      <c r="E2822" s="7" t="s">
        <v>7</v>
      </c>
      <c r="F2822" s="7" t="s">
        <v>8</v>
      </c>
      <c r="G2822" s="8"/>
    </row>
    <row r="2823">
      <c r="A2823" s="4">
        <v>43553.59863907407</v>
      </c>
      <c r="B2823" s="5">
        <v>43553.8902697453</v>
      </c>
      <c r="C2823" s="6">
        <v>1.022</v>
      </c>
      <c r="D2823" s="6">
        <v>67.0</v>
      </c>
      <c r="E2823" s="7" t="s">
        <v>7</v>
      </c>
      <c r="F2823" s="7" t="s">
        <v>8</v>
      </c>
      <c r="G2823" s="8"/>
    </row>
    <row r="2824">
      <c r="A2824" s="4">
        <v>43553.60906575232</v>
      </c>
      <c r="B2824" s="5">
        <v>43553.9007031018</v>
      </c>
      <c r="C2824" s="6">
        <v>1.022</v>
      </c>
      <c r="D2824" s="6">
        <v>66.0</v>
      </c>
      <c r="E2824" s="7" t="s">
        <v>7</v>
      </c>
      <c r="F2824" s="7" t="s">
        <v>8</v>
      </c>
      <c r="G2824" s="8"/>
    </row>
    <row r="2825">
      <c r="A2825" s="4">
        <v>43553.61955872685</v>
      </c>
      <c r="B2825" s="5">
        <v>43553.9111934259</v>
      </c>
      <c r="C2825" s="6">
        <v>1.022</v>
      </c>
      <c r="D2825" s="6">
        <v>67.0</v>
      </c>
      <c r="E2825" s="7" t="s">
        <v>7</v>
      </c>
      <c r="F2825" s="7" t="s">
        <v>8</v>
      </c>
      <c r="G2825" s="8"/>
    </row>
    <row r="2826">
      <c r="A2826" s="4">
        <v>43553.63005373842</v>
      </c>
      <c r="B2826" s="5">
        <v>43553.9216260995</v>
      </c>
      <c r="C2826" s="6">
        <v>1.022</v>
      </c>
      <c r="D2826" s="6">
        <v>67.0</v>
      </c>
      <c r="E2826" s="7" t="s">
        <v>7</v>
      </c>
      <c r="F2826" s="7" t="s">
        <v>8</v>
      </c>
      <c r="G2826" s="8"/>
    </row>
    <row r="2827">
      <c r="A2827" s="4">
        <v>43553.640425000005</v>
      </c>
      <c r="B2827" s="5">
        <v>43553.932059074</v>
      </c>
      <c r="C2827" s="6">
        <v>1.022</v>
      </c>
      <c r="D2827" s="6">
        <v>67.0</v>
      </c>
      <c r="E2827" s="7" t="s">
        <v>7</v>
      </c>
      <c r="F2827" s="7" t="s">
        <v>8</v>
      </c>
      <c r="G2827" s="8"/>
    </row>
    <row r="2828">
      <c r="A2828" s="4">
        <v>43553.65084728009</v>
      </c>
      <c r="B2828" s="5">
        <v>43553.9424911342</v>
      </c>
      <c r="C2828" s="6">
        <v>1.022</v>
      </c>
      <c r="D2828" s="6">
        <v>67.0</v>
      </c>
      <c r="E2828" s="7" t="s">
        <v>7</v>
      </c>
      <c r="F2828" s="7" t="s">
        <v>8</v>
      </c>
      <c r="G2828" s="8"/>
    </row>
    <row r="2829">
      <c r="A2829" s="4">
        <v>43553.661284375004</v>
      </c>
      <c r="B2829" s="5">
        <v>43553.9529129861</v>
      </c>
      <c r="C2829" s="6">
        <v>1.022</v>
      </c>
      <c r="D2829" s="6">
        <v>67.0</v>
      </c>
      <c r="E2829" s="7" t="s">
        <v>7</v>
      </c>
      <c r="F2829" s="7" t="s">
        <v>8</v>
      </c>
      <c r="G2829" s="8"/>
    </row>
    <row r="2830">
      <c r="A2830" s="4">
        <v>43553.67169837963</v>
      </c>
      <c r="B2830" s="5">
        <v>43553.9633364814</v>
      </c>
      <c r="C2830" s="6">
        <v>1.022</v>
      </c>
      <c r="D2830" s="6">
        <v>67.0</v>
      </c>
      <c r="E2830" s="7" t="s">
        <v>7</v>
      </c>
      <c r="F2830" s="7" t="s">
        <v>8</v>
      </c>
      <c r="G2830" s="8"/>
    </row>
    <row r="2831">
      <c r="A2831" s="4">
        <v>43553.68212111111</v>
      </c>
      <c r="B2831" s="5">
        <v>43553.9737597453</v>
      </c>
      <c r="C2831" s="6">
        <v>1.022</v>
      </c>
      <c r="D2831" s="6">
        <v>67.0</v>
      </c>
      <c r="E2831" s="7" t="s">
        <v>7</v>
      </c>
      <c r="F2831" s="7" t="s">
        <v>8</v>
      </c>
      <c r="G2831" s="8"/>
    </row>
    <row r="2832">
      <c r="A2832" s="4">
        <v>43553.69256792824</v>
      </c>
      <c r="B2832" s="5">
        <v>43553.9842045486</v>
      </c>
      <c r="C2832" s="6">
        <v>1.022</v>
      </c>
      <c r="D2832" s="6">
        <v>67.0</v>
      </c>
      <c r="E2832" s="7" t="s">
        <v>7</v>
      </c>
      <c r="F2832" s="7" t="s">
        <v>8</v>
      </c>
      <c r="G2832" s="8"/>
    </row>
    <row r="2833">
      <c r="A2833" s="4">
        <v>43553.703012962964</v>
      </c>
      <c r="B2833" s="5">
        <v>43553.994647743</v>
      </c>
      <c r="C2833" s="6">
        <v>1.022</v>
      </c>
      <c r="D2833" s="6">
        <v>67.0</v>
      </c>
      <c r="E2833" s="7" t="s">
        <v>7</v>
      </c>
      <c r="F2833" s="7" t="s">
        <v>8</v>
      </c>
      <c r="G2833" s="8"/>
    </row>
    <row r="2834">
      <c r="A2834" s="4">
        <v>43553.71344569445</v>
      </c>
      <c r="B2834" s="5">
        <v>43554.0050803356</v>
      </c>
      <c r="C2834" s="6">
        <v>1.022</v>
      </c>
      <c r="D2834" s="6">
        <v>67.0</v>
      </c>
      <c r="E2834" s="7" t="s">
        <v>7</v>
      </c>
      <c r="F2834" s="7" t="s">
        <v>8</v>
      </c>
      <c r="G2834" s="8"/>
    </row>
    <row r="2835">
      <c r="A2835" s="4">
        <v>43553.723876041666</v>
      </c>
      <c r="B2835" s="5">
        <v>43554.0155126157</v>
      </c>
      <c r="C2835" s="6">
        <v>1.022</v>
      </c>
      <c r="D2835" s="6">
        <v>67.0</v>
      </c>
      <c r="E2835" s="7" t="s">
        <v>7</v>
      </c>
      <c r="F2835" s="7" t="s">
        <v>8</v>
      </c>
      <c r="G2835" s="8"/>
    </row>
    <row r="2836">
      <c r="A2836" s="4">
        <v>43553.73431337963</v>
      </c>
      <c r="B2836" s="5">
        <v>43554.0259439583</v>
      </c>
      <c r="C2836" s="6">
        <v>1.022</v>
      </c>
      <c r="D2836" s="6">
        <v>67.0</v>
      </c>
      <c r="E2836" s="7" t="s">
        <v>7</v>
      </c>
      <c r="F2836" s="7" t="s">
        <v>8</v>
      </c>
      <c r="G2836" s="8"/>
    </row>
    <row r="2837">
      <c r="A2837" s="4">
        <v>43553.744736504625</v>
      </c>
      <c r="B2837" s="5">
        <v>43554.0363649305</v>
      </c>
      <c r="C2837" s="6">
        <v>1.022</v>
      </c>
      <c r="D2837" s="6">
        <v>67.0</v>
      </c>
      <c r="E2837" s="7" t="s">
        <v>7</v>
      </c>
      <c r="F2837" s="7" t="s">
        <v>8</v>
      </c>
      <c r="G2837" s="8"/>
    </row>
    <row r="2838">
      <c r="A2838" s="4">
        <v>43553.755185</v>
      </c>
      <c r="B2838" s="5">
        <v>43554.0468212847</v>
      </c>
      <c r="C2838" s="6">
        <v>1.022</v>
      </c>
      <c r="D2838" s="6">
        <v>67.0</v>
      </c>
      <c r="E2838" s="7" t="s">
        <v>7</v>
      </c>
      <c r="F2838" s="7" t="s">
        <v>8</v>
      </c>
      <c r="G2838" s="8"/>
    </row>
    <row r="2839">
      <c r="A2839" s="4">
        <v>43553.765664652776</v>
      </c>
      <c r="B2839" s="5">
        <v>43554.0572432407</v>
      </c>
      <c r="C2839" s="6">
        <v>1.022</v>
      </c>
      <c r="D2839" s="6">
        <v>67.0</v>
      </c>
      <c r="E2839" s="7" t="s">
        <v>7</v>
      </c>
      <c r="F2839" s="7" t="s">
        <v>8</v>
      </c>
      <c r="G2839" s="8"/>
    </row>
    <row r="2840">
      <c r="A2840" s="4">
        <v>43553.77602662037</v>
      </c>
      <c r="B2840" s="5">
        <v>43554.0676628124</v>
      </c>
      <c r="C2840" s="6">
        <v>1.022</v>
      </c>
      <c r="D2840" s="6">
        <v>67.0</v>
      </c>
      <c r="E2840" s="7" t="s">
        <v>7</v>
      </c>
      <c r="F2840" s="7" t="s">
        <v>8</v>
      </c>
      <c r="G2840" s="8"/>
    </row>
    <row r="2841">
      <c r="A2841" s="4">
        <v>43553.786466261576</v>
      </c>
      <c r="B2841" s="5">
        <v>43554.0780968055</v>
      </c>
      <c r="C2841" s="6">
        <v>1.022</v>
      </c>
      <c r="D2841" s="6">
        <v>67.0</v>
      </c>
      <c r="E2841" s="7" t="s">
        <v>7</v>
      </c>
      <c r="F2841" s="7" t="s">
        <v>8</v>
      </c>
      <c r="G2841" s="8"/>
    </row>
    <row r="2842">
      <c r="A2842" s="4">
        <v>43553.79688625</v>
      </c>
      <c r="B2842" s="5">
        <v>43554.088529537</v>
      </c>
      <c r="C2842" s="6">
        <v>1.022</v>
      </c>
      <c r="D2842" s="6">
        <v>67.0</v>
      </c>
      <c r="E2842" s="7" t="s">
        <v>7</v>
      </c>
      <c r="F2842" s="7" t="s">
        <v>8</v>
      </c>
      <c r="G2842" s="8"/>
    </row>
    <row r="2843">
      <c r="A2843" s="4">
        <v>43553.807319479165</v>
      </c>
      <c r="B2843" s="5">
        <v>43554.0989503588</v>
      </c>
      <c r="C2843" s="6">
        <v>1.022</v>
      </c>
      <c r="D2843" s="6">
        <v>67.0</v>
      </c>
      <c r="E2843" s="7" t="s">
        <v>7</v>
      </c>
      <c r="F2843" s="7" t="s">
        <v>8</v>
      </c>
      <c r="G2843" s="8"/>
    </row>
    <row r="2844">
      <c r="A2844" s="4">
        <v>43553.817736111116</v>
      </c>
      <c r="B2844" s="5">
        <v>43554.109373206</v>
      </c>
      <c r="C2844" s="6">
        <v>1.022</v>
      </c>
      <c r="D2844" s="6">
        <v>67.0</v>
      </c>
      <c r="E2844" s="7" t="s">
        <v>7</v>
      </c>
      <c r="F2844" s="7" t="s">
        <v>8</v>
      </c>
      <c r="G2844" s="8"/>
    </row>
    <row r="2845">
      <c r="A2845" s="4">
        <v>43553.82816065972</v>
      </c>
      <c r="B2845" s="5">
        <v>43554.1197949884</v>
      </c>
      <c r="C2845" s="6">
        <v>1.022</v>
      </c>
      <c r="D2845" s="6">
        <v>67.0</v>
      </c>
      <c r="E2845" s="7" t="s">
        <v>7</v>
      </c>
      <c r="F2845" s="7" t="s">
        <v>8</v>
      </c>
      <c r="G2845" s="8"/>
    </row>
    <row r="2846">
      <c r="A2846" s="4">
        <v>43553.8386740625</v>
      </c>
      <c r="B2846" s="5">
        <v>43554.1302494675</v>
      </c>
      <c r="C2846" s="6">
        <v>1.022</v>
      </c>
      <c r="D2846" s="6">
        <v>67.0</v>
      </c>
      <c r="E2846" s="7" t="s">
        <v>7</v>
      </c>
      <c r="F2846" s="7" t="s">
        <v>8</v>
      </c>
      <c r="G2846" s="8"/>
    </row>
    <row r="2847">
      <c r="A2847" s="4">
        <v>43553.84903225694</v>
      </c>
      <c r="B2847" s="5">
        <v>43554.1406699189</v>
      </c>
      <c r="C2847" s="6">
        <v>1.022</v>
      </c>
      <c r="D2847" s="6">
        <v>67.0</v>
      </c>
      <c r="E2847" s="7" t="s">
        <v>7</v>
      </c>
      <c r="F2847" s="7" t="s">
        <v>8</v>
      </c>
      <c r="G2847" s="8"/>
    </row>
    <row r="2848">
      <c r="A2848" s="4">
        <v>43553.85946225694</v>
      </c>
      <c r="B2848" s="5">
        <v>43554.1511039236</v>
      </c>
      <c r="C2848" s="6">
        <v>1.022</v>
      </c>
      <c r="D2848" s="6">
        <v>67.0</v>
      </c>
      <c r="E2848" s="7" t="s">
        <v>7</v>
      </c>
      <c r="F2848" s="7" t="s">
        <v>8</v>
      </c>
      <c r="G2848" s="8"/>
    </row>
    <row r="2849">
      <c r="A2849" s="4">
        <v>43553.86992329861</v>
      </c>
      <c r="B2849" s="5">
        <v>43554.1615597685</v>
      </c>
      <c r="C2849" s="6">
        <v>1.022</v>
      </c>
      <c r="D2849" s="6">
        <v>67.0</v>
      </c>
      <c r="E2849" s="7" t="s">
        <v>7</v>
      </c>
      <c r="F2849" s="7" t="s">
        <v>8</v>
      </c>
      <c r="G2849" s="8"/>
    </row>
    <row r="2850">
      <c r="A2850" s="4">
        <v>43553.88041708333</v>
      </c>
      <c r="B2850" s="5">
        <v>43554.1719936574</v>
      </c>
      <c r="C2850" s="6">
        <v>1.022</v>
      </c>
      <c r="D2850" s="6">
        <v>67.0</v>
      </c>
      <c r="E2850" s="7" t="s">
        <v>7</v>
      </c>
      <c r="F2850" s="7" t="s">
        <v>8</v>
      </c>
      <c r="G2850" s="8"/>
    </row>
    <row r="2851">
      <c r="A2851" s="4">
        <v>43553.890777106484</v>
      </c>
      <c r="B2851" s="5">
        <v>43554.1824148379</v>
      </c>
      <c r="C2851" s="6">
        <v>1.022</v>
      </c>
      <c r="D2851" s="6">
        <v>67.0</v>
      </c>
      <c r="E2851" s="7" t="s">
        <v>7</v>
      </c>
      <c r="F2851" s="7" t="s">
        <v>8</v>
      </c>
      <c r="G2851" s="8"/>
    </row>
    <row r="2852">
      <c r="A2852" s="4">
        <v>43553.901212199075</v>
      </c>
      <c r="B2852" s="5">
        <v>43554.1928476736</v>
      </c>
      <c r="C2852" s="6">
        <v>1.022</v>
      </c>
      <c r="D2852" s="6">
        <v>67.0</v>
      </c>
      <c r="E2852" s="7" t="s">
        <v>7</v>
      </c>
      <c r="F2852" s="7" t="s">
        <v>8</v>
      </c>
      <c r="G2852" s="8"/>
    </row>
    <row r="2853">
      <c r="A2853" s="4">
        <v>43553.91164988426</v>
      </c>
      <c r="B2853" s="5">
        <v>43554.2032804513</v>
      </c>
      <c r="C2853" s="6">
        <v>1.022</v>
      </c>
      <c r="D2853" s="6">
        <v>67.0</v>
      </c>
      <c r="E2853" s="7" t="s">
        <v>7</v>
      </c>
      <c r="F2853" s="7" t="s">
        <v>8</v>
      </c>
      <c r="G2853" s="8"/>
    </row>
    <row r="2854">
      <c r="A2854" s="4">
        <v>43553.92206081019</v>
      </c>
      <c r="B2854" s="5">
        <v>43554.2137020949</v>
      </c>
      <c r="C2854" s="6">
        <v>1.022</v>
      </c>
      <c r="D2854" s="6">
        <v>67.0</v>
      </c>
      <c r="E2854" s="7" t="s">
        <v>7</v>
      </c>
      <c r="F2854" s="7" t="s">
        <v>8</v>
      </c>
      <c r="G2854" s="8"/>
    </row>
    <row r="2855">
      <c r="A2855" s="4">
        <v>43553.93250650463</v>
      </c>
      <c r="B2855" s="5">
        <v>43554.2241462963</v>
      </c>
      <c r="C2855" s="6">
        <v>1.022</v>
      </c>
      <c r="D2855" s="6">
        <v>67.0</v>
      </c>
      <c r="E2855" s="7" t="s">
        <v>7</v>
      </c>
      <c r="F2855" s="7" t="s">
        <v>8</v>
      </c>
      <c r="G2855" s="8"/>
    </row>
    <row r="2856">
      <c r="A2856" s="4">
        <v>43553.942949178236</v>
      </c>
      <c r="B2856" s="5">
        <v>43554.2345903588</v>
      </c>
      <c r="C2856" s="6">
        <v>1.022</v>
      </c>
      <c r="D2856" s="6">
        <v>67.0</v>
      </c>
      <c r="E2856" s="7" t="s">
        <v>7</v>
      </c>
      <c r="F2856" s="7" t="s">
        <v>8</v>
      </c>
      <c r="G2856" s="8"/>
    </row>
    <row r="2857">
      <c r="A2857" s="4">
        <v>43553.95337239583</v>
      </c>
      <c r="B2857" s="5">
        <v>43554.24501228</v>
      </c>
      <c r="C2857" s="6">
        <v>1.022</v>
      </c>
      <c r="D2857" s="6">
        <v>66.0</v>
      </c>
      <c r="E2857" s="7" t="s">
        <v>7</v>
      </c>
      <c r="F2857" s="7" t="s">
        <v>8</v>
      </c>
      <c r="G2857" s="8"/>
    </row>
    <row r="2858">
      <c r="A2858" s="4">
        <v>43553.963832106485</v>
      </c>
      <c r="B2858" s="5">
        <v>43554.2554667245</v>
      </c>
      <c r="C2858" s="6">
        <v>1.022</v>
      </c>
      <c r="D2858" s="6">
        <v>67.0</v>
      </c>
      <c r="E2858" s="7" t="s">
        <v>7</v>
      </c>
      <c r="F2858" s="7" t="s">
        <v>8</v>
      </c>
      <c r="G2858" s="8"/>
    </row>
    <row r="2859">
      <c r="A2859" s="4">
        <v>43553.97426392361</v>
      </c>
      <c r="B2859" s="5">
        <v>43554.2658995949</v>
      </c>
      <c r="C2859" s="6">
        <v>1.022</v>
      </c>
      <c r="D2859" s="6">
        <v>67.0</v>
      </c>
      <c r="E2859" s="7" t="s">
        <v>7</v>
      </c>
      <c r="F2859" s="7" t="s">
        <v>8</v>
      </c>
      <c r="G2859" s="8"/>
    </row>
    <row r="2860">
      <c r="A2860" s="4">
        <v>43553.984705069444</v>
      </c>
      <c r="B2860" s="5">
        <v>43554.2763442939</v>
      </c>
      <c r="C2860" s="6">
        <v>1.022</v>
      </c>
      <c r="D2860" s="6">
        <v>66.0</v>
      </c>
      <c r="E2860" s="7" t="s">
        <v>7</v>
      </c>
      <c r="F2860" s="7" t="s">
        <v>8</v>
      </c>
      <c r="G2860" s="8"/>
    </row>
    <row r="2861">
      <c r="A2861" s="4">
        <v>43553.99515037037</v>
      </c>
      <c r="B2861" s="5">
        <v>43554.2867887731</v>
      </c>
      <c r="C2861" s="6">
        <v>1.022</v>
      </c>
      <c r="D2861" s="6">
        <v>66.0</v>
      </c>
      <c r="E2861" s="7" t="s">
        <v>7</v>
      </c>
      <c r="F2861" s="7" t="s">
        <v>8</v>
      </c>
      <c r="G2861" s="8"/>
    </row>
    <row r="2862">
      <c r="A2862" s="4">
        <v>43554.005571608795</v>
      </c>
      <c r="B2862" s="5">
        <v>43554.2972107754</v>
      </c>
      <c r="C2862" s="6">
        <v>1.022</v>
      </c>
      <c r="D2862" s="6">
        <v>66.0</v>
      </c>
      <c r="E2862" s="7" t="s">
        <v>7</v>
      </c>
      <c r="F2862" s="7" t="s">
        <v>8</v>
      </c>
      <c r="G2862" s="8"/>
    </row>
    <row r="2863">
      <c r="A2863" s="4">
        <v>43554.015990960645</v>
      </c>
      <c r="B2863" s="5">
        <v>43554.3076325694</v>
      </c>
      <c r="C2863" s="6">
        <v>1.022</v>
      </c>
      <c r="D2863" s="6">
        <v>66.0</v>
      </c>
      <c r="E2863" s="7" t="s">
        <v>7</v>
      </c>
      <c r="F2863" s="7" t="s">
        <v>8</v>
      </c>
      <c r="G2863" s="8"/>
    </row>
    <row r="2864">
      <c r="A2864" s="4">
        <v>43554.02643471065</v>
      </c>
      <c r="B2864" s="5">
        <v>43554.318065949</v>
      </c>
      <c r="C2864" s="6">
        <v>1.022</v>
      </c>
      <c r="D2864" s="6">
        <v>66.0</v>
      </c>
      <c r="E2864" s="7" t="s">
        <v>7</v>
      </c>
      <c r="F2864" s="7" t="s">
        <v>8</v>
      </c>
      <c r="G2864" s="8"/>
    </row>
    <row r="2865">
      <c r="A2865" s="4">
        <v>43554.03686910879</v>
      </c>
      <c r="B2865" s="5">
        <v>43554.3285098495</v>
      </c>
      <c r="C2865" s="6">
        <v>1.022</v>
      </c>
      <c r="D2865" s="6">
        <v>66.0</v>
      </c>
      <c r="E2865" s="7" t="s">
        <v>7</v>
      </c>
      <c r="F2865" s="7" t="s">
        <v>8</v>
      </c>
      <c r="G2865" s="8"/>
    </row>
    <row r="2866">
      <c r="A2866" s="4">
        <v>43554.04731324074</v>
      </c>
      <c r="B2866" s="5">
        <v>43554.3389419444</v>
      </c>
      <c r="C2866" s="6">
        <v>1.022</v>
      </c>
      <c r="D2866" s="6">
        <v>66.0</v>
      </c>
      <c r="E2866" s="7" t="s">
        <v>7</v>
      </c>
      <c r="F2866" s="7" t="s">
        <v>8</v>
      </c>
      <c r="G2866" s="8"/>
    </row>
    <row r="2867">
      <c r="A2867" s="4">
        <v>43554.05773364584</v>
      </c>
      <c r="B2867" s="5">
        <v>43554.3493748495</v>
      </c>
      <c r="C2867" s="6">
        <v>1.022</v>
      </c>
      <c r="D2867" s="6">
        <v>66.0</v>
      </c>
      <c r="E2867" s="7" t="s">
        <v>7</v>
      </c>
      <c r="F2867" s="7" t="s">
        <v>8</v>
      </c>
      <c r="G2867" s="8"/>
    </row>
    <row r="2868">
      <c r="A2868" s="4">
        <v>43554.06818685185</v>
      </c>
      <c r="B2868" s="5">
        <v>43554.3598196064</v>
      </c>
      <c r="C2868" s="6">
        <v>1.022</v>
      </c>
      <c r="D2868" s="6">
        <v>66.0</v>
      </c>
      <c r="E2868" s="7" t="s">
        <v>7</v>
      </c>
      <c r="F2868" s="7" t="s">
        <v>8</v>
      </c>
      <c r="G2868" s="8"/>
    </row>
    <row r="2869">
      <c r="A2869" s="4">
        <v>43554.07861304398</v>
      </c>
      <c r="B2869" s="5">
        <v>43554.3702423726</v>
      </c>
      <c r="C2869" s="6">
        <v>1.022</v>
      </c>
      <c r="D2869" s="6">
        <v>66.0</v>
      </c>
      <c r="E2869" s="7" t="s">
        <v>7</v>
      </c>
      <c r="F2869" s="7" t="s">
        <v>8</v>
      </c>
      <c r="G2869" s="8"/>
    </row>
    <row r="2870">
      <c r="A2870" s="4">
        <v>43554.08905079861</v>
      </c>
      <c r="B2870" s="5">
        <v>43554.3806872916</v>
      </c>
      <c r="C2870" s="6">
        <v>1.022</v>
      </c>
      <c r="D2870" s="6">
        <v>66.0</v>
      </c>
      <c r="E2870" s="7" t="s">
        <v>7</v>
      </c>
      <c r="F2870" s="7" t="s">
        <v>8</v>
      </c>
      <c r="G2870" s="8"/>
    </row>
    <row r="2871">
      <c r="A2871" s="4">
        <v>43554.09947181713</v>
      </c>
      <c r="B2871" s="5">
        <v>43554.3911087152</v>
      </c>
      <c r="C2871" s="6">
        <v>1.022</v>
      </c>
      <c r="D2871" s="6">
        <v>66.0</v>
      </c>
      <c r="E2871" s="7" t="s">
        <v>7</v>
      </c>
      <c r="F2871" s="7" t="s">
        <v>8</v>
      </c>
      <c r="G2871" s="8"/>
    </row>
    <row r="2872">
      <c r="A2872" s="4">
        <v>43554.10990892361</v>
      </c>
      <c r="B2872" s="5">
        <v>43554.4015437615</v>
      </c>
      <c r="C2872" s="6">
        <v>1.022</v>
      </c>
      <c r="D2872" s="6">
        <v>66.0</v>
      </c>
      <c r="E2872" s="7" t="s">
        <v>7</v>
      </c>
      <c r="F2872" s="7" t="s">
        <v>8</v>
      </c>
      <c r="G2872" s="8"/>
    </row>
    <row r="2873">
      <c r="A2873" s="4">
        <v>43554.1203328588</v>
      </c>
      <c r="B2873" s="5">
        <v>43554.4119653703</v>
      </c>
      <c r="C2873" s="6">
        <v>1.022</v>
      </c>
      <c r="D2873" s="6">
        <v>66.0</v>
      </c>
      <c r="E2873" s="7" t="s">
        <v>7</v>
      </c>
      <c r="F2873" s="7" t="s">
        <v>8</v>
      </c>
      <c r="G2873" s="8"/>
    </row>
    <row r="2874">
      <c r="A2874" s="4">
        <v>43554.13075591435</v>
      </c>
      <c r="B2874" s="5">
        <v>43554.4223991319</v>
      </c>
      <c r="C2874" s="6">
        <v>1.022</v>
      </c>
      <c r="D2874" s="6">
        <v>66.0</v>
      </c>
      <c r="E2874" s="7" t="s">
        <v>7</v>
      </c>
      <c r="F2874" s="7" t="s">
        <v>8</v>
      </c>
      <c r="G2874" s="8"/>
    </row>
    <row r="2875">
      <c r="A2875" s="4">
        <v>43554.1411920949</v>
      </c>
      <c r="B2875" s="5">
        <v>43554.432830324</v>
      </c>
      <c r="C2875" s="6">
        <v>1.022</v>
      </c>
      <c r="D2875" s="6">
        <v>66.0</v>
      </c>
      <c r="E2875" s="7" t="s">
        <v>7</v>
      </c>
      <c r="F2875" s="7" t="s">
        <v>8</v>
      </c>
      <c r="G2875" s="8"/>
    </row>
    <row r="2876">
      <c r="A2876" s="4">
        <v>43554.15165648148</v>
      </c>
      <c r="B2876" s="5">
        <v>43554.4432882986</v>
      </c>
      <c r="C2876" s="6">
        <v>1.022</v>
      </c>
      <c r="D2876" s="6">
        <v>66.0</v>
      </c>
      <c r="E2876" s="7" t="s">
        <v>7</v>
      </c>
      <c r="F2876" s="7" t="s">
        <v>8</v>
      </c>
      <c r="G2876" s="8"/>
    </row>
    <row r="2877">
      <c r="A2877" s="4">
        <v>43554.162107048614</v>
      </c>
      <c r="B2877" s="5">
        <v>43554.4537353472</v>
      </c>
      <c r="C2877" s="6">
        <v>1.022</v>
      </c>
      <c r="D2877" s="6">
        <v>66.0</v>
      </c>
      <c r="E2877" s="7" t="s">
        <v>7</v>
      </c>
      <c r="F2877" s="7" t="s">
        <v>8</v>
      </c>
      <c r="G2877" s="8"/>
    </row>
    <row r="2878">
      <c r="A2878" s="4">
        <v>43554.17252800926</v>
      </c>
      <c r="B2878" s="5">
        <v>43554.464167037</v>
      </c>
      <c r="C2878" s="6">
        <v>1.022</v>
      </c>
      <c r="D2878" s="6">
        <v>66.0</v>
      </c>
      <c r="E2878" s="7" t="s">
        <v>7</v>
      </c>
      <c r="F2878" s="7" t="s">
        <v>8</v>
      </c>
      <c r="G2878" s="8"/>
    </row>
    <row r="2879">
      <c r="A2879" s="4">
        <v>43554.18297085648</v>
      </c>
      <c r="B2879" s="5">
        <v>43554.4745995138</v>
      </c>
      <c r="C2879" s="6">
        <v>1.022</v>
      </c>
      <c r="D2879" s="6">
        <v>66.0</v>
      </c>
      <c r="E2879" s="7" t="s">
        <v>7</v>
      </c>
      <c r="F2879" s="7" t="s">
        <v>8</v>
      </c>
      <c r="G2879" s="8"/>
    </row>
    <row r="2880">
      <c r="A2880" s="4">
        <v>43554.19338684028</v>
      </c>
      <c r="B2880" s="5">
        <v>43554.4850203356</v>
      </c>
      <c r="C2880" s="6">
        <v>1.022</v>
      </c>
      <c r="D2880" s="6">
        <v>66.0</v>
      </c>
      <c r="E2880" s="7" t="s">
        <v>7</v>
      </c>
      <c r="F2880" s="7" t="s">
        <v>8</v>
      </c>
      <c r="G2880" s="8"/>
    </row>
    <row r="2881">
      <c r="A2881" s="4">
        <v>43554.20381679398</v>
      </c>
      <c r="B2881" s="5">
        <v>43554.4954524537</v>
      </c>
      <c r="C2881" s="6">
        <v>1.022</v>
      </c>
      <c r="D2881" s="6">
        <v>66.0</v>
      </c>
      <c r="E2881" s="7" t="s">
        <v>7</v>
      </c>
      <c r="F2881" s="7" t="s">
        <v>8</v>
      </c>
      <c r="G2881" s="8"/>
    </row>
    <row r="2882">
      <c r="A2882" s="4">
        <v>43554.21423846065</v>
      </c>
      <c r="B2882" s="5">
        <v>43554.5058735763</v>
      </c>
      <c r="C2882" s="6">
        <v>1.022</v>
      </c>
      <c r="D2882" s="6">
        <v>66.0</v>
      </c>
      <c r="E2882" s="7" t="s">
        <v>7</v>
      </c>
      <c r="F2882" s="7" t="s">
        <v>8</v>
      </c>
      <c r="G2882" s="8"/>
    </row>
    <row r="2883">
      <c r="A2883" s="4">
        <v>43554.224654108795</v>
      </c>
      <c r="B2883" s="5">
        <v>43554.5162961458</v>
      </c>
      <c r="C2883" s="6">
        <v>1.022</v>
      </c>
      <c r="D2883" s="6">
        <v>66.0</v>
      </c>
      <c r="E2883" s="7" t="s">
        <v>7</v>
      </c>
      <c r="F2883" s="7" t="s">
        <v>8</v>
      </c>
      <c r="G2883" s="8"/>
    </row>
    <row r="2884">
      <c r="A2884" s="4">
        <v>43554.235074930555</v>
      </c>
      <c r="B2884" s="5">
        <v>43554.5267177314</v>
      </c>
      <c r="C2884" s="6">
        <v>1.022</v>
      </c>
      <c r="D2884" s="6">
        <v>66.0</v>
      </c>
      <c r="E2884" s="7" t="s">
        <v>7</v>
      </c>
      <c r="F2884" s="7" t="s">
        <v>8</v>
      </c>
      <c r="G2884" s="8"/>
    </row>
    <row r="2885">
      <c r="A2885" s="4">
        <v>43554.24550467593</v>
      </c>
      <c r="B2885" s="5">
        <v>43554.5371396412</v>
      </c>
      <c r="C2885" s="6">
        <v>1.022</v>
      </c>
      <c r="D2885" s="6">
        <v>65.0</v>
      </c>
      <c r="E2885" s="7" t="s">
        <v>7</v>
      </c>
      <c r="F2885" s="7" t="s">
        <v>8</v>
      </c>
      <c r="G2885" s="8"/>
    </row>
    <row r="2886">
      <c r="A2886" s="4">
        <v>43554.255924467594</v>
      </c>
      <c r="B2886" s="5">
        <v>43554.5475603935</v>
      </c>
      <c r="C2886" s="6">
        <v>1.022</v>
      </c>
      <c r="D2886" s="6">
        <v>65.0</v>
      </c>
      <c r="E2886" s="7" t="s">
        <v>7</v>
      </c>
      <c r="F2886" s="7" t="s">
        <v>8</v>
      </c>
      <c r="G2886" s="8"/>
    </row>
    <row r="2887">
      <c r="A2887" s="4">
        <v>43554.266352349536</v>
      </c>
      <c r="B2887" s="5">
        <v>43554.5579924652</v>
      </c>
      <c r="C2887" s="6">
        <v>1.022</v>
      </c>
      <c r="D2887" s="6">
        <v>65.0</v>
      </c>
      <c r="E2887" s="7" t="s">
        <v>7</v>
      </c>
      <c r="F2887" s="7" t="s">
        <v>8</v>
      </c>
      <c r="G2887" s="8"/>
    </row>
    <row r="2888">
      <c r="A2888" s="4">
        <v>43554.27677523148</v>
      </c>
      <c r="B2888" s="5">
        <v>43554.5684126504</v>
      </c>
      <c r="C2888" s="6">
        <v>1.022</v>
      </c>
      <c r="D2888" s="6">
        <v>65.0</v>
      </c>
      <c r="E2888" s="7" t="s">
        <v>7</v>
      </c>
      <c r="F2888" s="7" t="s">
        <v>8</v>
      </c>
      <c r="G2888" s="8"/>
    </row>
  </sheetData>
  <customSheetViews>
    <customSheetView guid="{0938C9AA-AC2F-4776-82DF-CE18FB4681DD}" filter="1" showAutoFilter="1">
      <autoFilter ref="$B$1:$E$2888">
        <filterColumn colId="3">
          <filters>
            <filter val="BLACK"/>
          </filters>
        </filterColumn>
      </autoFilter>
    </customSheetView>
    <customSheetView guid="{AFCF2361-13D5-4012-8A83-5501D6EF71DC}" filter="1" showAutoFilter="1">
      <autoFilter ref="$B$1:$E$2888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17</v>
      </c>
    </row>
    <row r="2">
      <c r="A2" s="35" t="s">
        <v>18</v>
      </c>
    </row>
    <row r="3">
      <c r="A3" s="35" t="s">
        <v>20</v>
      </c>
    </row>
    <row r="4">
      <c r="A4" s="35" t="s">
        <v>21</v>
      </c>
    </row>
    <row r="5">
      <c r="A5" s="35" t="s">
        <v>22</v>
      </c>
    </row>
    <row r="6">
      <c r="A6" s="35" t="s">
        <v>23</v>
      </c>
    </row>
    <row r="7">
      <c r="A7" s="35" t="s">
        <v>24</v>
      </c>
    </row>
  </sheetData>
  <drawing r:id="rId1"/>
</worksheet>
</file>